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codeName="ThisWorkbook" defaultThemeVersion="124226"/>
  <mc:AlternateContent xmlns:mc="http://schemas.openxmlformats.org/markup-compatibility/2006">
    <mc:Choice Requires="x15">
      <x15ac:absPath xmlns:x15ac="http://schemas.microsoft.com/office/spreadsheetml/2010/11/ac" url="Y:\OEB\Rate Applications\2019 Cost of Service\OEB Models\OEB Models (08-16-16) - SUBMISSION\"/>
    </mc:Choice>
  </mc:AlternateContent>
  <xr:revisionPtr revIDLastSave="0" documentId="10_ncr:8100000_{12B5AAD0-10BA-426A-8015-78BF39C42CA4}" xr6:coauthVersionLast="34" xr6:coauthVersionMax="34" xr10:uidLastSave="{00000000-0000-0000-0000-000000000000}"/>
  <bookViews>
    <workbookView xWindow="0" yWindow="0" windowWidth="25200" windowHeight="9450" tabRatio="855"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Y421" i="46" l="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Z576" i="79" s="1"/>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208"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7" i="79" l="1"/>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Y379" i="79" s="1"/>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H37" i="45"/>
  <c r="H65" i="45"/>
  <c r="I127" i="45" s="1"/>
  <c r="H30" i="45"/>
  <c r="I23" i="45"/>
  <c r="G58" i="45"/>
  <c r="H126" i="45" s="1"/>
  <c r="G51" i="45"/>
  <c r="G44" i="45"/>
  <c r="G37" i="45"/>
  <c r="K58" i="45"/>
  <c r="K51" i="45"/>
  <c r="K30" i="45"/>
  <c r="K44" i="45"/>
  <c r="K37" i="45"/>
  <c r="H58" i="45"/>
  <c r="H127" i="45" s="1"/>
  <c r="H44" i="45"/>
  <c r="H51" i="45"/>
  <c r="E51" i="45"/>
  <c r="E37" i="45"/>
  <c r="E44" i="45"/>
  <c r="I58" i="45"/>
  <c r="I44" i="45"/>
  <c r="I37" i="45"/>
  <c r="I51" i="45"/>
  <c r="F51" i="45"/>
  <c r="F44" i="45"/>
  <c r="F37" i="45"/>
  <c r="J58" i="45"/>
  <c r="J44" i="45"/>
  <c r="J37" i="45"/>
  <c r="J51"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E130" i="45"/>
  <c r="L130" i="45"/>
  <c r="J128" i="45"/>
  <c r="K127" i="45"/>
  <c r="AG516" i="46" s="1"/>
  <c r="AG520" i="46" s="1"/>
  <c r="J124" i="45"/>
  <c r="AF130" i="46" s="1"/>
  <c r="AF131" i="46" s="1"/>
  <c r="K54" i="43" s="1"/>
  <c r="I129" i="45"/>
  <c r="K124" i="45"/>
  <c r="AG130" i="46" s="1"/>
  <c r="AG131" i="46" s="1"/>
  <c r="L54" i="43"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66" i="79" s="1"/>
  <c r="AE198" i="79"/>
  <c r="AE202"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8" i="79"/>
  <c r="AK569"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205" i="79" l="1"/>
  <c r="J67" i="43" s="1"/>
  <c r="AK570" i="79"/>
  <c r="AK565" i="79"/>
  <c r="AK567" i="79"/>
  <c r="AK573" i="79"/>
  <c r="P73" i="43" s="1"/>
  <c r="AK571" i="79"/>
  <c r="AE200" i="79"/>
  <c r="AE204" i="79" s="1"/>
  <c r="J66" i="43" s="1"/>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83" i="47" l="1"/>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106" i="43"/>
  <c r="W104" i="47"/>
  <c r="W117" i="47" s="1"/>
  <c r="H105" i="43"/>
  <c r="H106" i="43" s="1"/>
  <c r="G43" i="43" l="1"/>
  <c r="W119" i="47"/>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Shawna Derousie</author>
  </authors>
  <commentList>
    <comment ref="D17" authorId="0" shapeId="0" xr:uid="{9300F4AC-19B7-43C9-BAD1-B669836D50C9}">
      <text>
        <r>
          <rPr>
            <b/>
            <sz val="9"/>
            <color indexed="81"/>
            <rFont val="Tahoma"/>
            <family val="2"/>
          </rPr>
          <t>Shawna Derousie:</t>
        </r>
        <r>
          <rPr>
            <sz val="9"/>
            <color indexed="81"/>
            <rFont val="Tahoma"/>
            <family val="2"/>
          </rPr>
          <t xml:space="preserve">
Requested - $61,161
Approved - $58,824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<sst xmlns="http://schemas.openxmlformats.org/spreadsheetml/2006/main" count="2943" uniqueCount="711">
  <si>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</si>
  <si>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</si>
  <si>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</si>
  <si>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</si>
  <si>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</si>
  <si>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</si>
  <si>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</si>
  <si>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</si>
  <si>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</si>
  <si>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</si>
  <si>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</si>
  <si>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</si>
  <si>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</si>
  <si>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</si>
  <si>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</si>
  <si>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</si>
  <si>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</si>
  <si>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</si>
  <si>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</si>
  <si>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</si>
  <si>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</si>
  <si>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</si>
  <si>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</si>
  <si>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</si>
  <si>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</si>
  <si>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</si>
  <si>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</si>
  <si>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</si>
  <si>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</si>
  <si>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</si>
  <si>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</si>
  <si>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</si>
  <si>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</si>
  <si>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</si>
  <si>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</si>
  <si>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</si>
  <si>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</si>
  <si>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</si>
  <si>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</si>
  <si>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</si>
  <si>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</si>
  <si>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</si>
  <si>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</si>
  <si>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</si>
  <si>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</si>
  <si>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</si>
  <si>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</si>
  <si>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</si>
  <si>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</si>
  <si>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</si>
  <si>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</si>
  <si>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</si>
  <si>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</si>
  <si>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</si>
  <si>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</si>
  <si>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</si>
  <si>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</si>
  <si>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</si>
  <si>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</si>
  <si>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</si>
  <si>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</si>
  <si>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</si>
  <si>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</si>
  <si>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</si>
  <si>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</si>
  <si>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</si>
  <si>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</si>
  <si>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</si>
  <si>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</si>
  <si>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</si>
  <si>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</si>
  <si>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</si>
  <si>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</si>
  <si>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</si>
  <si>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</si>
  <si>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</si>
  <si>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</si>
  <si>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</si>
  <si>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</si>
  <si>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</si>
  <si>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</si>
  <si>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</si>
  <si>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</si>
  <si>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</si>
  <si>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</si>
  <si>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</si>
  <si>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</si>
  <si>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</si>
  <si>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</si>
  <si>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</si>
  <si>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</si>
  <si>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</si>
  <si>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</si>
  <si>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</si>
  <si>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</si>
  <si>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</si>
  <si>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</si>
  <si>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</si>
  <si>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</si>
  <si>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</si>
  <si>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</si>
  <si>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</si>
  <si>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</si>
  <si>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</si>
  <si>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</si>
  <si>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</si>
  <si>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</si>
  <si>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</si>
  <si>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</si>
  <si>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</si>
  <si>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</si>
  <si>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</si>
  <si>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</si>
  <si>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</si>
  <si>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</si>
  <si>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</si>
  <si>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</si>
  <si>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</si>
  <si>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</si>
  <si>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</si>
  <si>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</si>
  <si>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</si>
  <si>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</si>
  <si>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</si>
  <si>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</si>
  <si>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</si>
  <si>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</si>
  <si>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</si>
  <si>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</si>
  <si>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</si>
  <si>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</si>
  <si>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</si>
  <si>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</si>
  <si>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</si>
  <si>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</si>
  <si>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</si>
  <si>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</si>
  <si>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</si>
  <si>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</si>
  <si>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</si>
  <si>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</si>
  <si>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</si>
  <si>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</si>
  <si>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</si>
  <si>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</si>
  <si>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</si>
  <si>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</si>
  <si>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</si>
  <si>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</si>
  <si>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</si>
  <si>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</si>
  <si>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</si>
  <si>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</si>
  <si>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</si>
  <si>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</si>
  <si>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</si>
  <si>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</si>
  <si>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</si>
  <si>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</si>
  <si>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</si>
  <si>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</si>
  <si>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</si>
  <si>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</si>
  <si>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</si>
  <si>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</si>
  <si>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</si>
  <si>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</si>
  <si>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</si>
  <si>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</si>
  <si>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</si>
  <si>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</si>
  <si>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</si>
  <si>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</si>
  <si>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</si>
  <si>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</si>
  <si>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</si>
  <si>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</si>
  <si>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</si>
  <si>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</si>
  <si>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</si>
  <si>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</si>
  <si>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</si>
  <si>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</si>
  <si>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</si>
  <si>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</si>
  <si>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</si>
  <si>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</si>
  <si>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</si>
  <si>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</si>
  <si>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</si>
  <si>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</si>
  <si>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</si>
  <si>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</si>
  <si>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</si>
  <si>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</si>
  <si>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</si>
  <si>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</si>
  <si>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</si>
  <si>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</si>
  <si>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</si>
  <si>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</si>
  <si>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</si>
  <si>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</si>
  <si>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</si>
  <si>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</si>
  <si>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</si>
  <si>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</si>
  <si>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</si>
  <si>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</si>
  <si>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</si>
  <si>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</si>
  <si>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</si>
  <si>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</si>
  <si>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</si>
  <si>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</si>
  <si>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</si>
  <si>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</si>
  <si>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</si>
  <si>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</si>
  <si>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</si>
  <si>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</si>
  <si>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</si>
  <si>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</si>
  <si>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</si>
  <si>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</si>
  <si>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</si>
  <si>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</si>
  <si>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</si>
  <si>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</si>
  <si>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</si>
  <si>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</si>
  <si>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</si>
  <si>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</si>
  <si>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</si>
  <si>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</si>
  <si>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</si>
  <si>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</si>
  <si>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</si>
  <si>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</si>
  <si>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</si>
  <si>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</si>
  <si>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</si>
  <si>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</si>
  <si>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</si>
  <si>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</si>
  <si>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</si>
  <si>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</si>
  <si>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</si>
  <si>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</si>
  <si>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</si>
  <si>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</si>
  <si>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</si>
  <si>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</si>
  <si>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</si>
  <si>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</si>
  <si>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</si>
  <si>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</si>
  <si>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</si>
  <si>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</si>
  <si>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</si>
  <si>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</si>
  <si>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</si>
  <si>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</si>
  <si>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</si>
  <si>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</si>
  <si>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</si>
  <si>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</si>
  <si>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</si>
  <si>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</si>
  <si>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</si>
  <si>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</si>
  <si>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</si>
  <si>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</si>
  <si>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</si>
  <si>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</si>
  <si>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</si>
  <si>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</si>
  <si>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</si>
  <si>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</si>
  <si>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</si>
  <si>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</si>
  <si>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</si>
  <si>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</si>
  <si>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</si>
  <si>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</si>
  <si>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</si>
  <si>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</si>
  <si>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</si>
  <si>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</si>
  <si>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</si>
  <si>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</si>
  <si>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</si>
  <si>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</si>
  <si>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</si>
  <si>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</si>
  <si>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</si>
  <si>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</si>
  <si>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</si>
  <si>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</si>
  <si>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</si>
  <si>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</si>
  <si>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</si>
  <si>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</si>
  <si>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</si>
  <si>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</si>
  <si>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</si>
  <si>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</si>
  <si>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</si>
  <si>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</si>
  <si>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</si>
  <si>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</si>
  <si>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</si>
  <si>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</si>
  <si>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</si>
  <si>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</si>
  <si>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</si>
  <si>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</si>
  <si>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</si>
  <si>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</si>
  <si>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</si>
  <si>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</si>
  <si>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</si>
  <si>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</si>
  <si>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</si>
  <si>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</si>
  <si>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</si>
  <si>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</si>
  <si>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</si>
  <si>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</si>
  <si>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</si>
  <si>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</si>
  <si>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</si>
  <si>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</si>
  <si>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</si>
  <si>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</si>
  <si>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</si>
  <si>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</si>
  <si>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</si>
  <si>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</si>
  <si>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</si>
  <si>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</si>
  <si>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</si>
  <si>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</si>
  <si>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</si>
  <si>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</si>
  <si>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</si>
  <si>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</si>
  <si>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</si>
  <si>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</si>
  <si>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</si>
  <si>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</si>
  <si>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</si>
  <si>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</si>
  <si>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</si>
  <si>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</si>
  <si>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</si>
  <si>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</si>
  <si>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</si>
  <si>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</si>
  <si>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</si>
  <si>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</si>
  <si>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</si>
  <si>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</si>
  <si>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</si>
  <si>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</si>
  <si>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</si>
  <si>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</si>
  <si>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</si>
  <si>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</si>
  <si>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</si>
  <si>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</si>
  <si>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</si>
  <si>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</si>
  <si>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</si>
  <si>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</si>
  <si>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</si>
  <si>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</si>
  <si>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</si>
  <si>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</si>
  <si>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</si>
  <si>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</si>
  <si>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</si>
  <si>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</si>
  <si>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</si>
  <si>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</si>
  <si>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</si>
  <si>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</si>
  <si>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</si>
  <si>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</si>
  <si>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</si>
  <si>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</si>
  <si>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</si>
  <si>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</si>
  <si>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</si>
  <si>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</si>
  <si>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</si>
  <si>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</si>
  <si>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</si>
  <si>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</si>
  <si>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</si>
  <si>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</si>
  <si>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</si>
  <si>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</si>
  <si>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</si>
  <si>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</si>
  <si>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</si>
  <si>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</si>
  <si>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</si>
  <si>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</si>
  <si>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</si>
  <si>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</si>
  <si>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</si>
  <si>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</si>
  <si>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</si>
  <si>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</si>
  <si>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</si>
  <si>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</si>
  <si>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</si>
  <si>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</si>
  <si>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</si>
  <si>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</si>
  <si>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</si>
  <si>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</si>
  <si>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</si>
  <si>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</si>
  <si>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</si>
  <si>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</si>
  <si>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</si>
  <si>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</si>
  <si>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</si>
  <si>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</si>
  <si>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</si>
  <si>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</si>
  <si>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</si>
  <si>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</si>
  <si>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</si>
  <si>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</si>
  <si>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</si>
  <si>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</si>
  <si>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</si>
  <si>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</si>
  <si>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</si>
  <si>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</si>
  <si>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</si>
  <si>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</si>
  <si>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</si>
  <si>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</si>
  <si>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</si>
  <si>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</si>
  <si>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</si>
  <si>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</si>
  <si>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</si>
  <si>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</si>
  <si>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</si>
  <si>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</si>
  <si>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</si>
  <si>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</si>
  <si>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</si>
  <si>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</si>
  <si>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</si>
  <si>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</si>
  <si>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</si>
  <si>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</si>
  <si>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</si>
  <si>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</si>
  <si>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</si>
  <si>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</si>
  <si>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</si>
  <si>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</si>
  <si>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</si>
  <si>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</si>
  <si>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</si>
  <si>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</si>
  <si>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</si>
  <si>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</si>
  <si>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</si>
  <si>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</si>
  <si>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</si>
  <si>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</si>
  <si>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</si>
  <si>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</si>
  <si>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</si>
  <si>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</si>
  <si>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</si>
  <si>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</si>
  <si>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</si>
  <si>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</si>
  <si>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</si>
  <si>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</si>
  <si>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</si>
  <si>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</si>
  <si>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</si>
  <si>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</si>
  <si>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</si>
  <si>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</si>
  <si>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</si>
  <si>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</si>
  <si>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</si>
  <si>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</si>
  <si>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</si>
  <si>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</si>
  <si>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</si>
  <si>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</si>
  <si>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</si>
  <si>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</si>
  <si>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</si>
  <si>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</si>
  <si>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</si>
  <si>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</si>
  <si>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</si>
  <si>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</si>
  <si>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</si>
  <si>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</si>
  <si>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</si>
  <si>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</si>
  <si>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</si>
  <si>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</si>
  <si>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</si>
  <si>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</si>
  <si>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</si>
  <si>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</si>
  <si>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</si>
  <si>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</si>
  <si>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</si>
  <si>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</si>
  <si>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</si>
  <si>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</si>
  <si>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</si>
  <si>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</si>
  <si>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</si>
  <si>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</si>
  <si>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</si>
  <si>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</si>
  <si>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</si>
  <si>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</si>
  <si>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</si>
  <si>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</si>
  <si>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</si>
  <si>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</si>
  <si>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</si>
  <si>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</si>
  <si>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</si>
  <si>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</si>
  <si>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</si>
  <si>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</si>
  <si>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</si>
  <si>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</si>
  <si>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</si>
  <si>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</si>
  <si>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</si>
  <si>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</si>
  <si>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</si>
  <si>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</si>
  <si>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</si>
  <si>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</si>
  <si>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</si>
  <si>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</si>
  <si>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</si>
  <si>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</si>
  <si>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</si>
  <si>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</si>
  <si>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</si>
  <si>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</si>
  <si>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</si>
  <si>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</si>
  <si>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</si>
  <si>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</si>
  <si>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</si>
  <si>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</si>
  <si>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</si>
  <si>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</si>
  <si>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</si>
  <si>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</si>
  <si>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</si>
  <si>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</si>
  <si>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</si>
  <si>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</si>
  <si>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</si>
  <si>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</si>
  <si>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</si>
  <si>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</si>
  <si>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</si>
  <si>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</si>
  <si>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</si>
  <si>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</si>
  <si>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</si>
  <si>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</si>
  <si>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</si>
  <si>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</si>
  <si>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</si>
  <si>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</si>
  <si>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</si>
  <si>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</si>
  <si>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</si>
  <si>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</si>
  <si>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</si>
  <si>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</si>
  <si>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</si>
  <si>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</si>
  <si>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</si>
  <si>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</si>
  <si>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</si>
  <si>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</si>
  <si>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</si>
  <si>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</si>
  <si>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</si>
  <si>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</si>
  <si>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</si>
  <si>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</si>
  <si>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</si>
  <si>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</si>
  <si>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</si>
  <si>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</si>
  <si>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</si>
  <si>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</si>
  <si>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</si>
  <si>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</si>
  <si>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</si>
  <si>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</si>
  <si>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</si>
  <si>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</si>
  <si>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</si>
  <si>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</si>
  <si>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</si>
  <si>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</si>
  <si>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</si>
  <si>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</si>
  <si>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</si>
  <si>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</si>
  <si>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</si>
  <si>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</si>
  <si>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</si>
  <si>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</si>
  <si>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</si>
  <si>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</si>
  <si>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</si>
  <si>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</si>
  <si>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</si>
  <si>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</si>
  <si>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</si>
  <si>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</si>
  <si>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</si>
  <si>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</si>
  <si>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</si>
  <si>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</si>
  <si>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</si>
  <si>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</si>
  <si>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</si>
  <si>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</si>
  <si>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</si>
  <si>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</si>
  <si>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</si>
  <si>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</si>
  <si>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</si>
  <si>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</si>
  <si>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</si>
  <si>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</si>
  <si>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</si>
  <si>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</si>
  <si>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</si>
  <si>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</si>
  <si>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</si>
  <si>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</si>
  <si>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</si>
  <si>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</si>
  <si>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</si>
  <si>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</si>
  <si>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</si>
  <si>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</si>
  <si>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</si>
  <si>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</si>
  <si>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</si>
  <si>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</si>
  <si>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</si>
  <si>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</si>
  <si>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</si>
  <si>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</si>
  <si>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</si>
  <si>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</si>
  <si>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</si>
  <si>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</si>
  <si>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</si>
  <si>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</si>
  <si>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Niagara-on-the-Lake Hydro Inc.</t>
  </si>
  <si>
    <t>EB-2016-0095</t>
  </si>
  <si>
    <t>2017 IRM Application</t>
  </si>
  <si>
    <t>EB-2018-0056</t>
  </si>
  <si>
    <t>2019 COS</t>
  </si>
  <si>
    <t>2016-2017</t>
  </si>
  <si>
    <t>General Service 50 - 4,999 kW</t>
  </si>
  <si>
    <t>B288</t>
  </si>
  <si>
    <t>Added "Annual Coupons" and removed "Conservation Instant Coupon Booklet"</t>
  </si>
  <si>
    <t>B303</t>
  </si>
  <si>
    <t>Added "peaksaverPLUS" and removed "Res New Construction"</t>
  </si>
  <si>
    <t>B310</t>
  </si>
  <si>
    <t>Added "Small Business Lighting" and removed "Direct Install Lighting"</t>
  </si>
  <si>
    <t>Row 471</t>
  </si>
  <si>
    <t>Includes "Save on Energy Coupon Program" and Save on Energy Instant Discount Program"</t>
  </si>
  <si>
    <t>Cost of Service Application</t>
  </si>
  <si>
    <t>2014 Settlement Agreement, p. 54 (EB-2013-0155)</t>
  </si>
  <si>
    <t>EB-2009-0237</t>
  </si>
  <si>
    <t>EB-2010-0101</t>
  </si>
  <si>
    <t>EB-2011-0186
EB-2012-0026</t>
  </si>
  <si>
    <t>EB-2012-0063</t>
  </si>
  <si>
    <t>EB-2013-0155</t>
  </si>
  <si>
    <t>EB-2014-0097</t>
  </si>
  <si>
    <t>EB-2015-0091</t>
  </si>
  <si>
    <t>EB-2017-0064</t>
  </si>
  <si>
    <t>Annual Coupons</t>
  </si>
  <si>
    <t>PeaksaverPLUS</t>
  </si>
  <si>
    <t>Small Business Lighting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</si>
</sst>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8" tint="0.39997558519241921"/>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0" fillId="28" borderId="110" xfId="0" applyFill="1" applyBorder="1" applyAlignment="1">
      <alignment horizontal="center"/>
    </xf>
    <xf numFmtId="3" fontId="48" fillId="28" borderId="110" xfId="0" applyNumberFormat="1" applyFont="1" applyFill="1" applyBorder="1" applyAlignment="1" applyProtection="1">
      <alignment horizontal="center"/>
      <protection locked="0"/>
    </xf>
    <xf numFmtId="172" fontId="45" fillId="94" borderId="137" xfId="0" applyNumberFormat="1" applyFont="1" applyFill="1" applyBorder="1" applyAlignment="1" applyProtection="1">
      <alignment horizontal="center"/>
    </xf>
    <xf numFmtId="288" fontId="41" fillId="94" borderId="103" xfId="0" applyNumberFormat="1" applyFont="1" applyFill="1" applyBorder="1" applyAlignment="1" applyProtection="1">
      <alignment horizontal="center"/>
    </xf>
    <xf numFmtId="288" fontId="45" fillId="94" borderId="137" xfId="0" applyNumberFormat="1" applyFont="1" applyFill="1" applyBorder="1" applyAlignment="1" applyProtection="1">
      <alignment horizontal="center"/>
    </xf>
    <xf numFmtId="172" fontId="45" fillId="94" borderId="107" xfId="0" applyNumberFormat="1" applyFont="1" applyFill="1" applyBorder="1" applyAlignment="1" applyProtection="1">
      <alignment horizontal="center"/>
    </xf>
    <xf numFmtId="288" fontId="41" fillId="94" borderId="37" xfId="0" applyNumberFormat="1" applyFont="1" applyFill="1" applyBorder="1" applyAlignment="1" applyProtection="1">
      <alignment horizontal="center"/>
    </xf>
    <xf numFmtId="288" fontId="45" fillId="94" borderId="107" xfId="0" applyNumberFormat="1" applyFont="1" applyFill="1" applyBorder="1" applyAlignment="1" applyProtection="1">
      <alignment horizontal="center"/>
    </xf>
    <xf numFmtId="3" fontId="91" fillId="95" borderId="89" xfId="0" applyNumberFormat="1" applyFont="1" applyFill="1" applyBorder="1" applyAlignment="1" applyProtection="1">
      <alignment vertical="center"/>
      <protection locked="0"/>
    </xf>
    <xf numFmtId="0" fontId="91" fillId="95" borderId="89" xfId="0" applyNumberFormat="1" applyFont="1" applyFill="1" applyBorder="1" applyAlignment="1" applyProtection="1">
      <alignment vertical="top" wrapText="1"/>
      <protection locked="0"/>
    </xf>
    <xf numFmtId="10" fontId="45" fillId="94" borderId="8"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24679" y="130661"/>
          <a:ext cx="19794501" cy="2043458"/>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913229" cy="1921861"/>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08" y="147828"/>
          <a:ext cx="30178248" cy="1832283"/>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319236" y="279703"/>
          <a:ext cx="17095368" cy="2224227"/>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32588" y="73152"/>
          <a:ext cx="20775507" cy="1909572"/>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45061" y="45101"/>
          <a:ext cx="21286512" cy="226104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56032" y="36576"/>
          <a:ext cx="17096232" cy="2138172"/>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10951" y="0"/>
          <a:ext cx="20840578" cy="211413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25430" y="273059"/>
          <a:ext cx="16509369" cy="1519007"/>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44762" y="209409"/>
          <a:ext cx="18803753" cy="217563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OTL_LRAMVA_Work_Form_v%202_%20July%2010%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abSelected="1" zoomScale="80" zoomScaleNormal="80" workbookViewId="0"/>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0" t="s">
        <v>174</v>
      </c>
      <c r="C3" s="750"/>
    </row>
    <row r="4" spans="1:3" ht="11.25" customHeight="1"/>
    <row r="5" spans="1:3" s="30" customFormat="1" ht="25.5" customHeight="1">
      <c r="B5" s="60" t="s">
        <v>420</v>
      </c>
      <c r="C5" s="60" t="s">
        <v>173</v>
      </c>
    </row>
    <row r="6" spans="1:3" s="176" customFormat="1" ht="48" customHeight="1">
      <c r="A6" s="241"/>
      <c r="B6" s="618" t="s">
        <v>170</v>
      </c>
      <c r="C6" s="671" t="s">
        <v>598</v>
      </c>
    </row>
    <row r="7" spans="1:3" s="176" customFormat="1" ht="21" customHeight="1">
      <c r="A7" s="241"/>
      <c r="B7" s="612" t="s">
        <v>552</v>
      </c>
      <c r="C7" s="672" t="s">
        <v>611</v>
      </c>
    </row>
    <row r="8" spans="1:3" s="176" customFormat="1" ht="32.25" customHeight="1">
      <c r="B8" s="612" t="s">
        <v>367</v>
      </c>
      <c r="C8" s="673" t="s">
        <v>599</v>
      </c>
    </row>
    <row r="9" spans="1:3" s="176" customFormat="1" ht="27.75" customHeight="1">
      <c r="B9" s="612" t="s">
        <v>169</v>
      </c>
      <c r="C9" s="673" t="s">
        <v>600</v>
      </c>
    </row>
    <row r="10" spans="1:3" s="176" customFormat="1" ht="33" customHeight="1">
      <c r="B10" s="612" t="s">
        <v>596</v>
      </c>
      <c r="C10" s="672" t="s">
        <v>604</v>
      </c>
    </row>
    <row r="11" spans="1:3" s="176" customFormat="1" ht="26.25" customHeight="1">
      <c r="B11" s="627" t="s">
        <v>368</v>
      </c>
      <c r="C11" s="675" t="s">
        <v>601</v>
      </c>
    </row>
    <row r="12" spans="1:3" s="176" customFormat="1" ht="39.75" customHeight="1">
      <c r="B12" s="612" t="s">
        <v>369</v>
      </c>
      <c r="C12" s="673" t="s">
        <v>602</v>
      </c>
    </row>
    <row r="13" spans="1:3" s="176" customFormat="1" ht="18" customHeight="1">
      <c r="B13" s="612" t="s">
        <v>370</v>
      </c>
      <c r="C13" s="673" t="s">
        <v>603</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597</v>
      </c>
      <c r="C17" s="677"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B1" zoomScale="70" zoomScaleNormal="70" zoomScaleSheetLayoutView="80" zoomScalePageLayoutView="85" workbookViewId="0">
      <selection activeCell="B1" sqref="A1:XFD1048576"/>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13"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795" t="s">
        <v>551</v>
      </c>
      <c r="D5" s="79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3" t="s">
        <v>505</v>
      </c>
      <c r="C7" s="812" t="s">
        <v>630</v>
      </c>
      <c r="D7" s="812"/>
      <c r="E7" s="812"/>
      <c r="F7" s="812"/>
      <c r="G7" s="812"/>
      <c r="H7" s="812"/>
      <c r="I7" s="812"/>
      <c r="J7" s="812"/>
      <c r="K7" s="812"/>
      <c r="L7" s="812"/>
      <c r="M7" s="812"/>
      <c r="N7" s="812"/>
      <c r="O7" s="812"/>
      <c r="P7" s="812"/>
      <c r="Q7" s="812"/>
      <c r="R7" s="812"/>
      <c r="S7" s="812"/>
      <c r="T7" s="812"/>
      <c r="U7" s="812"/>
      <c r="V7" s="812"/>
      <c r="W7" s="812"/>
      <c r="X7" s="812"/>
      <c r="Y7" s="606"/>
      <c r="Z7" s="606"/>
      <c r="AA7" s="606"/>
      <c r="AB7" s="606"/>
      <c r="AC7" s="606"/>
      <c r="AD7" s="606"/>
      <c r="AE7" s="270"/>
      <c r="AF7" s="270"/>
      <c r="AG7" s="270"/>
      <c r="AH7" s="270"/>
      <c r="AI7" s="270"/>
      <c r="AJ7" s="270"/>
      <c r="AK7" s="270"/>
      <c r="AL7" s="270"/>
    </row>
    <row r="8" spans="1:39" s="271" customFormat="1" ht="58.5" customHeight="1">
      <c r="A8" s="509"/>
      <c r="B8" s="813"/>
      <c r="C8" s="812" t="s">
        <v>568</v>
      </c>
      <c r="D8" s="812"/>
      <c r="E8" s="812"/>
      <c r="F8" s="812"/>
      <c r="G8" s="812"/>
      <c r="H8" s="812"/>
      <c r="I8" s="812"/>
      <c r="J8" s="812"/>
      <c r="K8" s="812"/>
      <c r="L8" s="812"/>
      <c r="M8" s="812"/>
      <c r="N8" s="812"/>
      <c r="O8" s="812"/>
      <c r="P8" s="812"/>
      <c r="Q8" s="812"/>
      <c r="R8" s="812"/>
      <c r="S8" s="812"/>
      <c r="T8" s="812"/>
      <c r="U8" s="812"/>
      <c r="V8" s="812"/>
      <c r="W8" s="812"/>
      <c r="X8" s="812"/>
      <c r="Y8" s="606"/>
      <c r="Z8" s="606"/>
      <c r="AA8" s="606"/>
      <c r="AB8" s="606"/>
      <c r="AC8" s="606"/>
      <c r="AD8" s="606"/>
      <c r="AE8" s="272"/>
      <c r="AF8" s="255"/>
      <c r="AG8" s="255"/>
      <c r="AH8" s="255"/>
      <c r="AI8" s="255"/>
      <c r="AJ8" s="255"/>
      <c r="AK8" s="255"/>
      <c r="AL8" s="255"/>
      <c r="AM8" s="256"/>
    </row>
    <row r="9" spans="1:39" s="271" customFormat="1" ht="57.75" customHeight="1">
      <c r="A9" s="509"/>
      <c r="B9" s="273"/>
      <c r="C9" s="812" t="s">
        <v>567</v>
      </c>
      <c r="D9" s="812"/>
      <c r="E9" s="812"/>
      <c r="F9" s="812"/>
      <c r="G9" s="812"/>
      <c r="H9" s="812"/>
      <c r="I9" s="812"/>
      <c r="J9" s="812"/>
      <c r="K9" s="812"/>
      <c r="L9" s="812"/>
      <c r="M9" s="812"/>
      <c r="N9" s="812"/>
      <c r="O9" s="812"/>
      <c r="P9" s="812"/>
      <c r="Q9" s="812"/>
      <c r="R9" s="812"/>
      <c r="S9" s="812"/>
      <c r="T9" s="812"/>
      <c r="U9" s="812"/>
      <c r="V9" s="812"/>
      <c r="W9" s="812"/>
      <c r="X9" s="812"/>
      <c r="Y9" s="606"/>
      <c r="Z9" s="606"/>
      <c r="AA9" s="606"/>
      <c r="AB9" s="606"/>
      <c r="AC9" s="606"/>
      <c r="AD9" s="606"/>
      <c r="AE9" s="272"/>
      <c r="AF9" s="255"/>
      <c r="AG9" s="255"/>
      <c r="AH9" s="255"/>
      <c r="AI9" s="255"/>
      <c r="AJ9" s="255"/>
      <c r="AK9" s="255"/>
      <c r="AL9" s="255"/>
      <c r="AM9" s="256"/>
    </row>
    <row r="10" spans="1:39" ht="41.25" customHeight="1">
      <c r="B10" s="275"/>
      <c r="C10" s="812" t="s">
        <v>633</v>
      </c>
      <c r="D10" s="812"/>
      <c r="E10" s="812"/>
      <c r="F10" s="812"/>
      <c r="G10" s="812"/>
      <c r="H10" s="812"/>
      <c r="I10" s="812"/>
      <c r="J10" s="812"/>
      <c r="K10" s="812"/>
      <c r="L10" s="812"/>
      <c r="M10" s="812"/>
      <c r="N10" s="812"/>
      <c r="O10" s="812"/>
      <c r="P10" s="812"/>
      <c r="Q10" s="812"/>
      <c r="R10" s="812"/>
      <c r="S10" s="812"/>
      <c r="T10" s="812"/>
      <c r="U10" s="812"/>
      <c r="V10" s="812"/>
      <c r="W10" s="812"/>
      <c r="X10" s="812"/>
      <c r="Y10" s="606"/>
      <c r="Z10" s="606"/>
      <c r="AA10" s="606"/>
      <c r="AB10" s="606"/>
      <c r="AC10" s="606"/>
      <c r="AD10" s="606"/>
      <c r="AE10" s="272"/>
      <c r="AF10" s="276"/>
      <c r="AG10" s="276"/>
      <c r="AH10" s="276"/>
      <c r="AI10" s="276"/>
      <c r="AJ10" s="276"/>
      <c r="AK10" s="276"/>
      <c r="AL10" s="276"/>
    </row>
    <row r="11" spans="1:39" ht="53.25" customHeight="1">
      <c r="C11" s="812" t="s">
        <v>618</v>
      </c>
      <c r="D11" s="812"/>
      <c r="E11" s="812"/>
      <c r="F11" s="812"/>
      <c r="G11" s="812"/>
      <c r="H11" s="812"/>
      <c r="I11" s="812"/>
      <c r="J11" s="812"/>
      <c r="K11" s="812"/>
      <c r="L11" s="812"/>
      <c r="M11" s="812"/>
      <c r="N11" s="812"/>
      <c r="O11" s="812"/>
      <c r="P11" s="812"/>
      <c r="Q11" s="812"/>
      <c r="R11" s="812"/>
      <c r="S11" s="812"/>
      <c r="T11" s="812"/>
      <c r="U11" s="812"/>
      <c r="V11" s="812"/>
      <c r="W11" s="812"/>
      <c r="X11" s="812"/>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3"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13"/>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03" t="s">
        <v>211</v>
      </c>
      <c r="C19" s="805" t="s">
        <v>33</v>
      </c>
      <c r="D19" s="284" t="s">
        <v>422</v>
      </c>
      <c r="E19" s="807" t="s">
        <v>209</v>
      </c>
      <c r="F19" s="808"/>
      <c r="G19" s="808"/>
      <c r="H19" s="808"/>
      <c r="I19" s="808"/>
      <c r="J19" s="808"/>
      <c r="K19" s="808"/>
      <c r="L19" s="808"/>
      <c r="M19" s="809"/>
      <c r="N19" s="810" t="s">
        <v>213</v>
      </c>
      <c r="O19" s="284" t="s">
        <v>423</v>
      </c>
      <c r="P19" s="807" t="s">
        <v>212</v>
      </c>
      <c r="Q19" s="808"/>
      <c r="R19" s="808"/>
      <c r="S19" s="808"/>
      <c r="T19" s="808"/>
      <c r="U19" s="808"/>
      <c r="V19" s="808"/>
      <c r="W19" s="808"/>
      <c r="X19" s="809"/>
      <c r="Y19" s="800" t="s">
        <v>243</v>
      </c>
      <c r="Z19" s="801"/>
      <c r="AA19" s="801"/>
      <c r="AB19" s="801"/>
      <c r="AC19" s="801"/>
      <c r="AD19" s="801"/>
      <c r="AE19" s="801"/>
      <c r="AF19" s="801"/>
      <c r="AG19" s="801"/>
      <c r="AH19" s="801"/>
      <c r="AI19" s="801"/>
      <c r="AJ19" s="801"/>
      <c r="AK19" s="801"/>
      <c r="AL19" s="801"/>
      <c r="AM19" s="802"/>
    </row>
    <row r="20" spans="1:39" s="283" customFormat="1" ht="59.25" customHeight="1">
      <c r="A20" s="509"/>
      <c r="B20" s="804"/>
      <c r="C20" s="806"/>
      <c r="D20" s="285">
        <v>2011</v>
      </c>
      <c r="E20" s="285">
        <v>2012</v>
      </c>
      <c r="F20" s="285">
        <v>2013</v>
      </c>
      <c r="G20" s="285">
        <v>2014</v>
      </c>
      <c r="H20" s="285">
        <v>2015</v>
      </c>
      <c r="I20" s="285">
        <v>2016</v>
      </c>
      <c r="J20" s="285">
        <v>2017</v>
      </c>
      <c r="K20" s="285">
        <v>2018</v>
      </c>
      <c r="L20" s="285">
        <v>2019</v>
      </c>
      <c r="M20" s="285">
        <v>2020</v>
      </c>
      <c r="N20" s="81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Street Lighting</v>
      </c>
      <c r="AB20" s="286" t="str">
        <f>'1.  LRAMVA Summary'!G52</f>
        <v>Unmetered Scattered Load</v>
      </c>
      <c r="AC20" s="286" t="str">
        <f>'1.  LRAMVA Summary'!H52</f>
        <v>General Service 50 - 4,999 kW</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46772.049168857789</v>
      </c>
      <c r="E22" s="295">
        <v>46772.049168857789</v>
      </c>
      <c r="F22" s="295">
        <v>46772.049168857789</v>
      </c>
      <c r="G22" s="295">
        <v>46469.090588404288</v>
      </c>
      <c r="H22" s="295">
        <v>31334.647024778606</v>
      </c>
      <c r="I22" s="295">
        <v>0</v>
      </c>
      <c r="J22" s="295">
        <v>0</v>
      </c>
      <c r="K22" s="295">
        <v>0</v>
      </c>
      <c r="L22" s="295">
        <v>0</v>
      </c>
      <c r="M22" s="295">
        <v>0</v>
      </c>
      <c r="N22" s="291"/>
      <c r="O22" s="295">
        <v>6.8499152185030061</v>
      </c>
      <c r="P22" s="295">
        <v>6.8499152185030061</v>
      </c>
      <c r="Q22" s="295">
        <v>6.8499152185030061</v>
      </c>
      <c r="R22" s="295">
        <v>6.511131787781987</v>
      </c>
      <c r="S22" s="295">
        <v>4.1198707220217816</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289.10207846226524</v>
      </c>
      <c r="E25" s="295">
        <v>289.10207846226524</v>
      </c>
      <c r="F25" s="295">
        <v>289.10207846226524</v>
      </c>
      <c r="G25" s="295">
        <v>90.299087680455813</v>
      </c>
      <c r="H25" s="295">
        <v>0</v>
      </c>
      <c r="I25" s="295">
        <v>0</v>
      </c>
      <c r="J25" s="295">
        <v>0</v>
      </c>
      <c r="K25" s="295">
        <v>0</v>
      </c>
      <c r="L25" s="295">
        <v>0</v>
      </c>
      <c r="M25" s="295">
        <v>0</v>
      </c>
      <c r="N25" s="291"/>
      <c r="O25" s="295">
        <v>0.27295415731260536</v>
      </c>
      <c r="P25" s="295">
        <v>0.27295415731260536</v>
      </c>
      <c r="Q25" s="295">
        <v>0.27295415731260536</v>
      </c>
      <c r="R25" s="295">
        <v>5.0642714098680139E-2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86998.285139271757</v>
      </c>
      <c r="E28" s="295">
        <v>86998.285139271757</v>
      </c>
      <c r="F28" s="295">
        <v>86998.285139271757</v>
      </c>
      <c r="G28" s="295">
        <v>86998.285139271757</v>
      </c>
      <c r="H28" s="295">
        <v>86998.285139271757</v>
      </c>
      <c r="I28" s="295">
        <v>86998.285139271757</v>
      </c>
      <c r="J28" s="295">
        <v>86998.285139271757</v>
      </c>
      <c r="K28" s="295">
        <v>86998.285139271757</v>
      </c>
      <c r="L28" s="295">
        <v>86998.285139271757</v>
      </c>
      <c r="M28" s="295">
        <v>86998.285139271757</v>
      </c>
      <c r="N28" s="291"/>
      <c r="O28" s="295">
        <v>48.585570420113896</v>
      </c>
      <c r="P28" s="295">
        <v>48.585570420113896</v>
      </c>
      <c r="Q28" s="295">
        <v>48.585570420113896</v>
      </c>
      <c r="R28" s="295">
        <v>48.585570420113896</v>
      </c>
      <c r="S28" s="295">
        <v>48.585570420113896</v>
      </c>
      <c r="T28" s="295">
        <v>48.585570420113896</v>
      </c>
      <c r="U28" s="295">
        <v>48.585570420113896</v>
      </c>
      <c r="V28" s="295">
        <v>48.585570420113896</v>
      </c>
      <c r="W28" s="295">
        <v>48.585570420113896</v>
      </c>
      <c r="X28" s="295">
        <v>48.585570420113896</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-11232.164920184281</v>
      </c>
      <c r="E29" s="295">
        <v>-11232.164920184281</v>
      </c>
      <c r="F29" s="295">
        <v>-11232.164920184281</v>
      </c>
      <c r="G29" s="295">
        <v>-11232.164920184281</v>
      </c>
      <c r="H29" s="295">
        <v>-11232.164920184281</v>
      </c>
      <c r="I29" s="295">
        <v>-11232.164920184281</v>
      </c>
      <c r="J29" s="295">
        <v>-11232.164920184281</v>
      </c>
      <c r="K29" s="295">
        <v>-11232.164920184281</v>
      </c>
      <c r="L29" s="295">
        <v>-11232.164920184281</v>
      </c>
      <c r="M29" s="295">
        <v>-11232.164920184281</v>
      </c>
      <c r="N29" s="468"/>
      <c r="O29" s="295">
        <v>-6.1621266416101683</v>
      </c>
      <c r="P29" s="295">
        <v>-6.1621266416101683</v>
      </c>
      <c r="Q29" s="295">
        <v>-6.1621266416101683</v>
      </c>
      <c r="R29" s="295">
        <v>-6.1621266416101683</v>
      </c>
      <c r="S29" s="295">
        <v>-6.1621266416101683</v>
      </c>
      <c r="T29" s="295">
        <v>-6.1621266416101683</v>
      </c>
      <c r="U29" s="295">
        <v>-6.1621266416101683</v>
      </c>
      <c r="V29" s="295">
        <v>-6.1621266416101683</v>
      </c>
      <c r="W29" s="295">
        <v>-6.1621266416101683</v>
      </c>
      <c r="X29" s="295">
        <v>-6.1621266416101683</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32224.924559759991</v>
      </c>
      <c r="E31" s="295">
        <v>32224.924559759991</v>
      </c>
      <c r="F31" s="295">
        <v>32224.924559759991</v>
      </c>
      <c r="G31" s="295">
        <v>32224.924559759991</v>
      </c>
      <c r="H31" s="295">
        <v>29722.944236200805</v>
      </c>
      <c r="I31" s="295">
        <v>26989.636123496348</v>
      </c>
      <c r="J31" s="295">
        <v>21088.614402166382</v>
      </c>
      <c r="K31" s="295">
        <v>20964.178427016246</v>
      </c>
      <c r="L31" s="295">
        <v>26199.466863279893</v>
      </c>
      <c r="M31" s="295">
        <v>10486.240795684773</v>
      </c>
      <c r="N31" s="291"/>
      <c r="O31" s="295">
        <v>2.049155173217589</v>
      </c>
      <c r="P31" s="295">
        <v>2.049155173217589</v>
      </c>
      <c r="Q31" s="295">
        <v>2.049155173217589</v>
      </c>
      <c r="R31" s="295">
        <v>2.049155173217589</v>
      </c>
      <c r="S31" s="295">
        <v>1.9333061031371792</v>
      </c>
      <c r="T31" s="295">
        <v>1.8067458739785409</v>
      </c>
      <c r="U31" s="295">
        <v>1.5335111596591706</v>
      </c>
      <c r="V31" s="295">
        <v>1.5193061396648633</v>
      </c>
      <c r="W31" s="295">
        <v>1.7617154389039118</v>
      </c>
      <c r="X31" s="295">
        <v>1.0341467163391365</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437.1282978105275</v>
      </c>
      <c r="E32" s="295">
        <v>437.1282978105275</v>
      </c>
      <c r="F32" s="295">
        <v>437.1282978105275</v>
      </c>
      <c r="G32" s="295">
        <v>437.1282978105275</v>
      </c>
      <c r="H32" s="295">
        <v>437.1282978105275</v>
      </c>
      <c r="I32" s="295">
        <v>399.3957236423413</v>
      </c>
      <c r="J32" s="295">
        <v>245.02582377538795</v>
      </c>
      <c r="K32" s="295">
        <v>244.69221526292108</v>
      </c>
      <c r="L32" s="295">
        <v>244.69221526292108</v>
      </c>
      <c r="M32" s="295">
        <v>86.673562965357789</v>
      </c>
      <c r="N32" s="468"/>
      <c r="O32" s="295">
        <v>2.5529453026157091E-2</v>
      </c>
      <c r="P32" s="295">
        <v>2.5529453026157091E-2</v>
      </c>
      <c r="Q32" s="295">
        <v>2.5529453026157091E-2</v>
      </c>
      <c r="R32" s="295">
        <v>2.5529453026157091E-2</v>
      </c>
      <c r="S32" s="295">
        <v>2.5529453026157091E-2</v>
      </c>
      <c r="T32" s="295">
        <v>2.378232352719039E-2</v>
      </c>
      <c r="U32" s="295">
        <v>1.6634541756248115E-2</v>
      </c>
      <c r="V32" s="295">
        <v>1.6596458592724503E-2</v>
      </c>
      <c r="W32" s="295">
        <v>1.6596458592724503E-2</v>
      </c>
      <c r="X32" s="295">
        <v>9.2797288200495414E-3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46602.048670888827</v>
      </c>
      <c r="E34" s="295">
        <v>46602.048670888827</v>
      </c>
      <c r="F34" s="295">
        <v>46602.048670888827</v>
      </c>
      <c r="G34" s="295">
        <v>46602.048670888827</v>
      </c>
      <c r="H34" s="295">
        <v>42590.840485994297</v>
      </c>
      <c r="I34" s="295">
        <v>38208.76450790582</v>
      </c>
      <c r="J34" s="295">
        <v>28806.972691022846</v>
      </c>
      <c r="K34" s="295">
        <v>28701.88600959579</v>
      </c>
      <c r="L34" s="295">
        <v>37095.170172578793</v>
      </c>
      <c r="M34" s="295">
        <v>11903.516817058471</v>
      </c>
      <c r="N34" s="291"/>
      <c r="O34" s="295">
        <v>2.6664537014893233</v>
      </c>
      <c r="P34" s="295">
        <v>2.6664537014893233</v>
      </c>
      <c r="Q34" s="295">
        <v>2.6664537014893233</v>
      </c>
      <c r="R34" s="295">
        <v>2.6664537014893233</v>
      </c>
      <c r="S34" s="295">
        <v>2.4807229290514683</v>
      </c>
      <c r="T34" s="295">
        <v>2.2778198836905497</v>
      </c>
      <c r="U34" s="295">
        <v>1.8424891863147672</v>
      </c>
      <c r="V34" s="295">
        <v>1.8304929898048294</v>
      </c>
      <c r="W34" s="295">
        <v>2.2191268076036033</v>
      </c>
      <c r="X34" s="295">
        <v>1.0526789392712588</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3462.3765969673914</v>
      </c>
      <c r="E35" s="295">
        <v>3462.3765969673914</v>
      </c>
      <c r="F35" s="295">
        <v>3462.3765969673914</v>
      </c>
      <c r="G35" s="295">
        <v>3462.3765969673914</v>
      </c>
      <c r="H35" s="295">
        <v>3462.3765969673914</v>
      </c>
      <c r="I35" s="295">
        <v>3146.3078848452219</v>
      </c>
      <c r="J35" s="295">
        <v>1698.6575066213995</v>
      </c>
      <c r="K35" s="295">
        <v>1698.3114480882095</v>
      </c>
      <c r="L35" s="295">
        <v>1698.3114480882095</v>
      </c>
      <c r="M35" s="295">
        <v>374.66064969974252</v>
      </c>
      <c r="N35" s="468"/>
      <c r="O35" s="295">
        <v>0.17104864633154734</v>
      </c>
      <c r="P35" s="295">
        <v>0.17104864633154734</v>
      </c>
      <c r="Q35" s="295">
        <v>0.17104864633154734</v>
      </c>
      <c r="R35" s="295">
        <v>0.17104864633154734</v>
      </c>
      <c r="S35" s="295">
        <v>0.17104864633154734</v>
      </c>
      <c r="T35" s="295">
        <v>0.1564137325250399</v>
      </c>
      <c r="U35" s="295">
        <v>8.9383249295575354E-2</v>
      </c>
      <c r="V35" s="295">
        <v>8.9343744896809366E-2</v>
      </c>
      <c r="W35" s="295">
        <v>8.9343744896809366E-2</v>
      </c>
      <c r="X35" s="295">
        <v>2.8054808025252335E-2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v>0</v>
      </c>
      <c r="L37" s="295">
        <v>0</v>
      </c>
      <c r="M37" s="295">
        <v>0</v>
      </c>
      <c r="N37" s="291"/>
      <c r="O37" s="295">
        <v>0</v>
      </c>
      <c r="P37" s="295">
        <v>0</v>
      </c>
      <c r="Q37" s="295">
        <v>0</v>
      </c>
      <c r="R37" s="295">
        <v>0</v>
      </c>
      <c r="S37" s="295">
        <v>0</v>
      </c>
      <c r="T37" s="295">
        <v>0</v>
      </c>
      <c r="U37" s="295">
        <v>0</v>
      </c>
      <c r="V37" s="295">
        <v>0</v>
      </c>
      <c r="W37" s="295">
        <v>0</v>
      </c>
      <c r="X37" s="295">
        <v>0</v>
      </c>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78073.766080928239</v>
      </c>
      <c r="E50" s="295">
        <v>78073.766080928239</v>
      </c>
      <c r="F50" s="295">
        <v>78073.766080928239</v>
      </c>
      <c r="G50" s="295">
        <v>78073.766080928239</v>
      </c>
      <c r="H50" s="295">
        <v>78073.766080928239</v>
      </c>
      <c r="I50" s="295">
        <v>78073.766080928239</v>
      </c>
      <c r="J50" s="295">
        <v>78073.766080928239</v>
      </c>
      <c r="K50" s="295">
        <v>40268.660825533712</v>
      </c>
      <c r="L50" s="295">
        <v>22566.320642376089</v>
      </c>
      <c r="M50" s="295">
        <v>22566.320642376089</v>
      </c>
      <c r="N50" s="295">
        <v>12</v>
      </c>
      <c r="O50" s="295">
        <v>15.294118567719918</v>
      </c>
      <c r="P50" s="295">
        <v>15.294118567719918</v>
      </c>
      <c r="Q50" s="295">
        <v>15.294118567719918</v>
      </c>
      <c r="R50" s="295">
        <v>15.294118567719918</v>
      </c>
      <c r="S50" s="295">
        <v>15.294118567719918</v>
      </c>
      <c r="T50" s="295">
        <v>15.294118567719918</v>
      </c>
      <c r="U50" s="295">
        <v>15.294118567719918</v>
      </c>
      <c r="V50" s="295">
        <v>6.2738251009774535</v>
      </c>
      <c r="W50" s="295">
        <v>0</v>
      </c>
      <c r="X50" s="295">
        <v>0</v>
      </c>
      <c r="Y50" s="415"/>
      <c r="Z50" s="415">
        <v>0.6</v>
      </c>
      <c r="AA50" s="415"/>
      <c r="AB50" s="415"/>
      <c r="AC50" s="415">
        <v>0.4</v>
      </c>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v>
      </c>
      <c r="AA51" s="411">
        <f t="shared" ref="AA51:AL51" si="9">AA50</f>
        <v>0</v>
      </c>
      <c r="AB51" s="411">
        <f t="shared" si="9"/>
        <v>0</v>
      </c>
      <c r="AC51" s="411">
        <f t="shared" si="9"/>
        <v>0.4</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451696.23381235532</v>
      </c>
      <c r="E53" s="295">
        <v>451696.23381235532</v>
      </c>
      <c r="F53" s="295">
        <v>426576.26508573582</v>
      </c>
      <c r="G53" s="295">
        <v>257910.5797033397</v>
      </c>
      <c r="H53" s="295">
        <v>257910.5797033397</v>
      </c>
      <c r="I53" s="295">
        <v>257910.5797033397</v>
      </c>
      <c r="J53" s="295">
        <v>109694.38866321639</v>
      </c>
      <c r="K53" s="295">
        <v>109563.79631744702</v>
      </c>
      <c r="L53" s="295">
        <v>109563.79631744702</v>
      </c>
      <c r="M53" s="295">
        <v>109563.79631744702</v>
      </c>
      <c r="N53" s="295">
        <v>12</v>
      </c>
      <c r="O53" s="295">
        <v>170.97650009584177</v>
      </c>
      <c r="P53" s="295">
        <v>170.97650009584177</v>
      </c>
      <c r="Q53" s="295">
        <v>162.27541767016069</v>
      </c>
      <c r="R53" s="295">
        <v>102.33334745320033</v>
      </c>
      <c r="S53" s="295">
        <v>102.33334745320033</v>
      </c>
      <c r="T53" s="295">
        <v>102.33334745320033</v>
      </c>
      <c r="U53" s="295">
        <v>42.852139652854426</v>
      </c>
      <c r="V53" s="295">
        <v>42.678164090582463</v>
      </c>
      <c r="W53" s="295">
        <v>42.678164090582463</v>
      </c>
      <c r="X53" s="295">
        <v>42.678164090582463</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v>22210.92</v>
      </c>
      <c r="E59" s="295">
        <v>22210.92</v>
      </c>
      <c r="F59" s="295">
        <v>22210.92</v>
      </c>
      <c r="G59" s="295">
        <v>22210.92</v>
      </c>
      <c r="H59" s="295">
        <v>22210.92</v>
      </c>
      <c r="I59" s="295">
        <v>22210.92</v>
      </c>
      <c r="J59" s="295">
        <v>22210.92</v>
      </c>
      <c r="K59" s="295">
        <v>22210.92</v>
      </c>
      <c r="L59" s="295">
        <v>22210.92</v>
      </c>
      <c r="M59" s="295">
        <v>22210.92</v>
      </c>
      <c r="N59" s="295">
        <v>12</v>
      </c>
      <c r="O59" s="295">
        <v>4.6349999999999998</v>
      </c>
      <c r="P59" s="295">
        <v>4.6349999999999998</v>
      </c>
      <c r="Q59" s="295">
        <v>4.6349999999999998</v>
      </c>
      <c r="R59" s="295">
        <v>4.6349999999999998</v>
      </c>
      <c r="S59" s="295">
        <v>4.6349999999999998</v>
      </c>
      <c r="T59" s="295">
        <v>4.6349999999999998</v>
      </c>
      <c r="U59" s="295">
        <v>4.6349999999999998</v>
      </c>
      <c r="V59" s="295">
        <v>4.6349999999999998</v>
      </c>
      <c r="W59" s="295">
        <v>4.6349999999999998</v>
      </c>
      <c r="X59" s="295">
        <v>4.6349999999999998</v>
      </c>
      <c r="Y59" s="415"/>
      <c r="Z59" s="415"/>
      <c r="AA59" s="415"/>
      <c r="AB59" s="415"/>
      <c r="AC59" s="415">
        <v>1</v>
      </c>
      <c r="AD59" s="415"/>
      <c r="AE59" s="415"/>
      <c r="AF59" s="415"/>
      <c r="AG59" s="415"/>
      <c r="AH59" s="415"/>
      <c r="AI59" s="415"/>
      <c r="AJ59" s="415"/>
      <c r="AK59" s="415"/>
      <c r="AL59" s="415"/>
      <c r="AM59" s="296">
        <f>SUM(Y59:AL59)</f>
        <v>1</v>
      </c>
    </row>
    <row r="60" spans="1:42" s="283" customFormat="1" ht="15" outlineLevel="1">
      <c r="A60" s="509"/>
      <c r="B60" s="315" t="s">
        <v>214</v>
      </c>
      <c r="C60" s="291" t="s">
        <v>163</v>
      </c>
      <c r="D60" s="295">
        <v>17.990000000001601</v>
      </c>
      <c r="E60" s="295">
        <v>17.990000000001601</v>
      </c>
      <c r="F60" s="295">
        <v>17.990000000001601</v>
      </c>
      <c r="G60" s="295">
        <v>17.990000000001601</v>
      </c>
      <c r="H60" s="295">
        <v>17.990000000001601</v>
      </c>
      <c r="I60" s="295">
        <v>17.990000000001601</v>
      </c>
      <c r="J60" s="295">
        <v>17.990000000001601</v>
      </c>
      <c r="K60" s="295">
        <v>17.990000000001601</v>
      </c>
      <c r="L60" s="295">
        <v>17.990000000001601</v>
      </c>
      <c r="M60" s="295">
        <v>17.990000000001601</v>
      </c>
      <c r="N60" s="295">
        <f>N59</f>
        <v>12</v>
      </c>
      <c r="O60" s="295">
        <v>-1</v>
      </c>
      <c r="P60" s="295">
        <v>-1</v>
      </c>
      <c r="Q60" s="295">
        <v>-1</v>
      </c>
      <c r="R60" s="295">
        <v>-1</v>
      </c>
      <c r="S60" s="295">
        <v>-1</v>
      </c>
      <c r="T60" s="295">
        <v>-1</v>
      </c>
      <c r="U60" s="295">
        <v>-1</v>
      </c>
      <c r="V60" s="295">
        <v>-1</v>
      </c>
      <c r="W60" s="295">
        <v>-1</v>
      </c>
      <c r="X60" s="295">
        <v>-1</v>
      </c>
      <c r="Y60" s="411">
        <f>Y59</f>
        <v>0</v>
      </c>
      <c r="Z60" s="411">
        <f>Z59</f>
        <v>0</v>
      </c>
      <c r="AA60" s="411">
        <f t="shared" ref="AA60:AL60" si="12">AA59</f>
        <v>0</v>
      </c>
      <c r="AB60" s="411">
        <f t="shared" si="12"/>
        <v>0</v>
      </c>
      <c r="AC60" s="411">
        <f t="shared" si="12"/>
        <v>1</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165617.94868325171</v>
      </c>
      <c r="E102" s="295">
        <v>165617.94868325171</v>
      </c>
      <c r="F102" s="295">
        <v>165617.94868325171</v>
      </c>
      <c r="G102" s="295">
        <v>165617.94868325171</v>
      </c>
      <c r="H102" s="295">
        <v>165617.94868325171</v>
      </c>
      <c r="I102" s="295">
        <v>165617.94868325171</v>
      </c>
      <c r="J102" s="295">
        <v>165617.94868325171</v>
      </c>
      <c r="K102" s="295">
        <v>165617.94868325171</v>
      </c>
      <c r="L102" s="295">
        <v>165617.94868325171</v>
      </c>
      <c r="M102" s="295">
        <v>165617.94868325171</v>
      </c>
      <c r="N102" s="295">
        <v>12</v>
      </c>
      <c r="O102" s="295">
        <v>30.13088328932</v>
      </c>
      <c r="P102" s="295">
        <v>30.13088328932</v>
      </c>
      <c r="Q102" s="295">
        <v>30.13088328932</v>
      </c>
      <c r="R102" s="295">
        <v>30.13088328932</v>
      </c>
      <c r="S102" s="295">
        <v>30.13088328932</v>
      </c>
      <c r="T102" s="295">
        <v>30.13088328932</v>
      </c>
      <c r="U102" s="295">
        <v>30.13088328932</v>
      </c>
      <c r="V102" s="295">
        <v>30.13088328932</v>
      </c>
      <c r="W102" s="295">
        <v>30.13088328932</v>
      </c>
      <c r="X102" s="295">
        <v>30.13088328932</v>
      </c>
      <c r="Y102" s="410"/>
      <c r="Z102" s="410"/>
      <c r="AA102" s="410"/>
      <c r="AB102" s="410"/>
      <c r="AC102" s="410">
        <v>1</v>
      </c>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1</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92389.579740231638</v>
      </c>
      <c r="E105" s="295">
        <v>92389.579740231638</v>
      </c>
      <c r="F105" s="295">
        <v>92389.579740231638</v>
      </c>
      <c r="G105" s="295">
        <v>92389.579740231638</v>
      </c>
      <c r="H105" s="295">
        <v>92389.579740231638</v>
      </c>
      <c r="I105" s="295">
        <v>92389.579740231638</v>
      </c>
      <c r="J105" s="295">
        <v>92389.579740231638</v>
      </c>
      <c r="K105" s="295">
        <v>92389.579740231638</v>
      </c>
      <c r="L105" s="295">
        <v>92389.579740231638</v>
      </c>
      <c r="M105" s="295">
        <v>92389.579740231638</v>
      </c>
      <c r="N105" s="295">
        <v>12</v>
      </c>
      <c r="O105" s="295">
        <v>17.98862533883015</v>
      </c>
      <c r="P105" s="295">
        <v>17.98862533883015</v>
      </c>
      <c r="Q105" s="295">
        <v>17.98862533883015</v>
      </c>
      <c r="R105" s="295">
        <v>17.98862533883015</v>
      </c>
      <c r="S105" s="295">
        <v>17.98862533883015</v>
      </c>
      <c r="T105" s="295">
        <v>17.98862533883015</v>
      </c>
      <c r="U105" s="295">
        <v>17.98862533883015</v>
      </c>
      <c r="V105" s="295">
        <v>17.98862533883015</v>
      </c>
      <c r="W105" s="295">
        <v>17.98862533883015</v>
      </c>
      <c r="X105" s="295">
        <v>17.98862533883015</v>
      </c>
      <c r="Y105" s="410"/>
      <c r="Z105" s="410"/>
      <c r="AA105" s="410"/>
      <c r="AB105" s="410"/>
      <c r="AC105" s="410">
        <v>1</v>
      </c>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21537.172259768369</v>
      </c>
      <c r="E106" s="295">
        <v>21537.172259768369</v>
      </c>
      <c r="F106" s="295">
        <v>21537.172259768369</v>
      </c>
      <c r="G106" s="295">
        <v>21537.172259768369</v>
      </c>
      <c r="H106" s="295">
        <v>21537.172259768402</v>
      </c>
      <c r="I106" s="295">
        <v>21537.172259768402</v>
      </c>
      <c r="J106" s="295">
        <v>21537.172259768402</v>
      </c>
      <c r="K106" s="295">
        <v>21537.172259768402</v>
      </c>
      <c r="L106" s="295">
        <v>21537.172259768402</v>
      </c>
      <c r="M106" s="295">
        <v>21537.172259768402</v>
      </c>
      <c r="N106" s="295">
        <f>N105</f>
        <v>12</v>
      </c>
      <c r="O106" s="295">
        <v>4.1933746611698544</v>
      </c>
      <c r="P106" s="295">
        <v>4.1933746611698544</v>
      </c>
      <c r="Q106" s="295">
        <v>4.1933746611698544</v>
      </c>
      <c r="R106" s="295">
        <v>4.1933746611698544</v>
      </c>
      <c r="S106" s="295">
        <v>4.1933746611698499</v>
      </c>
      <c r="T106" s="295">
        <v>4.1933746611698499</v>
      </c>
      <c r="U106" s="295">
        <v>4.1933746611698499</v>
      </c>
      <c r="V106" s="295">
        <v>4.1933746611698499</v>
      </c>
      <c r="W106" s="295">
        <v>4.1933746611698499</v>
      </c>
      <c r="X106" s="295">
        <v>4.1933746611698499</v>
      </c>
      <c r="Y106" s="411">
        <f>Y105</f>
        <v>0</v>
      </c>
      <c r="Z106" s="411">
        <f>Z105</f>
        <v>0</v>
      </c>
      <c r="AA106" s="411">
        <f>AA105</f>
        <v>0</v>
      </c>
      <c r="AB106" s="411">
        <f>AB105</f>
        <v>0</v>
      </c>
      <c r="AC106" s="411">
        <f t="shared" ref="AC106:AL106" si="26">AC105</f>
        <v>1</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1037097.3601683696</v>
      </c>
      <c r="E127" s="328"/>
      <c r="F127" s="328"/>
      <c r="G127" s="328"/>
      <c r="H127" s="328"/>
      <c r="I127" s="328"/>
      <c r="J127" s="328"/>
      <c r="K127" s="328"/>
      <c r="L127" s="328"/>
      <c r="M127" s="328"/>
      <c r="N127" s="328"/>
      <c r="O127" s="328">
        <f>SUM(O22:O125)</f>
        <v>296.6770020812657</v>
      </c>
      <c r="P127" s="328"/>
      <c r="Q127" s="328"/>
      <c r="R127" s="328"/>
      <c r="S127" s="328"/>
      <c r="T127" s="328"/>
      <c r="U127" s="328"/>
      <c r="V127" s="328"/>
      <c r="W127" s="328"/>
      <c r="X127" s="328"/>
      <c r="Y127" s="329">
        <f>IF(Y21="kWh",SUMPRODUCT(D22:D125,Y22:Y125))</f>
        <v>205553.74959183426</v>
      </c>
      <c r="Z127" s="329">
        <f>IF(Z21="kWh",SUMPRODUCT(D22:D125,Z22:Z125))</f>
        <v>498540.49346091226</v>
      </c>
      <c r="AA127" s="329">
        <f>IF(AA21="kW",SUMPRODUCT(N22:N125,O22:O125,AA22:AA125),SUMPRODUCT(D22:D125,AA22:AA125))</f>
        <v>0</v>
      </c>
      <c r="AB127" s="329">
        <f>IF(AB21="kW",SUMPRODUCT(N22:N125,O22:O125,AB22:AB125),SUMPRODUCT(D22:D125,AB22:AB125))</f>
        <v>0</v>
      </c>
      <c r="AC127" s="329">
        <f>IF(AC21="kW",SUMPRODUCT(N22:N125,O22:O125,AC22:AC125),SUMPRODUCT(D22:D125,AC22:AC125))</f>
        <v>744.78636859689573</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205553.74959183426</v>
      </c>
      <c r="Z135" s="291">
        <f>SUMPRODUCT(E22:E125,Z22:Z125)</f>
        <v>498540.49346091226</v>
      </c>
      <c r="AA135" s="291">
        <f>IF(AA21="kW",SUMPRODUCT(N22:N125,P22:P125,AA22:AA125),SUMPRODUCT(E22:E125,AA22:AA125))</f>
        <v>0</v>
      </c>
      <c r="AB135" s="291">
        <f>IF(AB21="kW",SUMPRODUCT(N22:N125,P22:P125,AB22:AB125),SUMPRODUCT(E22:E125,AB22:AB125))</f>
        <v>0</v>
      </c>
      <c r="AC135" s="291">
        <f>IF(AC21="kW",SUMPRODUCT(N22:N125,P22:P125,AC22:AC125),SUMPRODUCT(E22:E125,AC22:AC125))</f>
        <v>744.78636859689573</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205553.74959183426</v>
      </c>
      <c r="Z136" s="291">
        <f>SUMPRODUCT(F22:F125,Z22:Z125)</f>
        <v>473420.52473429276</v>
      </c>
      <c r="AA136" s="291">
        <f>IF(AA21="kW",SUMPRODUCT(N22:N125,Q22:Q125,AA22:AA125),SUMPRODUCT(F22:F125,AA22:AA125))</f>
        <v>0</v>
      </c>
      <c r="AB136" s="291">
        <f>IF(AB21="kW",SUMPRODUCT(N22:N125,Q22:Q125,AB22:AB125),SUMPRODUCT(F22:F125,AB22:AB125))</f>
        <v>0</v>
      </c>
      <c r="AC136" s="291">
        <f>IF(AC21="kW",SUMPRODUCT(N22:N125,Q22:Q125,AC22:AC125),SUMPRODUCT(F22:F125, AC22:AC125))</f>
        <v>744.78636859689573</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205051.98802059895</v>
      </c>
      <c r="Z137" s="291">
        <f>SUMPRODUCT(G22:G125,Z22:Z125)</f>
        <v>304754.83935189666</v>
      </c>
      <c r="AA137" s="291">
        <f>IF(AA21="kW",SUMPRODUCT(N22:N125,R22:R125,AA22:AA125),SUMPRODUCT(G22:G125,AA22:AA125))</f>
        <v>0</v>
      </c>
      <c r="AB137" s="291">
        <f>IF(AB21="kW",SUMPRODUCT(N22:N125,R22:R125,AB22:AB125),SUMPRODUCT(G22:G125,AB22:AB125))</f>
        <v>0</v>
      </c>
      <c r="AC137" s="291">
        <f>IF(AC21="kW",SUMPRODUCT(N22:N125,R22:R125,AC22:AC125),SUMPRODUCT(G22:G125, AC22:AC125))</f>
        <v>744.78636859689573</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183314.0568608391</v>
      </c>
      <c r="Z138" s="291">
        <f>SUMPRODUCT(H22:H125,Z22:Z125)</f>
        <v>304754.83935189666</v>
      </c>
      <c r="AA138" s="291">
        <f>IF(AA21="kW",SUMPRODUCT(N22:N125,S22:S125,AA22:AA125),SUMPRODUCT(H22:H125,AA22:AA125))</f>
        <v>0</v>
      </c>
      <c r="AB138" s="291">
        <f>IF(AB21="kW",SUMPRODUCT(N22:N125,S22:S125,AB22:AB125),SUMPRODUCT(H22:H125,AB22:AB125))</f>
        <v>0</v>
      </c>
      <c r="AC138" s="291">
        <f>IF(AC21="kW",SUMPRODUCT(N22:N125,S22:S125,AC22:AC125),SUMPRODUCT(H22:H125, AC22:AC125))</f>
        <v>744.78636859689561</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144510.2244589772</v>
      </c>
      <c r="Z139" s="291">
        <f>SUMPRODUCT(I22:I125,Z22:Z125)</f>
        <v>304754.83935189666</v>
      </c>
      <c r="AA139" s="291">
        <f>IF(AA21="kW",SUMPRODUCT(N22:N125,T22:T125,AA22:AA125),SUMPRODUCT(I22:I125,AA22:AA125))</f>
        <v>0</v>
      </c>
      <c r="AB139" s="291">
        <f>IF(AB21="kW",SUMPRODUCT(N22:N125,T22:T125,AB22:AB125),SUMPRODUCT(I22:I125,AB22:AB125))</f>
        <v>0</v>
      </c>
      <c r="AC139" s="291">
        <f>IF(AC21="kW",SUMPRODUCT(N22:N125,T22:T125,AC22:AC125),SUMPRODUCT(I22:I125, AC22:AC125))</f>
        <v>744.78636859689561</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127605.39064267349</v>
      </c>
      <c r="Z140" s="291">
        <f>SUMPRODUCT(J22:J125,Z22:Z125)</f>
        <v>156538.64831177334</v>
      </c>
      <c r="AA140" s="291">
        <f>IF(AA21="kW",SUMPRODUCT(N22:N125,U22:U125,AA22:AA125),SUMPRODUCT(J22:J125,AA22:AA125))</f>
        <v>0</v>
      </c>
      <c r="AB140" s="291">
        <f>IF(AB21="kW",SUMPRODUCT(N22:N125,U22:U125,AB22:AB125),SUMPRODUCT(J22:J125,AB22:AB125))</f>
        <v>0</v>
      </c>
      <c r="AC140" s="291">
        <f>IF(AC21="kW",SUMPRODUCT(N22:N125,U22:U125,AC22:AC125),SUMPRODUCT(J22:J125, AC22:AC125))</f>
        <v>744.78636859689561</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127375.18831905065</v>
      </c>
      <c r="Z141" s="291">
        <f>SUMPRODUCT(K22:K125,Z22:Z125)</f>
        <v>133724.99281276725</v>
      </c>
      <c r="AA141" s="291">
        <f>IF(AA21="kW",SUMPRODUCT(N22:N125,V22:V125,AA22:AA125),SUMPRODUCT(K22:K125,AA22:AA125))</f>
        <v>0</v>
      </c>
      <c r="AB141" s="291">
        <f>IF(AB21="kW",SUMPRODUCT(N22:N125,V22:V125,AB22:AB125),SUMPRODUCT(K22:K125,AB22:AB125))</f>
        <v>0</v>
      </c>
      <c r="AC141" s="291">
        <f>IF(AC21="kW",SUMPRODUCT(N22:N125,V22:V125,AC22:AC125),SUMPRODUCT(K22:K125, AC22:AC125))</f>
        <v>701.48895995653174</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141003.76091829728</v>
      </c>
      <c r="Z142" s="291">
        <f>SUMPRODUCT(L22:L125,Z22:Z125)</f>
        <v>123103.58870287267</v>
      </c>
      <c r="AA142" s="291">
        <f>IF(AA21="kW",SUMPRODUCT(N22:N125,W22:W125,AA22:AA125),SUMPRODUCT(L22:L125,AA22:AA125))</f>
        <v>0</v>
      </c>
      <c r="AB142" s="291">
        <f>IF(AB21="kW",SUMPRODUCT(N22:N125,W22:W125,AB22:AB125),SUMPRODUCT(L22:L125,AB22:AB125))</f>
        <v>0</v>
      </c>
      <c r="AC142" s="291">
        <f>IF(AC21="kW",SUMPRODUCT(N22:N125,W22:W125,AC22:AC125),SUMPRODUCT(L22:L125, AC22:AC125))</f>
        <v>671.37459947184004</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98617.212044495813</v>
      </c>
      <c r="Z143" s="326">
        <f>SUMPRODUCT(M22:M125,Z22:Z125)</f>
        <v>123103.58870287267</v>
      </c>
      <c r="AA143" s="326">
        <f>IF(AA21="kW",SUMPRODUCT(N22:N125,X22:X125,AA22:AA125),SUMPRODUCT(M22:M125,AA22:AA125))</f>
        <v>0</v>
      </c>
      <c r="AB143" s="326">
        <f>IF(AB21="kW",SUMPRODUCT(N22:N125,X22:X125,AB22:AB125),SUMPRODUCT(M22:M125, AB22:AB125))</f>
        <v>0</v>
      </c>
      <c r="AC143" s="326">
        <f>IF(AC21="kW",SUMPRODUCT(N22:N125,X22:X125,AC22:AC125),SUMPRODUCT(M22:M125, AC22:AC125))</f>
        <v>671.37459947184004</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03" t="s">
        <v>211</v>
      </c>
      <c r="C147" s="805" t="s">
        <v>33</v>
      </c>
      <c r="D147" s="284" t="s">
        <v>422</v>
      </c>
      <c r="E147" s="807" t="s">
        <v>209</v>
      </c>
      <c r="F147" s="808"/>
      <c r="G147" s="808"/>
      <c r="H147" s="808"/>
      <c r="I147" s="808"/>
      <c r="J147" s="808"/>
      <c r="K147" s="808"/>
      <c r="L147" s="808"/>
      <c r="M147" s="809"/>
      <c r="N147" s="810" t="s">
        <v>213</v>
      </c>
      <c r="O147" s="284" t="s">
        <v>423</v>
      </c>
      <c r="P147" s="807" t="s">
        <v>212</v>
      </c>
      <c r="Q147" s="808"/>
      <c r="R147" s="808"/>
      <c r="S147" s="808"/>
      <c r="T147" s="808"/>
      <c r="U147" s="808"/>
      <c r="V147" s="808"/>
      <c r="W147" s="808"/>
      <c r="X147" s="809"/>
      <c r="Y147" s="800" t="s">
        <v>243</v>
      </c>
      <c r="Z147" s="801"/>
      <c r="AA147" s="801"/>
      <c r="AB147" s="801"/>
      <c r="AC147" s="801"/>
      <c r="AD147" s="801"/>
      <c r="AE147" s="801"/>
      <c r="AF147" s="801"/>
      <c r="AG147" s="801"/>
      <c r="AH147" s="801"/>
      <c r="AI147" s="801"/>
      <c r="AJ147" s="801"/>
      <c r="AK147" s="801"/>
      <c r="AL147" s="801"/>
      <c r="AM147" s="802"/>
    </row>
    <row r="148" spans="1:39" ht="60.75" customHeight="1">
      <c r="B148" s="804"/>
      <c r="C148" s="806"/>
      <c r="D148" s="285">
        <v>2012</v>
      </c>
      <c r="E148" s="285">
        <v>2013</v>
      </c>
      <c r="F148" s="285">
        <v>2014</v>
      </c>
      <c r="G148" s="285">
        <v>2015</v>
      </c>
      <c r="H148" s="285">
        <v>2016</v>
      </c>
      <c r="I148" s="285">
        <v>2017</v>
      </c>
      <c r="J148" s="285">
        <v>2018</v>
      </c>
      <c r="K148" s="285">
        <v>2019</v>
      </c>
      <c r="L148" s="285">
        <v>2020</v>
      </c>
      <c r="M148" s="285">
        <v>2021</v>
      </c>
      <c r="N148" s="81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Street Lighting</v>
      </c>
      <c r="AB148" s="285" t="str">
        <f>'1.  LRAMVA Summary'!G52</f>
        <v>Unmetered Scattered Load</v>
      </c>
      <c r="AC148" s="285" t="str">
        <f>'1.  LRAMVA Summary'!H52</f>
        <v>General Service 50 - 4,999 kW</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27028.694359492514</v>
      </c>
      <c r="E150" s="295">
        <v>27028.694359492514</v>
      </c>
      <c r="F150" s="295">
        <v>27028.694359492514</v>
      </c>
      <c r="G150" s="295">
        <v>26721.239194492518</v>
      </c>
      <c r="H150" s="295">
        <v>14023.907822569401</v>
      </c>
      <c r="I150" s="295">
        <v>0</v>
      </c>
      <c r="J150" s="295">
        <v>0</v>
      </c>
      <c r="K150" s="295">
        <v>0</v>
      </c>
      <c r="L150" s="295">
        <v>0</v>
      </c>
      <c r="M150" s="295">
        <v>0</v>
      </c>
      <c r="N150" s="291"/>
      <c r="O150" s="295">
        <v>4.538088269684585</v>
      </c>
      <c r="P150" s="295">
        <v>4.538088269684585</v>
      </c>
      <c r="Q150" s="295">
        <v>4.538088269684585</v>
      </c>
      <c r="R150" s="295">
        <v>4.1942765333222169</v>
      </c>
      <c r="S150" s="295">
        <v>1.8438595207677833</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683.4957449602158</v>
      </c>
      <c r="E153" s="295">
        <v>683.4957449602158</v>
      </c>
      <c r="F153" s="295">
        <v>683.4957449602158</v>
      </c>
      <c r="G153" s="295">
        <v>680.48102898426271</v>
      </c>
      <c r="H153" s="295">
        <v>0</v>
      </c>
      <c r="I153" s="295">
        <v>0</v>
      </c>
      <c r="J153" s="295">
        <v>0</v>
      </c>
      <c r="K153" s="295">
        <v>0</v>
      </c>
      <c r="L153" s="295">
        <v>0</v>
      </c>
      <c r="M153" s="295">
        <v>0</v>
      </c>
      <c r="N153" s="291"/>
      <c r="O153" s="295">
        <v>0.38500746719176132</v>
      </c>
      <c r="P153" s="295">
        <v>0.38500746719176132</v>
      </c>
      <c r="Q153" s="295">
        <v>0.38500746719176132</v>
      </c>
      <c r="R153" s="295">
        <v>0.38163626107027104</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53256.939773375299</v>
      </c>
      <c r="E156" s="295">
        <v>53256.939773375299</v>
      </c>
      <c r="F156" s="295">
        <v>53256.939773375299</v>
      </c>
      <c r="G156" s="295">
        <v>53256.939773375299</v>
      </c>
      <c r="H156" s="295">
        <v>53256.939773375299</v>
      </c>
      <c r="I156" s="295">
        <v>53256.939773375299</v>
      </c>
      <c r="J156" s="295">
        <v>53256.939773375299</v>
      </c>
      <c r="K156" s="295">
        <v>53256.939773375299</v>
      </c>
      <c r="L156" s="295">
        <v>53256.939773375299</v>
      </c>
      <c r="M156" s="295">
        <v>53256.939773375299</v>
      </c>
      <c r="N156" s="291"/>
      <c r="O156" s="295">
        <v>32.12153119530366</v>
      </c>
      <c r="P156" s="295">
        <v>32.12153119530366</v>
      </c>
      <c r="Q156" s="295">
        <v>32.12153119530366</v>
      </c>
      <c r="R156" s="295">
        <v>32.12153119530366</v>
      </c>
      <c r="S156" s="295">
        <v>32.12153119530366</v>
      </c>
      <c r="T156" s="295">
        <v>32.12153119530366</v>
      </c>
      <c r="U156" s="295">
        <v>32.12153119530366</v>
      </c>
      <c r="V156" s="295">
        <v>32.12153119530366</v>
      </c>
      <c r="W156" s="295">
        <v>32.12153119530366</v>
      </c>
      <c r="X156" s="295">
        <v>32.12153119530366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1788.7935265667384</v>
      </c>
      <c r="E157" s="295">
        <v>1788.7935265667384</v>
      </c>
      <c r="F157" s="295">
        <v>1788.7935265667384</v>
      </c>
      <c r="G157" s="295">
        <v>1788.7935265667384</v>
      </c>
      <c r="H157" s="295">
        <v>1788.7935265667384</v>
      </c>
      <c r="I157" s="295">
        <v>1788.7935265667384</v>
      </c>
      <c r="J157" s="295">
        <v>1788.7935265667384</v>
      </c>
      <c r="K157" s="295">
        <v>1788.7935265667384</v>
      </c>
      <c r="L157" s="295">
        <v>1788.7935265667384</v>
      </c>
      <c r="M157" s="295">
        <v>1788.7935265667384</v>
      </c>
      <c r="N157" s="468"/>
      <c r="O157" s="295">
        <v>0.87281663600000003</v>
      </c>
      <c r="P157" s="295">
        <v>0.87281663600000003</v>
      </c>
      <c r="Q157" s="295">
        <v>0.87281663600000003</v>
      </c>
      <c r="R157" s="295">
        <v>0.87281663600000003</v>
      </c>
      <c r="S157" s="295">
        <v>0.87281663600000003</v>
      </c>
      <c r="T157" s="295">
        <v>0.87281663600000003</v>
      </c>
      <c r="U157" s="295">
        <v>0.87281663600000003</v>
      </c>
      <c r="V157" s="295">
        <v>0.87281663600000003</v>
      </c>
      <c r="W157" s="295">
        <v>0.87281663600000003</v>
      </c>
      <c r="X157" s="295">
        <v>0.87281663600000003</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2217.240009038243</v>
      </c>
      <c r="E159" s="295">
        <v>2217.240009038243</v>
      </c>
      <c r="F159" s="295">
        <v>2217.240009038243</v>
      </c>
      <c r="G159" s="295">
        <v>2217.240009038243</v>
      </c>
      <c r="H159" s="295">
        <v>2183.9293271976376</v>
      </c>
      <c r="I159" s="295">
        <v>2183.9293271976376</v>
      </c>
      <c r="J159" s="295">
        <v>1028.4048960878197</v>
      </c>
      <c r="K159" s="295">
        <v>1022.7290982912134</v>
      </c>
      <c r="L159" s="295">
        <v>1022.7290982912134</v>
      </c>
      <c r="M159" s="295">
        <v>1022.7290982912134</v>
      </c>
      <c r="N159" s="291"/>
      <c r="O159" s="295">
        <v>0.36538830901276814</v>
      </c>
      <c r="P159" s="295">
        <v>0.36538830901276814</v>
      </c>
      <c r="Q159" s="295">
        <v>0.36538830901276814</v>
      </c>
      <c r="R159" s="295">
        <v>0.36538830901276814</v>
      </c>
      <c r="S159" s="295">
        <v>0.36384592617360617</v>
      </c>
      <c r="T159" s="295">
        <v>0.36384592617360617</v>
      </c>
      <c r="U159" s="295">
        <v>0.31034173609714855</v>
      </c>
      <c r="V159" s="295">
        <v>0.30969381397424828</v>
      </c>
      <c r="W159" s="295">
        <v>0.30969381397424828</v>
      </c>
      <c r="X159" s="295">
        <v>0.30969381397424828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42469.833337032665</v>
      </c>
      <c r="E162" s="295">
        <v>42469.833337032665</v>
      </c>
      <c r="F162" s="295">
        <v>42469.833337032665</v>
      </c>
      <c r="G162" s="295">
        <v>42469.833337032665</v>
      </c>
      <c r="H162" s="295">
        <v>38177.67842803667</v>
      </c>
      <c r="I162" s="295">
        <v>31043.905638623441</v>
      </c>
      <c r="J162" s="295">
        <v>21175.127616814651</v>
      </c>
      <c r="K162" s="295">
        <v>21131.111225738925</v>
      </c>
      <c r="L162" s="295">
        <v>21131.111225738925</v>
      </c>
      <c r="M162" s="295">
        <v>10732.996490027179</v>
      </c>
      <c r="N162" s="291"/>
      <c r="O162" s="295">
        <v>2.3469274783157088</v>
      </c>
      <c r="P162" s="295">
        <v>2.3469274783157088</v>
      </c>
      <c r="Q162" s="295">
        <v>2.3469274783157088</v>
      </c>
      <c r="R162" s="295">
        <v>2.3469274783157088</v>
      </c>
      <c r="S162" s="295">
        <v>2.1481880437301868</v>
      </c>
      <c r="T162" s="295">
        <v>1.8178733182159552</v>
      </c>
      <c r="U162" s="295">
        <v>1.3609197818947094</v>
      </c>
      <c r="V162" s="295">
        <v>1.3558950797171156</v>
      </c>
      <c r="W162" s="295">
        <v>1.3558950797171156</v>
      </c>
      <c r="X162" s="295">
        <v>0.87443169194434545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411292.57964569802</v>
      </c>
      <c r="E178" s="295">
        <v>411292.57964569802</v>
      </c>
      <c r="F178" s="295">
        <v>411292.57964569802</v>
      </c>
      <c r="G178" s="295">
        <v>411292.57964569802</v>
      </c>
      <c r="H178" s="295">
        <v>411292.57964569802</v>
      </c>
      <c r="I178" s="295">
        <v>405416.03305636725</v>
      </c>
      <c r="J178" s="295">
        <v>379829.40888350923</v>
      </c>
      <c r="K178" s="295">
        <v>379829.40888350923</v>
      </c>
      <c r="L178" s="295">
        <v>378866.91717643052</v>
      </c>
      <c r="M178" s="295">
        <v>33834.418391044557</v>
      </c>
      <c r="N178" s="295">
        <v>12</v>
      </c>
      <c r="O178" s="295">
        <v>76.392680486287261</v>
      </c>
      <c r="P178" s="295">
        <v>76.392680486287261</v>
      </c>
      <c r="Q178" s="295">
        <v>76.392680486287261</v>
      </c>
      <c r="R178" s="295">
        <v>76.392680486287261</v>
      </c>
      <c r="S178" s="295">
        <v>76.392680486287261</v>
      </c>
      <c r="T178" s="295">
        <v>74.61612327056956</v>
      </c>
      <c r="U178" s="295">
        <v>70.448220353693969</v>
      </c>
      <c r="V178" s="295">
        <v>70.448220353693969</v>
      </c>
      <c r="W178" s="295">
        <v>70.157246469409003</v>
      </c>
      <c r="X178" s="295">
        <v>13.95358519744004</v>
      </c>
      <c r="Y178" s="467"/>
      <c r="Z178" s="469">
        <v>0.33</v>
      </c>
      <c r="AA178" s="469"/>
      <c r="AB178" s="415"/>
      <c r="AC178" s="415">
        <v>0.67</v>
      </c>
      <c r="AD178" s="415"/>
      <c r="AE178" s="415"/>
      <c r="AF178" s="415"/>
      <c r="AG178" s="415"/>
      <c r="AH178" s="415"/>
      <c r="AI178" s="415"/>
      <c r="AJ178" s="415"/>
      <c r="AK178" s="415"/>
      <c r="AL178" s="415"/>
      <c r="AM178" s="296">
        <f>SUM(Y178:AL178)</f>
        <v>1</v>
      </c>
    </row>
    <row r="179" spans="1:39" ht="15" outlineLevel="1">
      <c r="B179" s="294" t="s">
        <v>244</v>
      </c>
      <c r="C179" s="291" t="s">
        <v>163</v>
      </c>
      <c r="D179" s="295">
        <v>29281.286740615</v>
      </c>
      <c r="E179" s="295">
        <v>29281.286740615</v>
      </c>
      <c r="F179" s="295">
        <v>29281.286740615</v>
      </c>
      <c r="G179" s="295">
        <v>29281.286740615</v>
      </c>
      <c r="H179" s="295">
        <v>29281.286740615</v>
      </c>
      <c r="I179" s="295">
        <v>29281.286740615</v>
      </c>
      <c r="J179" s="295">
        <v>27826.353566935999</v>
      </c>
      <c r="K179" s="295">
        <v>27826.353566935999</v>
      </c>
      <c r="L179" s="295">
        <v>27826.353566935999</v>
      </c>
      <c r="M179" s="295">
        <v>19132.228165123001</v>
      </c>
      <c r="N179" s="295">
        <f>N178</f>
        <v>12</v>
      </c>
      <c r="O179" s="295">
        <v>6.0141829610000004</v>
      </c>
      <c r="P179" s="295">
        <v>6.0141829610000004</v>
      </c>
      <c r="Q179" s="295">
        <v>6.0141829610000004</v>
      </c>
      <c r="R179" s="295">
        <v>6.0141829610000004</v>
      </c>
      <c r="S179" s="295">
        <v>6.0141829610000004</v>
      </c>
      <c r="T179" s="295">
        <v>6.0141829610000004</v>
      </c>
      <c r="U179" s="295">
        <v>5.7153492940000001</v>
      </c>
      <c r="V179" s="295">
        <v>5.7153492940000001</v>
      </c>
      <c r="W179" s="295">
        <v>5.7153492940000001</v>
      </c>
      <c r="X179" s="295">
        <v>3.9296333410000002</v>
      </c>
      <c r="Y179" s="411">
        <f>Y178</f>
        <v>0</v>
      </c>
      <c r="Z179" s="411">
        <f>Z178</f>
        <v>0.33</v>
      </c>
      <c r="AA179" s="411">
        <f t="shared" ref="AA179:AL179" si="46">AA178</f>
        <v>0</v>
      </c>
      <c r="AB179" s="411">
        <f t="shared" si="46"/>
        <v>0</v>
      </c>
      <c r="AC179" s="411">
        <f t="shared" si="46"/>
        <v>0.67</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287393.27304545051</v>
      </c>
      <c r="E181" s="295">
        <v>287393.27304545051</v>
      </c>
      <c r="F181" s="295">
        <v>278946.23641190637</v>
      </c>
      <c r="G181" s="295">
        <v>198750.55647349727</v>
      </c>
      <c r="H181" s="295">
        <v>198750.55647349727</v>
      </c>
      <c r="I181" s="295">
        <v>98290.162915097244</v>
      </c>
      <c r="J181" s="295">
        <v>98290.162915097244</v>
      </c>
      <c r="K181" s="295">
        <v>98147.915051141987</v>
      </c>
      <c r="L181" s="295">
        <v>98147.915051141987</v>
      </c>
      <c r="M181" s="295">
        <v>98147.915051141987</v>
      </c>
      <c r="N181" s="295">
        <v>12</v>
      </c>
      <c r="O181" s="295">
        <v>71.919594980347057</v>
      </c>
      <c r="P181" s="295">
        <v>71.919594980347057</v>
      </c>
      <c r="Q181" s="295">
        <v>69.875927842099856</v>
      </c>
      <c r="R181" s="295">
        <v>50.258660087137017</v>
      </c>
      <c r="S181" s="295">
        <v>50.258660087137017</v>
      </c>
      <c r="T181" s="295">
        <v>24.14267162098961</v>
      </c>
      <c r="U181" s="295">
        <v>24.14267162098961</v>
      </c>
      <c r="V181" s="295">
        <v>24.000227217102413</v>
      </c>
      <c r="W181" s="295">
        <v>24.000227217102413</v>
      </c>
      <c r="X181" s="295">
        <v>24.000227217102413</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v>13122.69</v>
      </c>
      <c r="E187" s="295">
        <v>13122.69</v>
      </c>
      <c r="F187" s="295">
        <v>13122.69</v>
      </c>
      <c r="G187" s="295">
        <v>13122.69</v>
      </c>
      <c r="H187" s="295">
        <v>13122.69</v>
      </c>
      <c r="I187" s="295">
        <v>13122.69</v>
      </c>
      <c r="J187" s="295">
        <v>13122.69</v>
      </c>
      <c r="K187" s="295">
        <v>13122.69</v>
      </c>
      <c r="L187" s="295">
        <v>13122.69</v>
      </c>
      <c r="M187" s="295">
        <v>13122.69</v>
      </c>
      <c r="N187" s="295">
        <v>12</v>
      </c>
      <c r="O187" s="295">
        <v>3.5652399999999997</v>
      </c>
      <c r="P187" s="295">
        <v>3.5652399999999997</v>
      </c>
      <c r="Q187" s="295">
        <v>3.5652399999999997</v>
      </c>
      <c r="R187" s="295">
        <v>3.5652399999999997</v>
      </c>
      <c r="S187" s="295">
        <v>3.5652399999999997</v>
      </c>
      <c r="T187" s="295">
        <v>3.5652399999999997</v>
      </c>
      <c r="U187" s="295">
        <v>3.5652399999999997</v>
      </c>
      <c r="V187" s="295">
        <v>3.5652399999999997</v>
      </c>
      <c r="W187" s="295">
        <v>3.5652399999999997</v>
      </c>
      <c r="X187" s="295">
        <v>3.5652399999999997</v>
      </c>
      <c r="Y187" s="415"/>
      <c r="Z187" s="415">
        <v>1</v>
      </c>
      <c r="AA187" s="415"/>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1</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v>25176.254462563076</v>
      </c>
      <c r="E190" s="295">
        <v>25176.254462563076</v>
      </c>
      <c r="F190" s="295">
        <v>25176.254462563076</v>
      </c>
      <c r="G190" s="295">
        <v>25176.254462563076</v>
      </c>
      <c r="H190" s="295">
        <v>0</v>
      </c>
      <c r="I190" s="295">
        <v>0</v>
      </c>
      <c r="J190" s="295">
        <v>0</v>
      </c>
      <c r="K190" s="295">
        <v>0</v>
      </c>
      <c r="L190" s="295">
        <v>0</v>
      </c>
      <c r="M190" s="295">
        <v>0</v>
      </c>
      <c r="N190" s="295">
        <v>12</v>
      </c>
      <c r="O190" s="295">
        <v>5.1771746295647825</v>
      </c>
      <c r="P190" s="295">
        <v>5.1771746295647825</v>
      </c>
      <c r="Q190" s="295">
        <v>5.1771746295647825</v>
      </c>
      <c r="R190" s="295">
        <v>5.1771746295647825</v>
      </c>
      <c r="S190" s="295">
        <v>0</v>
      </c>
      <c r="T190" s="295">
        <v>0</v>
      </c>
      <c r="U190" s="295">
        <v>0</v>
      </c>
      <c r="V190" s="295">
        <v>0</v>
      </c>
      <c r="W190" s="295">
        <v>0</v>
      </c>
      <c r="X190" s="295">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v>26884.373987962997</v>
      </c>
      <c r="E191" s="295">
        <v>26884.373987962997</v>
      </c>
      <c r="F191" s="295">
        <v>26884.373987962997</v>
      </c>
      <c r="G191" s="295">
        <v>26884.373987962997</v>
      </c>
      <c r="H191" s="295">
        <v>0</v>
      </c>
      <c r="I191" s="295">
        <v>0</v>
      </c>
      <c r="J191" s="295">
        <v>0</v>
      </c>
      <c r="K191" s="295">
        <v>0</v>
      </c>
      <c r="L191" s="295">
        <v>0</v>
      </c>
      <c r="M191" s="295">
        <v>0</v>
      </c>
      <c r="N191" s="295">
        <f>N190</f>
        <v>12</v>
      </c>
      <c r="O191" s="295">
        <v>5.1771746299999997</v>
      </c>
      <c r="P191" s="295">
        <v>5.1771746299999997</v>
      </c>
      <c r="Q191" s="295">
        <v>5.1771746299999997</v>
      </c>
      <c r="R191" s="295">
        <v>5.1771746299999997</v>
      </c>
      <c r="S191" s="295">
        <v>0</v>
      </c>
      <c r="T191" s="295">
        <v>0</v>
      </c>
      <c r="U191" s="295">
        <v>0</v>
      </c>
      <c r="V191" s="295">
        <v>0</v>
      </c>
      <c r="W191" s="295">
        <v>0</v>
      </c>
      <c r="X191" s="295">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1484.1640014648438</v>
      </c>
      <c r="E219" s="295">
        <v>1484.1640014648438</v>
      </c>
      <c r="F219" s="295">
        <v>1484.1640014648438</v>
      </c>
      <c r="G219" s="295">
        <v>1484.1640014648438</v>
      </c>
      <c r="H219" s="295">
        <v>1484.1640014648438</v>
      </c>
      <c r="I219" s="295">
        <v>1484.1640014648438</v>
      </c>
      <c r="J219" s="295">
        <v>1012</v>
      </c>
      <c r="K219" s="295">
        <v>1012</v>
      </c>
      <c r="L219" s="295">
        <v>0</v>
      </c>
      <c r="M219" s="295">
        <v>0</v>
      </c>
      <c r="N219" s="291"/>
      <c r="O219" s="295">
        <v>7.7096810564398752E-2</v>
      </c>
      <c r="P219" s="295">
        <v>7.7096810564398752E-2</v>
      </c>
      <c r="Q219" s="295">
        <v>7.7096810564398752E-2</v>
      </c>
      <c r="R219" s="295">
        <v>7.7096810564398752E-2</v>
      </c>
      <c r="S219" s="295">
        <v>7.7096810564398752E-2</v>
      </c>
      <c r="T219" s="295">
        <v>7.7096810564398752E-2</v>
      </c>
      <c r="U219" s="295">
        <v>5.2569643594324582E-2</v>
      </c>
      <c r="V219" s="295">
        <v>5.2569643594324582E-2</v>
      </c>
      <c r="W219" s="295">
        <v>0</v>
      </c>
      <c r="X219" s="295">
        <v>0</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173.60877436269462</v>
      </c>
      <c r="E233" s="295">
        <v>173.60877436269462</v>
      </c>
      <c r="F233" s="295">
        <v>173.60877436269462</v>
      </c>
      <c r="G233" s="295">
        <v>173.60877436269462</v>
      </c>
      <c r="H233" s="295">
        <v>173.60877436269462</v>
      </c>
      <c r="I233" s="295">
        <v>173.60877436269462</v>
      </c>
      <c r="J233" s="295">
        <v>173.60877436269462</v>
      </c>
      <c r="K233" s="295">
        <v>173.60877436269462</v>
      </c>
      <c r="L233" s="295">
        <v>173.60877436269462</v>
      </c>
      <c r="M233" s="295">
        <v>173.60877436269462</v>
      </c>
      <c r="N233" s="295">
        <v>12</v>
      </c>
      <c r="O233" s="295">
        <v>0.17919309730206839</v>
      </c>
      <c r="P233" s="295">
        <v>0.17919309730206839</v>
      </c>
      <c r="Q233" s="295">
        <v>0.17919309730206839</v>
      </c>
      <c r="R233" s="295">
        <v>0.17919309730206839</v>
      </c>
      <c r="S233" s="295">
        <v>0.17919309730206839</v>
      </c>
      <c r="T233" s="295">
        <v>0.17919309730206839</v>
      </c>
      <c r="U233" s="295">
        <v>0.17919309730206839</v>
      </c>
      <c r="V233" s="295">
        <v>0.17919309730206839</v>
      </c>
      <c r="W233" s="295">
        <v>0.17919309730206839</v>
      </c>
      <c r="X233" s="295">
        <v>0.17919309730206839</v>
      </c>
      <c r="Y233" s="426"/>
      <c r="Z233" s="415"/>
      <c r="AA233" s="415"/>
      <c r="AB233" s="415"/>
      <c r="AC233" s="415">
        <v>1</v>
      </c>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1</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v>0.6</v>
      </c>
      <c r="AA246" s="410"/>
      <c r="AB246" s="410"/>
      <c r="AC246" s="410">
        <v>0.4</v>
      </c>
      <c r="AD246" s="410"/>
      <c r="AE246" s="410"/>
      <c r="AF246" s="410"/>
      <c r="AG246" s="410"/>
      <c r="AH246" s="410"/>
      <c r="AI246" s="410"/>
      <c r="AJ246" s="410"/>
      <c r="AK246" s="410"/>
      <c r="AL246" s="410"/>
      <c r="AM246" s="296">
        <f>SUM(Y246:AL246)</f>
        <v>1</v>
      </c>
    </row>
    <row r="247" spans="1:39" s="283" customFormat="1" ht="15" outlineLevel="1">
      <c r="A247" s="509"/>
      <c r="B247" s="324" t="s">
        <v>244</v>
      </c>
      <c r="C247" s="291" t="s">
        <v>163</v>
      </c>
      <c r="D247" s="295">
        <v>32506.140000000003</v>
      </c>
      <c r="E247" s="295">
        <v>32506.140000000003</v>
      </c>
      <c r="F247" s="295">
        <v>32506.140000000003</v>
      </c>
      <c r="G247" s="295">
        <v>32506.140000000003</v>
      </c>
      <c r="H247" s="295">
        <v>32506.140000000003</v>
      </c>
      <c r="I247" s="295">
        <v>32506.140000000003</v>
      </c>
      <c r="J247" s="295">
        <v>0</v>
      </c>
      <c r="K247" s="295">
        <v>0</v>
      </c>
      <c r="L247" s="295">
        <v>0</v>
      </c>
      <c r="M247" s="295">
        <v>0</v>
      </c>
      <c r="N247" s="295">
        <f>N246</f>
        <v>0</v>
      </c>
      <c r="O247" s="295">
        <v>59.597999999999999</v>
      </c>
      <c r="P247" s="295">
        <v>59.597999999999999</v>
      </c>
      <c r="Q247" s="295">
        <v>59.597999999999999</v>
      </c>
      <c r="R247" s="295">
        <v>59.597999999999999</v>
      </c>
      <c r="S247" s="295">
        <v>59.597999999999999</v>
      </c>
      <c r="T247" s="295">
        <v>59.597999999999999</v>
      </c>
      <c r="U247" s="295">
        <v>51.768000000000001</v>
      </c>
      <c r="V247" s="295">
        <v>51.768000000000001</v>
      </c>
      <c r="W247" s="295">
        <v>51.768000000000001</v>
      </c>
      <c r="X247" s="295">
        <v>51.768000000000001</v>
      </c>
      <c r="Y247" s="411">
        <f>Y246</f>
        <v>0</v>
      </c>
      <c r="Z247" s="411">
        <f t="shared" ref="Z247:AL247" si="67">Z246</f>
        <v>0.6</v>
      </c>
      <c r="AA247" s="411">
        <f t="shared" si="67"/>
        <v>0</v>
      </c>
      <c r="AB247" s="411">
        <f t="shared" si="67"/>
        <v>0</v>
      </c>
      <c r="AC247" s="411">
        <f t="shared" si="67"/>
        <v>0.4</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954759.36740858282</v>
      </c>
      <c r="E255" s="329"/>
      <c r="F255" s="329"/>
      <c r="G255" s="329"/>
      <c r="H255" s="329"/>
      <c r="I255" s="329"/>
      <c r="J255" s="329"/>
      <c r="K255" s="329"/>
      <c r="L255" s="329"/>
      <c r="M255" s="329"/>
      <c r="N255" s="329"/>
      <c r="O255" s="329">
        <f>SUM(O150:O253)</f>
        <v>268.73009695057402</v>
      </c>
      <c r="P255" s="329"/>
      <c r="Q255" s="329"/>
      <c r="R255" s="329"/>
      <c r="S255" s="329"/>
      <c r="T255" s="329"/>
      <c r="U255" s="329"/>
      <c r="V255" s="329"/>
      <c r="W255" s="329"/>
      <c r="X255" s="329"/>
      <c r="Y255" s="329">
        <f>IF(Y149="kWh",SUMPRODUCT(D150:D253,Y150:Y253))</f>
        <v>128929.16075193053</v>
      </c>
      <c r="Z255" s="329">
        <f>IF(Z149="kWh",SUMPRODUCT(D150:D253,Z150:Z253))</f>
        <v>517469.65140345995</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664.70149928381454</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128929.16075193053</v>
      </c>
      <c r="Z265" s="291">
        <f>SUMPRODUCT(E150:E253,Z150:Z253)</f>
        <v>517469.65140345995</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664.70149928381454</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128929.16075193053</v>
      </c>
      <c r="Z266" s="291">
        <f>SUMPRODUCT(F150:F253,Z150:Z253)</f>
        <v>509022.61476991582</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664.70149928381454</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128618.69087095457</v>
      </c>
      <c r="Z267" s="291">
        <f>SUMPRODUCT(G150:G253,Z150:Z253)</f>
        <v>428826.93483150669</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664.70149928381454</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110915.41287921058</v>
      </c>
      <c r="Z268" s="291">
        <f>SUMPRODUCT(H150:H253,Z150:Z253)</f>
        <v>376766.30638098059</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664.70149928381454</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89757.732267227955</v>
      </c>
      <c r="Z269" s="291">
        <f>SUMPRODUCT(I150:I253,Z150:Z253)</f>
        <v>274366.65244810138</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650.41797926944412</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78261.265812844504</v>
      </c>
      <c r="Z270" s="291">
        <f>SUMPRODUCT(J150:J253,Z150:Z253)</f>
        <v>245939.25452374417</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614.50541713508449</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78211.573623972188</v>
      </c>
      <c r="Z271" s="291">
        <f>SUMPRODUCT(K150:K253,Z150:Z253)</f>
        <v>245797.00665978892</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614.50541713508449</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77199.573623972188</v>
      </c>
      <c r="Z272" s="326">
        <f>SUMPRODUCT(L150:L253,Z150:Z253)</f>
        <v>245479.38439645295</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612.16598710543326</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03" t="s">
        <v>211</v>
      </c>
      <c r="C276" s="805" t="s">
        <v>33</v>
      </c>
      <c r="D276" s="284" t="s">
        <v>422</v>
      </c>
      <c r="E276" s="807" t="s">
        <v>209</v>
      </c>
      <c r="F276" s="808"/>
      <c r="G276" s="808"/>
      <c r="H276" s="808"/>
      <c r="I276" s="808"/>
      <c r="J276" s="808"/>
      <c r="K276" s="808"/>
      <c r="L276" s="808"/>
      <c r="M276" s="809"/>
      <c r="N276" s="810" t="s">
        <v>213</v>
      </c>
      <c r="O276" s="284" t="s">
        <v>423</v>
      </c>
      <c r="P276" s="807" t="s">
        <v>212</v>
      </c>
      <c r="Q276" s="808"/>
      <c r="R276" s="808"/>
      <c r="S276" s="808"/>
      <c r="T276" s="808"/>
      <c r="U276" s="808"/>
      <c r="V276" s="808"/>
      <c r="W276" s="808"/>
      <c r="X276" s="809"/>
      <c r="Y276" s="800" t="s">
        <v>243</v>
      </c>
      <c r="Z276" s="801"/>
      <c r="AA276" s="801"/>
      <c r="AB276" s="801"/>
      <c r="AC276" s="801"/>
      <c r="AD276" s="801"/>
      <c r="AE276" s="801"/>
      <c r="AF276" s="801"/>
      <c r="AG276" s="801"/>
      <c r="AH276" s="801"/>
      <c r="AI276" s="801"/>
      <c r="AJ276" s="801"/>
      <c r="AK276" s="801"/>
      <c r="AL276" s="801"/>
      <c r="AM276" s="802"/>
    </row>
    <row r="277" spans="1:39" ht="60.75" customHeight="1">
      <c r="B277" s="804"/>
      <c r="C277" s="806"/>
      <c r="D277" s="285">
        <v>2013</v>
      </c>
      <c r="E277" s="285">
        <v>2014</v>
      </c>
      <c r="F277" s="285">
        <v>2015</v>
      </c>
      <c r="G277" s="285">
        <v>2016</v>
      </c>
      <c r="H277" s="285">
        <v>2017</v>
      </c>
      <c r="I277" s="285">
        <v>2018</v>
      </c>
      <c r="J277" s="285">
        <v>2019</v>
      </c>
      <c r="K277" s="285">
        <v>2020</v>
      </c>
      <c r="L277" s="285">
        <v>2021</v>
      </c>
      <c r="M277" s="285">
        <v>2022</v>
      </c>
      <c r="N277" s="81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Street Lighting</v>
      </c>
      <c r="AB277" s="285" t="str">
        <f>'1.  LRAMVA Summary'!G52</f>
        <v>Unmetered Scattered Load</v>
      </c>
      <c r="AC277" s="285" t="str">
        <f>'1.  LRAMVA Summary'!H52</f>
        <v>General Service 50 - 4,999 kW</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12709.264311888677</v>
      </c>
      <c r="E279" s="295">
        <v>12709.264311888677</v>
      </c>
      <c r="F279" s="295">
        <v>12709.264311888677</v>
      </c>
      <c r="G279" s="295">
        <v>12709.264311888677</v>
      </c>
      <c r="H279" s="295">
        <v>6611.9476437941003</v>
      </c>
      <c r="I279" s="295">
        <v>0</v>
      </c>
      <c r="J279" s="295">
        <v>0</v>
      </c>
      <c r="K279" s="295">
        <v>0</v>
      </c>
      <c r="L279" s="295">
        <v>0</v>
      </c>
      <c r="M279" s="295">
        <v>0</v>
      </c>
      <c r="N279" s="291"/>
      <c r="O279" s="295">
        <v>1.812468929</v>
      </c>
      <c r="P279" s="295">
        <v>1.812468929</v>
      </c>
      <c r="Q279" s="295">
        <v>1.812468929</v>
      </c>
      <c r="R279" s="295">
        <v>1.812468929</v>
      </c>
      <c r="S279" s="295">
        <v>0.97098013400000005</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2216.6392679999999</v>
      </c>
      <c r="E282" s="295">
        <v>2216.6392679999999</v>
      </c>
      <c r="F282" s="295">
        <v>2216.6392679999999</v>
      </c>
      <c r="G282" s="295">
        <v>2216.6392679999999</v>
      </c>
      <c r="H282" s="295">
        <v>0</v>
      </c>
      <c r="I282" s="295">
        <v>0</v>
      </c>
      <c r="J282" s="295">
        <v>0</v>
      </c>
      <c r="K282" s="295">
        <v>0</v>
      </c>
      <c r="L282" s="295">
        <v>0</v>
      </c>
      <c r="M282" s="295">
        <v>0</v>
      </c>
      <c r="N282" s="291"/>
      <c r="O282" s="295">
        <v>1.243164594</v>
      </c>
      <c r="P282" s="295">
        <v>1.243164594</v>
      </c>
      <c r="Q282" s="295">
        <v>1.243164594</v>
      </c>
      <c r="R282" s="295">
        <v>1.243164594</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51559.853852020002</v>
      </c>
      <c r="E285" s="295">
        <v>51559.853852020002</v>
      </c>
      <c r="F285" s="295">
        <v>51559.853852020002</v>
      </c>
      <c r="G285" s="295">
        <v>51559.853852020002</v>
      </c>
      <c r="H285" s="295">
        <v>51559.853852020002</v>
      </c>
      <c r="I285" s="295">
        <v>51559.853852020002</v>
      </c>
      <c r="J285" s="295">
        <v>51559.853852020002</v>
      </c>
      <c r="K285" s="295">
        <v>51559.853852020002</v>
      </c>
      <c r="L285" s="295">
        <v>51559.853852020002</v>
      </c>
      <c r="M285" s="295">
        <v>51559.853852020002</v>
      </c>
      <c r="N285" s="291"/>
      <c r="O285" s="295">
        <v>30.553848825999999</v>
      </c>
      <c r="P285" s="295">
        <v>30.553848825999999</v>
      </c>
      <c r="Q285" s="295">
        <v>30.553848825999999</v>
      </c>
      <c r="R285" s="295">
        <v>30.553848825999999</v>
      </c>
      <c r="S285" s="295">
        <v>30.553848825999999</v>
      </c>
      <c r="T285" s="295">
        <v>30.553848825999999</v>
      </c>
      <c r="U285" s="295">
        <v>30.553848825999999</v>
      </c>
      <c r="V285" s="295">
        <v>30.553848825999999</v>
      </c>
      <c r="W285" s="295">
        <v>30.553848825999999</v>
      </c>
      <c r="X285" s="295">
        <v>30.553848825999999</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1139.4518084000001</v>
      </c>
      <c r="E286" s="295">
        <v>1139.4518084000001</v>
      </c>
      <c r="F286" s="295">
        <v>1139.4518084000001</v>
      </c>
      <c r="G286" s="295">
        <v>1139.4518084000001</v>
      </c>
      <c r="H286" s="295">
        <v>1139.4518084000001</v>
      </c>
      <c r="I286" s="295">
        <v>1139.4518084000001</v>
      </c>
      <c r="J286" s="295">
        <v>1139.4518084000001</v>
      </c>
      <c r="K286" s="295">
        <v>1139.4518084000001</v>
      </c>
      <c r="L286" s="295">
        <v>1139.4518084000001</v>
      </c>
      <c r="M286" s="295">
        <v>1139.4518084000001</v>
      </c>
      <c r="N286" s="468"/>
      <c r="O286" s="295">
        <v>0.65821567199999997</v>
      </c>
      <c r="P286" s="295">
        <v>0.65821567199999997</v>
      </c>
      <c r="Q286" s="295">
        <v>0.65821567199999997</v>
      </c>
      <c r="R286" s="295">
        <v>0.65821567199999997</v>
      </c>
      <c r="S286" s="295">
        <v>0.65821567199999997</v>
      </c>
      <c r="T286" s="295">
        <v>0.65821567199999997</v>
      </c>
      <c r="U286" s="295">
        <v>0.65821567199999997</v>
      </c>
      <c r="V286" s="295">
        <v>0.65821567199999997</v>
      </c>
      <c r="W286" s="295">
        <v>0.65821567199999997</v>
      </c>
      <c r="X286" s="295">
        <v>0.65821567199999997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747" t="s">
        <v>708</v>
      </c>
      <c r="C288" s="291" t="s">
        <v>25</v>
      </c>
      <c r="D288" s="295">
        <v>12222.512114802001</v>
      </c>
      <c r="E288" s="295">
        <v>12222.512114802001</v>
      </c>
      <c r="F288" s="295">
        <v>11751.506883690001</v>
      </c>
      <c r="G288" s="295">
        <v>9955.9513832489993</v>
      </c>
      <c r="H288" s="295">
        <v>9955.9513832489993</v>
      </c>
      <c r="I288" s="295">
        <v>9955.9513832489993</v>
      </c>
      <c r="J288" s="295">
        <v>9955.9513832489993</v>
      </c>
      <c r="K288" s="295">
        <v>9947.6541427039992</v>
      </c>
      <c r="L288" s="295">
        <v>7233.6165835769998</v>
      </c>
      <c r="M288" s="295">
        <v>7233.6165835769998</v>
      </c>
      <c r="N288" s="291"/>
      <c r="O288" s="295">
        <v>0.81919128900000004</v>
      </c>
      <c r="P288" s="295">
        <v>0.81919128900000004</v>
      </c>
      <c r="Q288" s="295">
        <v>0.78962285200000004</v>
      </c>
      <c r="R288" s="295">
        <v>0.67690272799999995</v>
      </c>
      <c r="S288" s="295">
        <v>0.67690272799999995</v>
      </c>
      <c r="T288" s="295">
        <v>0.67690272799999995</v>
      </c>
      <c r="U288" s="295">
        <v>0.67690272799999995</v>
      </c>
      <c r="V288" s="295">
        <v>0.67595555399999996</v>
      </c>
      <c r="W288" s="295">
        <v>0.50557560700000004</v>
      </c>
      <c r="X288" s="295">
        <v>0.50557560700000004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37</v>
      </c>
      <c r="E289" s="295">
        <v>37</v>
      </c>
      <c r="F289" s="295">
        <v>36</v>
      </c>
      <c r="G289" s="295">
        <v>31</v>
      </c>
      <c r="H289" s="295">
        <v>31</v>
      </c>
      <c r="I289" s="295">
        <v>31</v>
      </c>
      <c r="J289" s="295">
        <v>31</v>
      </c>
      <c r="K289" s="295">
        <v>31</v>
      </c>
      <c r="L289" s="295">
        <v>26</v>
      </c>
      <c r="M289" s="295">
        <v>26</v>
      </c>
      <c r="N289" s="468"/>
      <c r="O289" s="295">
        <v>3.0000000000000001E-3</v>
      </c>
      <c r="P289" s="295">
        <v>3.0000000000000001E-3</v>
      </c>
      <c r="Q289" s="295">
        <v>3.0000000000000001E-3</v>
      </c>
      <c r="R289" s="295">
        <v>2E-3</v>
      </c>
      <c r="S289" s="295">
        <v>2E-3</v>
      </c>
      <c r="T289" s="295">
        <v>2E-3</v>
      </c>
      <c r="U289" s="295">
        <v>2E-3</v>
      </c>
      <c r="V289" s="295">
        <v>2E-3</v>
      </c>
      <c r="W289" s="295">
        <v>2E-3</v>
      </c>
      <c r="X289" s="295">
        <v>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27243.441699225001</v>
      </c>
      <c r="E291" s="295">
        <v>27243.441699225001</v>
      </c>
      <c r="F291" s="295">
        <v>25601.958740114998</v>
      </c>
      <c r="G291" s="295">
        <v>19999.994059348999</v>
      </c>
      <c r="H291" s="295">
        <v>19999.994059348999</v>
      </c>
      <c r="I291" s="295">
        <v>19999.994059348999</v>
      </c>
      <c r="J291" s="295">
        <v>19999.994059348999</v>
      </c>
      <c r="K291" s="295">
        <v>19976.425086209001</v>
      </c>
      <c r="L291" s="295">
        <v>16799.012884250998</v>
      </c>
      <c r="M291" s="295">
        <v>16799.012884250998</v>
      </c>
      <c r="N291" s="291"/>
      <c r="O291" s="295">
        <v>1.8770263899999999</v>
      </c>
      <c r="P291" s="295">
        <v>1.8770263899999999</v>
      </c>
      <c r="Q291" s="295">
        <v>1.773978523</v>
      </c>
      <c r="R291" s="295">
        <v>1.4223023109999999</v>
      </c>
      <c r="S291" s="295">
        <v>1.4223023109999999</v>
      </c>
      <c r="T291" s="295">
        <v>1.4223023109999999</v>
      </c>
      <c r="U291" s="295">
        <v>1.4223023109999999</v>
      </c>
      <c r="V291" s="295">
        <v>1.419611789</v>
      </c>
      <c r="W291" s="295">
        <v>1.2201424329999999</v>
      </c>
      <c r="X291" s="295">
        <v>1.2201424329999999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v>0</v>
      </c>
      <c r="E298" s="295">
        <v>0</v>
      </c>
      <c r="F298" s="295">
        <v>0</v>
      </c>
      <c r="G298" s="295">
        <v>0</v>
      </c>
      <c r="H298" s="295">
        <v>0</v>
      </c>
      <c r="I298" s="295">
        <v>0</v>
      </c>
      <c r="J298" s="295">
        <v>0</v>
      </c>
      <c r="K298" s="295">
        <v>0</v>
      </c>
      <c r="L298" s="295">
        <v>0</v>
      </c>
      <c r="M298" s="295">
        <v>0</v>
      </c>
      <c r="N298" s="291"/>
      <c r="O298" s="295">
        <v>0</v>
      </c>
      <c r="P298" s="295">
        <v>8.4032820000000008</v>
      </c>
      <c r="Q298" s="295">
        <v>0</v>
      </c>
      <c r="R298" s="295">
        <v>0</v>
      </c>
      <c r="S298" s="295">
        <v>0</v>
      </c>
      <c r="T298" s="295">
        <v>0</v>
      </c>
      <c r="U298" s="295">
        <v>0</v>
      </c>
      <c r="V298" s="295">
        <v>0</v>
      </c>
      <c r="W298" s="295">
        <v>0</v>
      </c>
      <c r="X298" s="295">
        <v>0</v>
      </c>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747" t="s">
        <v>709</v>
      </c>
      <c r="C303" s="291" t="s">
        <v>25</v>
      </c>
      <c r="D303" s="295">
        <v>0</v>
      </c>
      <c r="E303" s="295">
        <v>0</v>
      </c>
      <c r="F303" s="295">
        <v>0</v>
      </c>
      <c r="G303" s="295">
        <v>0</v>
      </c>
      <c r="H303" s="295">
        <v>0</v>
      </c>
      <c r="I303" s="295">
        <v>0</v>
      </c>
      <c r="J303" s="295">
        <v>0</v>
      </c>
      <c r="K303" s="295">
        <v>0</v>
      </c>
      <c r="L303" s="295">
        <v>0</v>
      </c>
      <c r="M303" s="295">
        <v>0</v>
      </c>
      <c r="N303" s="291"/>
      <c r="O303" s="295">
        <v>9.6847429999999992</v>
      </c>
      <c r="P303" s="295">
        <v>0</v>
      </c>
      <c r="Q303" s="295">
        <v>0</v>
      </c>
      <c r="R303" s="295">
        <v>0</v>
      </c>
      <c r="S303" s="295">
        <v>0</v>
      </c>
      <c r="T303" s="295">
        <v>0</v>
      </c>
      <c r="U303" s="295">
        <v>0</v>
      </c>
      <c r="V303" s="295">
        <v>0</v>
      </c>
      <c r="W303" s="295">
        <v>0</v>
      </c>
      <c r="X303" s="295">
        <v>0</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499514.50504917197</v>
      </c>
      <c r="E307" s="295">
        <v>499514.50504917197</v>
      </c>
      <c r="F307" s="295">
        <v>499514.50504917197</v>
      </c>
      <c r="G307" s="295">
        <v>499514.50504917197</v>
      </c>
      <c r="H307" s="295">
        <v>499323.48469987098</v>
      </c>
      <c r="I307" s="295">
        <v>490604.37586206099</v>
      </c>
      <c r="J307" s="295">
        <v>490604.37586206099</v>
      </c>
      <c r="K307" s="295">
        <v>482375.05558208801</v>
      </c>
      <c r="L307" s="295">
        <v>477825.65798677999</v>
      </c>
      <c r="M307" s="295">
        <v>414265.48382855102</v>
      </c>
      <c r="N307" s="295">
        <v>12</v>
      </c>
      <c r="O307" s="295">
        <v>98.622174805</v>
      </c>
      <c r="P307" s="295">
        <v>98.622174805</v>
      </c>
      <c r="Q307" s="295">
        <v>98.622174805</v>
      </c>
      <c r="R307" s="295">
        <v>98.622174805</v>
      </c>
      <c r="S307" s="295">
        <v>98.561199551000001</v>
      </c>
      <c r="T307" s="295">
        <v>97.106372945000004</v>
      </c>
      <c r="U307" s="295">
        <v>97.106372945000004</v>
      </c>
      <c r="V307" s="295">
        <v>96.167663942000004</v>
      </c>
      <c r="W307" s="295">
        <v>95.648719444999998</v>
      </c>
      <c r="X307" s="295">
        <v>85.043388766999996</v>
      </c>
      <c r="Y307" s="415"/>
      <c r="Z307" s="503">
        <v>0.25</v>
      </c>
      <c r="AA307" s="503"/>
      <c r="AB307" s="503"/>
      <c r="AC307" s="415">
        <v>0.75</v>
      </c>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0.25</v>
      </c>
      <c r="AA308" s="411">
        <f t="shared" ref="AA308:AL308" si="86">AA307</f>
        <v>0</v>
      </c>
      <c r="AB308" s="411">
        <f t="shared" si="86"/>
        <v>0</v>
      </c>
      <c r="AC308" s="411">
        <f t="shared" si="86"/>
        <v>0.75</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748" t="s">
        <v>710</v>
      </c>
      <c r="C310" s="291" t="s">
        <v>25</v>
      </c>
      <c r="D310" s="295">
        <v>131977.732700633</v>
      </c>
      <c r="E310" s="295">
        <v>131977.732700633</v>
      </c>
      <c r="F310" s="295">
        <v>127740.70159117501</v>
      </c>
      <c r="G310" s="295">
        <v>119737.45309713</v>
      </c>
      <c r="H310" s="295">
        <v>66107.752228094003</v>
      </c>
      <c r="I310" s="295">
        <v>66107.752228094003</v>
      </c>
      <c r="J310" s="295">
        <v>66107.752228094003</v>
      </c>
      <c r="K310" s="295">
        <v>66107.752228094003</v>
      </c>
      <c r="L310" s="295">
        <v>66107.752228094003</v>
      </c>
      <c r="M310" s="295">
        <v>66107.752228094003</v>
      </c>
      <c r="N310" s="295">
        <v>12</v>
      </c>
      <c r="O310" s="295">
        <v>35.722133001000003</v>
      </c>
      <c r="P310" s="295">
        <v>35.722133001000003</v>
      </c>
      <c r="Q310" s="295">
        <v>34.465741573999999</v>
      </c>
      <c r="R310" s="295">
        <v>32.24847003</v>
      </c>
      <c r="S310" s="295">
        <v>17.069023706999999</v>
      </c>
      <c r="T310" s="295">
        <v>17.069023706999999</v>
      </c>
      <c r="U310" s="295">
        <v>17.069023706999999</v>
      </c>
      <c r="V310" s="295">
        <v>17.069023706999999</v>
      </c>
      <c r="W310" s="295">
        <v>17.069023706999999</v>
      </c>
      <c r="X310" s="295">
        <v>17.069023706999999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v>194104.71906232199</v>
      </c>
      <c r="E316" s="295">
        <v>194104.71906232199</v>
      </c>
      <c r="F316" s="295">
        <v>194104.71906232199</v>
      </c>
      <c r="G316" s="295">
        <v>194104.71906232199</v>
      </c>
      <c r="H316" s="295">
        <v>194104.71906232199</v>
      </c>
      <c r="I316" s="295">
        <v>194104.71906232199</v>
      </c>
      <c r="J316" s="295">
        <v>194104.71906232199</v>
      </c>
      <c r="K316" s="295">
        <v>194104.71906232199</v>
      </c>
      <c r="L316" s="295">
        <v>194104.71906232199</v>
      </c>
      <c r="M316" s="295">
        <v>194104.71906232199</v>
      </c>
      <c r="N316" s="295">
        <v>12</v>
      </c>
      <c r="O316" s="295">
        <v>22.206160014999998</v>
      </c>
      <c r="P316" s="295">
        <v>22.206160014999998</v>
      </c>
      <c r="Q316" s="295">
        <v>22.206160014999998</v>
      </c>
      <c r="R316" s="295">
        <v>22.206160014999998</v>
      </c>
      <c r="S316" s="295">
        <v>22.206160014999998</v>
      </c>
      <c r="T316" s="295">
        <v>22.206160014999998</v>
      </c>
      <c r="U316" s="295">
        <v>22.206160014999998</v>
      </c>
      <c r="V316" s="295">
        <v>22.206160014999998</v>
      </c>
      <c r="W316" s="295">
        <v>22.206160014999998</v>
      </c>
      <c r="X316" s="295">
        <v>22.206160014999998</v>
      </c>
      <c r="Y316" s="415"/>
      <c r="Z316" s="415">
        <v>0.33</v>
      </c>
      <c r="AA316" s="415"/>
      <c r="AB316" s="415"/>
      <c r="AC316" s="415">
        <v>0.67</v>
      </c>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0.33</v>
      </c>
      <c r="AA317" s="411">
        <f t="shared" ref="AA317:AL317" si="89">AA316</f>
        <v>0</v>
      </c>
      <c r="AB317" s="411">
        <f t="shared" si="89"/>
        <v>0</v>
      </c>
      <c r="AC317" s="411">
        <f t="shared" si="89"/>
        <v>0.67</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1555.588</v>
      </c>
      <c r="E328" s="295">
        <v>0</v>
      </c>
      <c r="F328" s="295">
        <v>0</v>
      </c>
      <c r="G328" s="295">
        <v>0</v>
      </c>
      <c r="H328" s="295">
        <v>0</v>
      </c>
      <c r="I328" s="295">
        <v>0</v>
      </c>
      <c r="J328" s="295">
        <v>0</v>
      </c>
      <c r="K328" s="295">
        <v>0</v>
      </c>
      <c r="L328" s="295">
        <v>0</v>
      </c>
      <c r="M328" s="295">
        <v>0</v>
      </c>
      <c r="N328" s="291"/>
      <c r="O328" s="295">
        <v>91.269080000000002</v>
      </c>
      <c r="P328" s="295">
        <v>0</v>
      </c>
      <c r="Q328" s="295">
        <v>0</v>
      </c>
      <c r="R328" s="295">
        <v>0</v>
      </c>
      <c r="S328" s="295">
        <v>0</v>
      </c>
      <c r="T328" s="295">
        <v>0</v>
      </c>
      <c r="U328" s="295">
        <v>0</v>
      </c>
      <c r="V328" s="295">
        <v>0</v>
      </c>
      <c r="W328" s="295">
        <v>0</v>
      </c>
      <c r="X328" s="295">
        <v>0</v>
      </c>
      <c r="Y328" s="415"/>
      <c r="Z328" s="415"/>
      <c r="AA328" s="415"/>
      <c r="AB328" s="415"/>
      <c r="AC328" s="415">
        <v>1</v>
      </c>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1</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v>1</v>
      </c>
      <c r="AD338" s="415"/>
      <c r="AE338" s="415"/>
      <c r="AF338" s="415"/>
      <c r="AG338" s="415"/>
      <c r="AH338" s="415"/>
      <c r="AI338" s="415"/>
      <c r="AJ338" s="415"/>
      <c r="AK338" s="415"/>
      <c r="AL338" s="415"/>
      <c r="AM338" s="296">
        <f>SUM(Y338:AL338)</f>
        <v>1</v>
      </c>
    </row>
    <row r="339" spans="1:39" ht="15" outlineLevel="1">
      <c r="B339" s="294" t="s">
        <v>249</v>
      </c>
      <c r="C339" s="291" t="s">
        <v>163</v>
      </c>
      <c r="D339" s="295">
        <v>19773</v>
      </c>
      <c r="E339" s="295">
        <v>19773</v>
      </c>
      <c r="F339" s="295">
        <v>19773</v>
      </c>
      <c r="G339" s="295">
        <v>19773</v>
      </c>
      <c r="H339" s="295">
        <v>19773</v>
      </c>
      <c r="I339" s="295">
        <v>32490.000000000004</v>
      </c>
      <c r="J339" s="295">
        <v>32490.000000000004</v>
      </c>
      <c r="K339" s="295">
        <v>32490.000000000004</v>
      </c>
      <c r="L339" s="295">
        <v>32490.000000000004</v>
      </c>
      <c r="M339" s="295">
        <v>32490.000000000004</v>
      </c>
      <c r="N339" s="295">
        <f>N338</f>
        <v>12</v>
      </c>
      <c r="O339" s="295">
        <v>27.45</v>
      </c>
      <c r="P339" s="295">
        <v>27.45</v>
      </c>
      <c r="Q339" s="295">
        <v>27.45</v>
      </c>
      <c r="R339" s="295">
        <v>27.45</v>
      </c>
      <c r="S339" s="295">
        <v>27.45</v>
      </c>
      <c r="T339" s="295">
        <v>29.07</v>
      </c>
      <c r="U339" s="295">
        <v>29.07</v>
      </c>
      <c r="V339" s="295">
        <v>29.07</v>
      </c>
      <c r="W339" s="295">
        <v>29.07</v>
      </c>
      <c r="X339" s="295">
        <v>29.07</v>
      </c>
      <c r="Y339" s="411">
        <f>Y338</f>
        <v>0</v>
      </c>
      <c r="Z339" s="411">
        <f>Z338</f>
        <v>0</v>
      </c>
      <c r="AA339" s="411">
        <f t="shared" ref="AA339:AL339" si="96">AA338</f>
        <v>0</v>
      </c>
      <c r="AB339" s="411">
        <f t="shared" si="96"/>
        <v>0</v>
      </c>
      <c r="AC339" s="411">
        <f t="shared" si="96"/>
        <v>1</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1667.6880000000001</v>
      </c>
      <c r="E344" s="295">
        <v>0</v>
      </c>
      <c r="F344" s="295">
        <v>0</v>
      </c>
      <c r="G344" s="295">
        <v>0</v>
      </c>
      <c r="H344" s="295">
        <v>0</v>
      </c>
      <c r="I344" s="295">
        <v>0</v>
      </c>
      <c r="J344" s="295">
        <v>0</v>
      </c>
      <c r="K344" s="295">
        <v>0</v>
      </c>
      <c r="L344" s="295">
        <v>0</v>
      </c>
      <c r="M344" s="295">
        <v>0</v>
      </c>
      <c r="N344" s="291"/>
      <c r="O344" s="295">
        <v>73.238600000000005</v>
      </c>
      <c r="P344" s="295">
        <v>0</v>
      </c>
      <c r="Q344" s="295">
        <v>0</v>
      </c>
      <c r="R344" s="295">
        <v>0</v>
      </c>
      <c r="S344" s="295">
        <v>0</v>
      </c>
      <c r="T344" s="295">
        <v>0</v>
      </c>
      <c r="U344" s="295">
        <v>0</v>
      </c>
      <c r="V344" s="295">
        <v>0</v>
      </c>
      <c r="W344" s="295">
        <v>0</v>
      </c>
      <c r="X344" s="295">
        <v>0</v>
      </c>
      <c r="Y344" s="410"/>
      <c r="Z344" s="415"/>
      <c r="AA344" s="415"/>
      <c r="AB344" s="415"/>
      <c r="AC344" s="415">
        <v>1</v>
      </c>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1</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15763.511787415</v>
      </c>
      <c r="E348" s="295">
        <v>15763.511787415</v>
      </c>
      <c r="F348" s="295">
        <v>15763.511787415</v>
      </c>
      <c r="G348" s="295">
        <v>14294.389257430999</v>
      </c>
      <c r="H348" s="295">
        <v>13559.828149796</v>
      </c>
      <c r="I348" s="295">
        <v>12825.266897202</v>
      </c>
      <c r="J348" s="295">
        <v>11542.467824936</v>
      </c>
      <c r="K348" s="295">
        <v>11416.776128768999</v>
      </c>
      <c r="L348" s="295">
        <v>5633.930725098</v>
      </c>
      <c r="M348" s="295">
        <v>5633.930725098</v>
      </c>
      <c r="N348" s="291"/>
      <c r="O348" s="295">
        <v>2.1032514170000001</v>
      </c>
      <c r="P348" s="295">
        <v>2.1032514170000001</v>
      </c>
      <c r="Q348" s="295">
        <v>2.1032514170000001</v>
      </c>
      <c r="R348" s="295">
        <v>2.0269359549999999</v>
      </c>
      <c r="S348" s="295">
        <v>1.988778226</v>
      </c>
      <c r="T348" s="295">
        <v>1.9506204979999999</v>
      </c>
      <c r="U348" s="295">
        <v>1.883983854</v>
      </c>
      <c r="V348" s="295">
        <v>1.883983854</v>
      </c>
      <c r="W348" s="295">
        <v>1.5835865069999999</v>
      </c>
      <c r="X348" s="295">
        <v>1.5835865069999999</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971484.90765387763</v>
      </c>
      <c r="E384" s="329"/>
      <c r="F384" s="329"/>
      <c r="G384" s="329"/>
      <c r="H384" s="329"/>
      <c r="I384" s="329"/>
      <c r="J384" s="329"/>
      <c r="K384" s="329"/>
      <c r="L384" s="329"/>
      <c r="M384" s="329"/>
      <c r="N384" s="329"/>
      <c r="O384" s="329">
        <f>SUM(O279:O382)</f>
        <v>397.26305793800003</v>
      </c>
      <c r="P384" s="329"/>
      <c r="Q384" s="329"/>
      <c r="R384" s="329"/>
      <c r="S384" s="329"/>
      <c r="T384" s="329"/>
      <c r="U384" s="329"/>
      <c r="V384" s="329"/>
      <c r="W384" s="329"/>
      <c r="X384" s="329"/>
      <c r="Y384" s="329">
        <f>IF(Y278="kWh",SUMPRODUCT(D279:D382,Y279:Y382))</f>
        <v>122891.67484175069</v>
      </c>
      <c r="Z384" s="329">
        <f>IF(Z278="kWh",SUMPRODUCT(D279:D382,Z279:Z382))</f>
        <v>320910.91625349224</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1395.5370997656</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122891.67484175069</v>
      </c>
      <c r="Z395" s="291">
        <f>SUMPRODUCT(E279:E382,Z279:Z382)</f>
        <v>320910.91625349224</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1395.5370997656</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120778.18665152868</v>
      </c>
      <c r="Z396" s="291">
        <f>SUMPRODUCT(F279:F382,Z279:Z382)</f>
        <v>316673.88514403428</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1395.5370997656</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111906.54394033769</v>
      </c>
      <c r="Z397" s="291">
        <f>SUMPRODUCT(G279:G382,Z279:Z382)</f>
        <v>308670.63664998923</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1395.5370997656</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102858.02689660811</v>
      </c>
      <c r="Z398" s="291">
        <f>SUMPRODUCT(H279:H382,Z279:Z382)</f>
        <v>254993.18069362803</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1394.9883224795999</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95511.518000220007</v>
      </c>
      <c r="Z399" s="291">
        <f>SUMPRODUCT(I279:I382,Z279:Z382)</f>
        <v>252813.40348417551</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1401.3348830256</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94228.718927954003</v>
      </c>
      <c r="Z400" s="291">
        <f>SUMPRODUCT(J279:J382,Z279:Z382)</f>
        <v>252813.40348417551</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1401.3348830256</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94071.161018101993</v>
      </c>
      <c r="Z401" s="326">
        <f>SUMPRODUCT(K279:K382,Z279:Z382)</f>
        <v>250756.07341418229</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1392.8865019986001</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03" t="s">
        <v>211</v>
      </c>
      <c r="C405" s="805" t="s">
        <v>33</v>
      </c>
      <c r="D405" s="284" t="s">
        <v>422</v>
      </c>
      <c r="E405" s="807" t="s">
        <v>209</v>
      </c>
      <c r="F405" s="808"/>
      <c r="G405" s="808"/>
      <c r="H405" s="808"/>
      <c r="I405" s="808"/>
      <c r="J405" s="808"/>
      <c r="K405" s="808"/>
      <c r="L405" s="808"/>
      <c r="M405" s="809"/>
      <c r="N405" s="810" t="s">
        <v>213</v>
      </c>
      <c r="O405" s="284" t="s">
        <v>423</v>
      </c>
      <c r="P405" s="807" t="s">
        <v>212</v>
      </c>
      <c r="Q405" s="808"/>
      <c r="R405" s="808"/>
      <c r="S405" s="808"/>
      <c r="T405" s="808"/>
      <c r="U405" s="808"/>
      <c r="V405" s="808"/>
      <c r="W405" s="808"/>
      <c r="X405" s="809"/>
      <c r="Y405" s="800" t="s">
        <v>243</v>
      </c>
      <c r="Z405" s="801"/>
      <c r="AA405" s="801"/>
      <c r="AB405" s="801"/>
      <c r="AC405" s="801"/>
      <c r="AD405" s="801"/>
      <c r="AE405" s="801"/>
      <c r="AF405" s="801"/>
      <c r="AG405" s="801"/>
      <c r="AH405" s="801"/>
      <c r="AI405" s="801"/>
      <c r="AJ405" s="801"/>
      <c r="AK405" s="801"/>
      <c r="AL405" s="801"/>
      <c r="AM405" s="802"/>
    </row>
    <row r="406" spans="1:40" ht="45.75" customHeight="1">
      <c r="B406" s="804"/>
      <c r="C406" s="806"/>
      <c r="D406" s="285">
        <v>2014</v>
      </c>
      <c r="E406" s="285">
        <v>2015</v>
      </c>
      <c r="F406" s="285">
        <v>2016</v>
      </c>
      <c r="G406" s="285">
        <v>2017</v>
      </c>
      <c r="H406" s="285">
        <v>2018</v>
      </c>
      <c r="I406" s="285">
        <v>2019</v>
      </c>
      <c r="J406" s="285">
        <v>2020</v>
      </c>
      <c r="K406" s="285">
        <v>2021</v>
      </c>
      <c r="L406" s="285">
        <v>2022</v>
      </c>
      <c r="M406" s="285">
        <v>2023</v>
      </c>
      <c r="N406" s="81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Street Lighting</v>
      </c>
      <c r="AB406" s="285" t="str">
        <f>'1.  LRAMVA Summary'!G52</f>
        <v>Unmetered Scattered Load</v>
      </c>
      <c r="AC406" s="285" t="str">
        <f>'1.  LRAMVA Summary'!H52</f>
        <v>General Service 50 - 4,999 kW</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7429.2055291058487</v>
      </c>
      <c r="E408" s="295">
        <v>7429.2055291058487</v>
      </c>
      <c r="F408" s="295">
        <v>7429.2055291058487</v>
      </c>
      <c r="G408" s="295">
        <v>7429.2055291058487</v>
      </c>
      <c r="H408" s="295">
        <v>4904.9365460801455</v>
      </c>
      <c r="I408" s="295">
        <v>0</v>
      </c>
      <c r="J408" s="295">
        <v>0</v>
      </c>
      <c r="K408" s="295">
        <v>0</v>
      </c>
      <c r="L408" s="295">
        <v>0</v>
      </c>
      <c r="M408" s="295">
        <v>0</v>
      </c>
      <c r="N408" s="291"/>
      <c r="O408" s="295">
        <v>1.0694784017324299</v>
      </c>
      <c r="P408" s="295">
        <v>1.0694784017324299</v>
      </c>
      <c r="Q408" s="295">
        <v>1.0694784017324299</v>
      </c>
      <c r="R408" s="295">
        <v>1.0694784017324299</v>
      </c>
      <c r="S408" s="295">
        <v>0.72084984265438801</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4802.7184129999996</v>
      </c>
      <c r="E411" s="295">
        <v>4802.7184129999996</v>
      </c>
      <c r="F411" s="295">
        <v>4802.7184129999996</v>
      </c>
      <c r="G411" s="295">
        <v>4802.7184129999996</v>
      </c>
      <c r="H411" s="295">
        <v>0</v>
      </c>
      <c r="I411" s="295">
        <v>0</v>
      </c>
      <c r="J411" s="295">
        <v>0</v>
      </c>
      <c r="K411" s="295">
        <v>0</v>
      </c>
      <c r="L411" s="295">
        <v>0</v>
      </c>
      <c r="M411" s="295">
        <v>0</v>
      </c>
      <c r="N411" s="291"/>
      <c r="O411" s="295">
        <v>2.6935232880000002</v>
      </c>
      <c r="P411" s="295">
        <v>2.6935232880000002</v>
      </c>
      <c r="Q411" s="295">
        <v>2.6935232880000002</v>
      </c>
      <c r="R411" s="295">
        <v>2.6935232880000002</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56704.471360699994</v>
      </c>
      <c r="E414" s="295">
        <v>56704.471360699994</v>
      </c>
      <c r="F414" s="295">
        <v>56704.471360699994</v>
      </c>
      <c r="G414" s="295">
        <v>56704.471360699994</v>
      </c>
      <c r="H414" s="295">
        <v>56704.471360699994</v>
      </c>
      <c r="I414" s="295">
        <v>56704.471360699994</v>
      </c>
      <c r="J414" s="295">
        <v>56704.471360699994</v>
      </c>
      <c r="K414" s="295">
        <v>56704.471360699994</v>
      </c>
      <c r="L414" s="295">
        <v>56704.471360699994</v>
      </c>
      <c r="M414" s="295">
        <v>56704.471360699994</v>
      </c>
      <c r="N414" s="291"/>
      <c r="O414" s="295">
        <v>30.597461671999998</v>
      </c>
      <c r="P414" s="295">
        <v>30.597461671999998</v>
      </c>
      <c r="Q414" s="295">
        <v>30.597461671999998</v>
      </c>
      <c r="R414" s="295">
        <v>30.597461671999998</v>
      </c>
      <c r="S414" s="295">
        <v>30.597461671999998</v>
      </c>
      <c r="T414" s="295">
        <v>30.597461671999998</v>
      </c>
      <c r="U414" s="295">
        <v>30.597461671999998</v>
      </c>
      <c r="V414" s="295">
        <v>30.597461671999998</v>
      </c>
      <c r="W414" s="295">
        <v>30.597461671999998</v>
      </c>
      <c r="X414" s="295">
        <v>30.597461671999998</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48382.21069</v>
      </c>
      <c r="E417" s="295">
        <v>45016.376459999999</v>
      </c>
      <c r="F417" s="295">
        <v>43399.768689999997</v>
      </c>
      <c r="G417" s="295">
        <v>43399.768689999997</v>
      </c>
      <c r="H417" s="295">
        <v>43399.768689999997</v>
      </c>
      <c r="I417" s="295">
        <v>43399.768689999997</v>
      </c>
      <c r="J417" s="295">
        <v>43399.768689999997</v>
      </c>
      <c r="K417" s="295">
        <v>43321.827400000002</v>
      </c>
      <c r="L417" s="295">
        <v>43321.827400000002</v>
      </c>
      <c r="M417" s="295">
        <v>37544.065020000002</v>
      </c>
      <c r="N417" s="291"/>
      <c r="O417" s="295">
        <v>3.6922235190000001</v>
      </c>
      <c r="P417" s="295">
        <v>3.480925536</v>
      </c>
      <c r="Q417" s="295">
        <v>3.379439267</v>
      </c>
      <c r="R417" s="295">
        <v>3.379439267</v>
      </c>
      <c r="S417" s="295">
        <v>3.379439267</v>
      </c>
      <c r="T417" s="295">
        <v>3.379439267</v>
      </c>
      <c r="U417" s="295">
        <v>3.379439267</v>
      </c>
      <c r="V417" s="295">
        <v>3.3705418599999999</v>
      </c>
      <c r="W417" s="295">
        <v>3.3705418599999999</v>
      </c>
      <c r="X417" s="295">
        <v>3.0078295430000002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194896.70670000001</v>
      </c>
      <c r="E420" s="295">
        <v>169070.83429999999</v>
      </c>
      <c r="F420" s="295">
        <v>155611.81959999999</v>
      </c>
      <c r="G420" s="295">
        <v>155611.81959999999</v>
      </c>
      <c r="H420" s="295">
        <v>155611.81959999999</v>
      </c>
      <c r="I420" s="295">
        <v>155611.81959999999</v>
      </c>
      <c r="J420" s="295">
        <v>155611.81959999999</v>
      </c>
      <c r="K420" s="295">
        <v>155544.41089999999</v>
      </c>
      <c r="L420" s="295">
        <v>155544.41089999999</v>
      </c>
      <c r="M420" s="295">
        <v>144664.9437</v>
      </c>
      <c r="N420" s="291"/>
      <c r="O420" s="295">
        <v>12.75507243</v>
      </c>
      <c r="P420" s="295">
        <v>11.13379392</v>
      </c>
      <c r="Q420" s="295">
        <v>10.28887332</v>
      </c>
      <c r="R420" s="295">
        <v>10.28887332</v>
      </c>
      <c r="S420" s="295">
        <v>10.28887332</v>
      </c>
      <c r="T420" s="295">
        <v>10.28887332</v>
      </c>
      <c r="U420" s="295">
        <v>10.28887332</v>
      </c>
      <c r="V420" s="295">
        <v>10.28117827</v>
      </c>
      <c r="W420" s="295">
        <v>10.28117827</v>
      </c>
      <c r="X420" s="295">
        <v>9.5981947020000007</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13.05372</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511988.17920000001</v>
      </c>
      <c r="E436" s="295">
        <v>511988.17920000001</v>
      </c>
      <c r="F436" s="295">
        <v>511988.17920000001</v>
      </c>
      <c r="G436" s="295">
        <v>511988.17920000001</v>
      </c>
      <c r="H436" s="295">
        <v>511988.17920000001</v>
      </c>
      <c r="I436" s="295">
        <v>511988.17920000001</v>
      </c>
      <c r="J436" s="295">
        <v>482727.05180000002</v>
      </c>
      <c r="K436" s="295">
        <v>482727.05180000002</v>
      </c>
      <c r="L436" s="295">
        <v>435590.04719999997</v>
      </c>
      <c r="M436" s="295">
        <v>298826.34009999997</v>
      </c>
      <c r="N436" s="295">
        <v>12</v>
      </c>
      <c r="O436" s="295">
        <v>58.696591329999997</v>
      </c>
      <c r="P436" s="295">
        <v>58.696591329999997</v>
      </c>
      <c r="Q436" s="295">
        <v>58.696591329999997</v>
      </c>
      <c r="R436" s="295">
        <v>58.696591329999997</v>
      </c>
      <c r="S436" s="295">
        <v>58.696591329999997</v>
      </c>
      <c r="T436" s="295">
        <v>58.696591329999997</v>
      </c>
      <c r="U436" s="295">
        <v>53.742210120000003</v>
      </c>
      <c r="V436" s="295">
        <v>53.742210120000003</v>
      </c>
      <c r="W436" s="295">
        <v>53.56382816</v>
      </c>
      <c r="X436" s="295">
        <v>32.574663340000001</v>
      </c>
      <c r="Y436" s="415"/>
      <c r="Z436" s="469">
        <v>0.25</v>
      </c>
      <c r="AA436" s="469"/>
      <c r="AB436" s="469"/>
      <c r="AC436" s="415">
        <v>0.75</v>
      </c>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0.25</v>
      </c>
      <c r="AA437" s="411">
        <f t="shared" ref="AA437:AL437" si="127">AA436</f>
        <v>0</v>
      </c>
      <c r="AB437" s="411">
        <f t="shared" si="127"/>
        <v>0</v>
      </c>
      <c r="AC437" s="411">
        <f t="shared" si="127"/>
        <v>0.75</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150534.80179999999</v>
      </c>
      <c r="E439" s="295">
        <v>143771.04610000001</v>
      </c>
      <c r="F439" s="295">
        <v>131821.22820000001</v>
      </c>
      <c r="G439" s="295">
        <v>92893.011209999997</v>
      </c>
      <c r="H439" s="295">
        <v>92893.011209999997</v>
      </c>
      <c r="I439" s="295">
        <v>92893.011209999997</v>
      </c>
      <c r="J439" s="295">
        <v>92893.011209999997</v>
      </c>
      <c r="K439" s="295">
        <v>92893.011209999997</v>
      </c>
      <c r="L439" s="295">
        <v>92893.011209999997</v>
      </c>
      <c r="M439" s="295">
        <v>92893.011209999997</v>
      </c>
      <c r="N439" s="295">
        <v>12</v>
      </c>
      <c r="O439" s="295">
        <v>40.620758600000002</v>
      </c>
      <c r="P439" s="295">
        <v>38.659208470000003</v>
      </c>
      <c r="Q439" s="295">
        <v>35.953723160000003</v>
      </c>
      <c r="R439" s="295">
        <v>24.468121719999999</v>
      </c>
      <c r="S439" s="295">
        <v>24.468121719999999</v>
      </c>
      <c r="T439" s="295">
        <v>24.468121719999999</v>
      </c>
      <c r="U439" s="295">
        <v>24.468121719999999</v>
      </c>
      <c r="V439" s="295">
        <v>24.468121719999999</v>
      </c>
      <c r="W439" s="295">
        <v>24.468121719999999</v>
      </c>
      <c r="X439" s="295">
        <v>24.468121719999999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v>525099.63</v>
      </c>
      <c r="E445" s="295">
        <v>525099.63</v>
      </c>
      <c r="F445" s="295">
        <v>525099.63</v>
      </c>
      <c r="G445" s="295">
        <v>525099.63</v>
      </c>
      <c r="H445" s="295">
        <v>525099.63</v>
      </c>
      <c r="I445" s="295">
        <v>525099.63</v>
      </c>
      <c r="J445" s="295">
        <v>525099.63</v>
      </c>
      <c r="K445" s="295">
        <v>525099.63</v>
      </c>
      <c r="L445" s="295">
        <v>523244.32500000001</v>
      </c>
      <c r="M445" s="295">
        <v>523244.32500000001</v>
      </c>
      <c r="N445" s="295">
        <v>12</v>
      </c>
      <c r="O445" s="295">
        <v>112.1247132</v>
      </c>
      <c r="P445" s="295">
        <v>112.1247132</v>
      </c>
      <c r="Q445" s="295">
        <v>112.1247132</v>
      </c>
      <c r="R445" s="295">
        <v>112.1247132</v>
      </c>
      <c r="S445" s="295">
        <v>112.1247132</v>
      </c>
      <c r="T445" s="295">
        <v>112.1247132</v>
      </c>
      <c r="U445" s="295">
        <v>112.1247132</v>
      </c>
      <c r="V445" s="295">
        <v>112.1247132</v>
      </c>
      <c r="W445" s="295">
        <v>111.5633832</v>
      </c>
      <c r="X445" s="295">
        <v>111.5633832</v>
      </c>
      <c r="Y445" s="415"/>
      <c r="Z445" s="415">
        <v>0.5</v>
      </c>
      <c r="AA445" s="415"/>
      <c r="AB445" s="415"/>
      <c r="AC445" s="415">
        <v>0.5</v>
      </c>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0.5</v>
      </c>
      <c r="AA446" s="411">
        <f>AA445</f>
        <v>0</v>
      </c>
      <c r="AB446" s="411">
        <f t="shared" ref="AB446:AL446" si="130">AB445</f>
        <v>0</v>
      </c>
      <c r="AC446" s="411">
        <f t="shared" si="130"/>
        <v>0.5</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v>0</v>
      </c>
      <c r="E457" s="295">
        <v>0</v>
      </c>
      <c r="F457" s="295">
        <v>0</v>
      </c>
      <c r="G457" s="295">
        <v>0</v>
      </c>
      <c r="H457" s="295">
        <v>0</v>
      </c>
      <c r="I457" s="295">
        <v>0</v>
      </c>
      <c r="J457" s="295">
        <v>0</v>
      </c>
      <c r="K457" s="295">
        <v>0</v>
      </c>
      <c r="L457" s="295">
        <v>0</v>
      </c>
      <c r="M457" s="295">
        <v>0</v>
      </c>
      <c r="N457" s="291"/>
      <c r="O457" s="295">
        <v>91.177899999999994</v>
      </c>
      <c r="P457" s="295">
        <v>0</v>
      </c>
      <c r="Q457" s="295">
        <v>0</v>
      </c>
      <c r="R457" s="295">
        <v>0</v>
      </c>
      <c r="S457" s="295">
        <v>0</v>
      </c>
      <c r="T457" s="295">
        <v>0</v>
      </c>
      <c r="U457" s="295">
        <v>0</v>
      </c>
      <c r="V457" s="295">
        <v>0</v>
      </c>
      <c r="W457" s="295">
        <v>0</v>
      </c>
      <c r="X457" s="295">
        <v>0</v>
      </c>
      <c r="Y457" s="415"/>
      <c r="Z457" s="415"/>
      <c r="AA457" s="415"/>
      <c r="AB457" s="415"/>
      <c r="AC457" s="415">
        <v>1</v>
      </c>
      <c r="AD457" s="415"/>
      <c r="AE457" s="415"/>
      <c r="AF457" s="415"/>
      <c r="AG457" s="415"/>
      <c r="AH457" s="415"/>
      <c r="AI457" s="415"/>
      <c r="AJ457" s="415"/>
      <c r="AK457" s="415"/>
      <c r="AL457" s="415"/>
      <c r="AM457" s="296">
        <f>SUM(Y457:AL457)</f>
        <v>1</v>
      </c>
    </row>
    <row r="458" spans="1:39" ht="15" outlineLevel="1">
      <c r="B458" s="294" t="s">
        <v>259</v>
      </c>
      <c r="C458" s="291" t="s">
        <v>163</v>
      </c>
      <c r="D458" s="295">
        <v>0</v>
      </c>
      <c r="E458" s="295">
        <v>0</v>
      </c>
      <c r="F458" s="295">
        <v>0</v>
      </c>
      <c r="G458" s="295">
        <v>0</v>
      </c>
      <c r="H458" s="295">
        <v>0</v>
      </c>
      <c r="I458" s="295">
        <v>0</v>
      </c>
      <c r="J458" s="295">
        <v>0</v>
      </c>
      <c r="K458" s="295">
        <v>0</v>
      </c>
      <c r="L458" s="295">
        <v>0</v>
      </c>
      <c r="M458" s="295">
        <v>0</v>
      </c>
      <c r="N458" s="291"/>
      <c r="O458" s="295">
        <v>1.1141669999999999</v>
      </c>
      <c r="P458" s="295">
        <v>0</v>
      </c>
      <c r="Q458" s="295">
        <v>0</v>
      </c>
      <c r="R458" s="295">
        <v>0</v>
      </c>
      <c r="S458" s="295">
        <v>0</v>
      </c>
      <c r="T458" s="295">
        <v>0</v>
      </c>
      <c r="U458" s="295">
        <v>0</v>
      </c>
      <c r="V458" s="295">
        <v>0</v>
      </c>
      <c r="W458" s="295">
        <v>0</v>
      </c>
      <c r="X458" s="295">
        <v>0</v>
      </c>
      <c r="Y458" s="411">
        <f>Y457</f>
        <v>0</v>
      </c>
      <c r="Z458" s="411">
        <f>Z457</f>
        <v>0</v>
      </c>
      <c r="AA458" s="411">
        <f t="shared" ref="AA458:AL458" si="134">AA457</f>
        <v>0</v>
      </c>
      <c r="AB458" s="411">
        <f t="shared" si="134"/>
        <v>0</v>
      </c>
      <c r="AC458" s="411">
        <f t="shared" si="134"/>
        <v>1</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v>372587.14370000002</v>
      </c>
      <c r="E467" s="295">
        <v>372587.14370000002</v>
      </c>
      <c r="F467" s="295">
        <v>372587.14370000002</v>
      </c>
      <c r="G467" s="295">
        <v>372587.14370000002</v>
      </c>
      <c r="H467" s="295">
        <v>372587.14370000002</v>
      </c>
      <c r="I467" s="295">
        <v>353579.14370000002</v>
      </c>
      <c r="J467" s="295">
        <v>353579.14370000002</v>
      </c>
      <c r="K467" s="295">
        <v>353579.14370000002</v>
      </c>
      <c r="L467" s="295">
        <v>353579.14370000002</v>
      </c>
      <c r="M467" s="295">
        <v>353579.14370000002</v>
      </c>
      <c r="N467" s="295">
        <v>12</v>
      </c>
      <c r="O467" s="295">
        <v>3.6773099999999999</v>
      </c>
      <c r="P467" s="295">
        <v>3.6773099999999999</v>
      </c>
      <c r="Q467" s="295">
        <v>3.6773099999999999</v>
      </c>
      <c r="R467" s="295">
        <v>3.6773099999999999</v>
      </c>
      <c r="S467" s="295">
        <v>3.6773099999999999</v>
      </c>
      <c r="T467" s="295">
        <v>3.6773099999999999</v>
      </c>
      <c r="U467" s="295">
        <v>3.6773099999999999</v>
      </c>
      <c r="V467" s="295">
        <v>3.6773099999999999</v>
      </c>
      <c r="W467" s="295">
        <v>3.6773099999999999</v>
      </c>
      <c r="X467" s="295">
        <v>3.6773099999999999</v>
      </c>
      <c r="Y467" s="410"/>
      <c r="Z467" s="415"/>
      <c r="AA467" s="415"/>
      <c r="AB467" s="415"/>
      <c r="AC467" s="415">
        <v>1</v>
      </c>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1</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175.58170000000001</v>
      </c>
      <c r="P473" s="295">
        <v>0</v>
      </c>
      <c r="Q473" s="295">
        <v>0</v>
      </c>
      <c r="R473" s="295">
        <v>0</v>
      </c>
      <c r="S473" s="295">
        <v>0</v>
      </c>
      <c r="T473" s="295">
        <v>0</v>
      </c>
      <c r="U473" s="295">
        <v>0</v>
      </c>
      <c r="V473" s="295">
        <v>0</v>
      </c>
      <c r="W473" s="295">
        <v>0</v>
      </c>
      <c r="X473" s="295">
        <v>0</v>
      </c>
      <c r="Y473" s="410"/>
      <c r="Z473" s="415"/>
      <c r="AA473" s="415"/>
      <c r="AB473" s="415"/>
      <c r="AC473" s="415">
        <v>1</v>
      </c>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1</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v>0</v>
      </c>
      <c r="E507" s="295">
        <v>0</v>
      </c>
      <c r="F507" s="295">
        <v>0</v>
      </c>
      <c r="G507" s="295">
        <v>0</v>
      </c>
      <c r="H507" s="295">
        <v>0</v>
      </c>
      <c r="I507" s="295">
        <v>0</v>
      </c>
      <c r="J507" s="295">
        <v>0</v>
      </c>
      <c r="K507" s="295">
        <v>0</v>
      </c>
      <c r="L507" s="295">
        <v>0</v>
      </c>
      <c r="M507" s="295">
        <v>0</v>
      </c>
      <c r="N507" s="295">
        <v>0</v>
      </c>
      <c r="O507" s="295">
        <v>99.699940049999995</v>
      </c>
      <c r="P507" s="295">
        <v>0</v>
      </c>
      <c r="Q507" s="295">
        <v>0</v>
      </c>
      <c r="R507" s="295">
        <v>0</v>
      </c>
      <c r="S507" s="295">
        <v>0</v>
      </c>
      <c r="T507" s="295">
        <v>0</v>
      </c>
      <c r="U507" s="295">
        <v>0</v>
      </c>
      <c r="V507" s="295">
        <v>0</v>
      </c>
      <c r="W507" s="295">
        <v>0</v>
      </c>
      <c r="X507" s="295">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1872425.0673928061</v>
      </c>
      <c r="E513" s="329"/>
      <c r="F513" s="329"/>
      <c r="G513" s="329"/>
      <c r="H513" s="329"/>
      <c r="I513" s="329"/>
      <c r="J513" s="329"/>
      <c r="K513" s="329"/>
      <c r="L513" s="329"/>
      <c r="M513" s="329"/>
      <c r="N513" s="329"/>
      <c r="O513" s="329">
        <f>SUM(O408:O511)</f>
        <v>646.55455949073246</v>
      </c>
      <c r="P513" s="329"/>
      <c r="Q513" s="329"/>
      <c r="R513" s="329"/>
      <c r="S513" s="329"/>
      <c r="T513" s="329"/>
      <c r="U513" s="329"/>
      <c r="V513" s="329"/>
      <c r="W513" s="329"/>
      <c r="X513" s="329"/>
      <c r="Y513" s="329">
        <f>IF(Y407="kWh",SUMPRODUCT(D408:D511,Y408:Y511))</f>
        <v>312215.31269280589</v>
      </c>
      <c r="Z513" s="329">
        <f>IF(Z407="kWh",SUMPRODUCT(D408:D511,Z408:Z511))</f>
        <v>541081.66159999999</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1245.14532117</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283023.60606280586</v>
      </c>
      <c r="Z526" s="291">
        <f>SUMPRODUCT(E408:E511,Z408:Z511)</f>
        <v>534317.90590000001</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1245.14532117</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267947.9835928058</v>
      </c>
      <c r="Z527" s="291">
        <f>SUMPRODUCT(F408:F511,Z408:Z511)</f>
        <v>522368.08799999999</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1245.14532117</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267947.9835928058</v>
      </c>
      <c r="Z528" s="291">
        <f>SUMPRODUCT(G408:G511,Z408:Z511)</f>
        <v>483439.87101</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1245.14532117</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260620.99619678012</v>
      </c>
      <c r="Z529" s="291">
        <f>SUMPRODUCT(H408:H511,Z408:Z511)</f>
        <v>483439.87101</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1245.14532117</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255716.05965069999</v>
      </c>
      <c r="Z530" s="291">
        <f>SUMPRODUCT(I408:I511,Z408:Z511)</f>
        <v>483439.87101</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1245.14532117</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255716.05965069999</v>
      </c>
      <c r="Z531" s="326">
        <f>SUMPRODUCT(J408:J511,Z408:Z511)</f>
        <v>476124.58915999997</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1200.5558902800001</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1" zoomScale="60" zoomScaleNormal="60" workbookViewId="0">
      <pane xSplit="2" topLeftCell="C1" activePane="topRight" state="frozen"/>
      <selection pane="topRight" activeCell="A31" sqref="A1:XFD1048576"/>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13"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3"/>
      <c r="C16" s="795" t="s">
        <v>551</v>
      </c>
      <c r="D16" s="79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3" t="s">
        <v>505</v>
      </c>
      <c r="C18" s="812" t="s">
        <v>664</v>
      </c>
      <c r="D18" s="812"/>
      <c r="E18" s="812"/>
      <c r="F18" s="812"/>
      <c r="G18" s="812"/>
      <c r="H18" s="812"/>
      <c r="I18" s="812"/>
      <c r="J18" s="812"/>
      <c r="K18" s="812"/>
      <c r="L18" s="812"/>
      <c r="M18" s="812"/>
      <c r="N18" s="812"/>
      <c r="O18" s="812"/>
      <c r="P18" s="812"/>
      <c r="Q18" s="812"/>
      <c r="R18" s="812"/>
      <c r="S18" s="812"/>
      <c r="T18" s="812"/>
      <c r="U18" s="812"/>
      <c r="V18" s="812"/>
      <c r="W18" s="812"/>
      <c r="X18" s="812"/>
      <c r="Y18" s="606"/>
      <c r="Z18" s="606"/>
      <c r="AA18" s="606"/>
      <c r="AB18" s="606"/>
      <c r="AC18" s="606"/>
      <c r="AD18" s="606"/>
      <c r="AE18" s="270"/>
      <c r="AF18" s="265"/>
      <c r="AG18" s="265"/>
      <c r="AH18" s="265"/>
      <c r="AI18" s="265"/>
      <c r="AJ18" s="265"/>
      <c r="AK18" s="265"/>
      <c r="AL18" s="265"/>
      <c r="AM18" s="265"/>
    </row>
    <row r="19" spans="2:39" ht="45.75" customHeight="1">
      <c r="B19" s="813"/>
      <c r="C19" s="812" t="s">
        <v>569</v>
      </c>
      <c r="D19" s="812"/>
      <c r="E19" s="812"/>
      <c r="F19" s="812"/>
      <c r="G19" s="812"/>
      <c r="H19" s="812"/>
      <c r="I19" s="812"/>
      <c r="J19" s="812"/>
      <c r="K19" s="812"/>
      <c r="L19" s="812"/>
      <c r="M19" s="812"/>
      <c r="N19" s="812"/>
      <c r="O19" s="812"/>
      <c r="P19" s="812"/>
      <c r="Q19" s="812"/>
      <c r="R19" s="812"/>
      <c r="S19" s="812"/>
      <c r="T19" s="812"/>
      <c r="U19" s="812"/>
      <c r="V19" s="812"/>
      <c r="W19" s="812"/>
      <c r="X19" s="812"/>
      <c r="Y19" s="606"/>
      <c r="Z19" s="606"/>
      <c r="AA19" s="606"/>
      <c r="AB19" s="606"/>
      <c r="AC19" s="606"/>
      <c r="AD19" s="606"/>
      <c r="AE19" s="270"/>
      <c r="AF19" s="265"/>
      <c r="AG19" s="265"/>
      <c r="AH19" s="265"/>
      <c r="AI19" s="265"/>
      <c r="AJ19" s="265"/>
      <c r="AK19" s="265"/>
      <c r="AL19" s="265"/>
      <c r="AM19" s="265"/>
    </row>
    <row r="20" spans="2:39" ht="62.25" customHeight="1">
      <c r="B20" s="273"/>
      <c r="C20" s="812" t="s">
        <v>567</v>
      </c>
      <c r="D20" s="812"/>
      <c r="E20" s="812"/>
      <c r="F20" s="812"/>
      <c r="G20" s="812"/>
      <c r="H20" s="812"/>
      <c r="I20" s="812"/>
      <c r="J20" s="812"/>
      <c r="K20" s="812"/>
      <c r="L20" s="812"/>
      <c r="M20" s="812"/>
      <c r="N20" s="812"/>
      <c r="O20" s="812"/>
      <c r="P20" s="812"/>
      <c r="Q20" s="812"/>
      <c r="R20" s="812"/>
      <c r="S20" s="812"/>
      <c r="T20" s="812"/>
      <c r="U20" s="812"/>
      <c r="V20" s="812"/>
      <c r="W20" s="812"/>
      <c r="X20" s="812"/>
      <c r="Y20" s="606"/>
      <c r="Z20" s="606"/>
      <c r="AA20" s="606"/>
      <c r="AB20" s="606"/>
      <c r="AC20" s="606"/>
      <c r="AD20" s="606"/>
      <c r="AE20" s="428"/>
      <c r="AF20" s="265"/>
      <c r="AG20" s="265"/>
      <c r="AH20" s="265"/>
      <c r="AI20" s="265"/>
      <c r="AJ20" s="265"/>
      <c r="AK20" s="265"/>
      <c r="AL20" s="265"/>
      <c r="AM20" s="265"/>
    </row>
    <row r="21" spans="2:39" ht="37.5" customHeight="1">
      <c r="B21" s="273"/>
      <c r="C21" s="812" t="s">
        <v>633</v>
      </c>
      <c r="D21" s="812"/>
      <c r="E21" s="812"/>
      <c r="F21" s="812"/>
      <c r="G21" s="812"/>
      <c r="H21" s="812"/>
      <c r="I21" s="812"/>
      <c r="J21" s="812"/>
      <c r="K21" s="812"/>
      <c r="L21" s="812"/>
      <c r="M21" s="812"/>
      <c r="N21" s="812"/>
      <c r="O21" s="812"/>
      <c r="P21" s="812"/>
      <c r="Q21" s="812"/>
      <c r="R21" s="812"/>
      <c r="S21" s="812"/>
      <c r="T21" s="812"/>
      <c r="U21" s="812"/>
      <c r="V21" s="812"/>
      <c r="W21" s="812"/>
      <c r="X21" s="812"/>
      <c r="Y21" s="606"/>
      <c r="Z21" s="606"/>
      <c r="AA21" s="606"/>
      <c r="AB21" s="606"/>
      <c r="AC21" s="606"/>
      <c r="AD21" s="606"/>
      <c r="AE21" s="276"/>
      <c r="AF21" s="265"/>
      <c r="AG21" s="265"/>
      <c r="AH21" s="265"/>
      <c r="AI21" s="265"/>
      <c r="AJ21" s="265"/>
      <c r="AK21" s="265"/>
      <c r="AL21" s="265"/>
      <c r="AM21" s="265"/>
    </row>
    <row r="22" spans="2:39" ht="54.75" customHeight="1">
      <c r="B22" s="273"/>
      <c r="C22" s="812" t="s">
        <v>617</v>
      </c>
      <c r="D22" s="812"/>
      <c r="E22" s="812"/>
      <c r="F22" s="812"/>
      <c r="G22" s="812"/>
      <c r="H22" s="812"/>
      <c r="I22" s="812"/>
      <c r="J22" s="812"/>
      <c r="K22" s="812"/>
      <c r="L22" s="812"/>
      <c r="M22" s="812"/>
      <c r="N22" s="812"/>
      <c r="O22" s="812"/>
      <c r="P22" s="812"/>
      <c r="Q22" s="812"/>
      <c r="R22" s="812"/>
      <c r="S22" s="812"/>
      <c r="T22" s="812"/>
      <c r="U22" s="812"/>
      <c r="V22" s="812"/>
      <c r="W22" s="812"/>
      <c r="X22" s="812"/>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13"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13"/>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03" t="s">
        <v>211</v>
      </c>
      <c r="C34" s="805" t="s">
        <v>33</v>
      </c>
      <c r="D34" s="284" t="s">
        <v>422</v>
      </c>
      <c r="E34" s="807" t="s">
        <v>209</v>
      </c>
      <c r="F34" s="808"/>
      <c r="G34" s="808"/>
      <c r="H34" s="808"/>
      <c r="I34" s="808"/>
      <c r="J34" s="808"/>
      <c r="K34" s="808"/>
      <c r="L34" s="808"/>
      <c r="M34" s="809"/>
      <c r="N34" s="810" t="s">
        <v>213</v>
      </c>
      <c r="O34" s="284" t="s">
        <v>423</v>
      </c>
      <c r="P34" s="807" t="s">
        <v>212</v>
      </c>
      <c r="Q34" s="808"/>
      <c r="R34" s="808"/>
      <c r="S34" s="808"/>
      <c r="T34" s="808"/>
      <c r="U34" s="808"/>
      <c r="V34" s="808"/>
      <c r="W34" s="808"/>
      <c r="X34" s="809"/>
      <c r="Y34" s="800" t="s">
        <v>243</v>
      </c>
      <c r="Z34" s="801"/>
      <c r="AA34" s="801"/>
      <c r="AB34" s="801"/>
      <c r="AC34" s="801"/>
      <c r="AD34" s="801"/>
      <c r="AE34" s="801"/>
      <c r="AF34" s="801"/>
      <c r="AG34" s="801"/>
      <c r="AH34" s="801"/>
      <c r="AI34" s="801"/>
      <c r="AJ34" s="801"/>
      <c r="AK34" s="801"/>
      <c r="AL34" s="801"/>
      <c r="AM34" s="802"/>
    </row>
    <row r="35" spans="1:39" ht="65.25" customHeight="1">
      <c r="B35" s="804"/>
      <c r="C35" s="806"/>
      <c r="D35" s="285">
        <v>2015</v>
      </c>
      <c r="E35" s="285">
        <v>2016</v>
      </c>
      <c r="F35" s="285">
        <v>2017</v>
      </c>
      <c r="G35" s="285">
        <v>2018</v>
      </c>
      <c r="H35" s="285">
        <v>2019</v>
      </c>
      <c r="I35" s="285">
        <v>2020</v>
      </c>
      <c r="J35" s="285">
        <v>2021</v>
      </c>
      <c r="K35" s="285">
        <v>2022</v>
      </c>
      <c r="L35" s="285">
        <v>2023</v>
      </c>
      <c r="M35" s="429">
        <v>2024</v>
      </c>
      <c r="N35" s="81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Street Lighting</v>
      </c>
      <c r="AB35" s="285" t="str">
        <f>'1.  LRAMVA Summary'!G52</f>
        <v>Unmetered Scattered Load</v>
      </c>
      <c r="AC35" s="285" t="str">
        <f>'1.  LRAMVA Summary'!H52</f>
        <v>General Service 50 - 4,999 kW</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85913</v>
      </c>
      <c r="E38" s="295">
        <v>85119</v>
      </c>
      <c r="F38" s="295">
        <v>85119</v>
      </c>
      <c r="G38" s="295">
        <v>85119</v>
      </c>
      <c r="H38" s="295">
        <v>85119</v>
      </c>
      <c r="I38" s="295">
        <v>85119</v>
      </c>
      <c r="J38" s="295">
        <v>85119</v>
      </c>
      <c r="K38" s="295">
        <v>85102</v>
      </c>
      <c r="L38" s="295">
        <v>85102</v>
      </c>
      <c r="M38" s="295">
        <v>85102</v>
      </c>
      <c r="N38" s="291"/>
      <c r="O38" s="295">
        <v>6</v>
      </c>
      <c r="P38" s="295">
        <v>6</v>
      </c>
      <c r="Q38" s="295">
        <v>6</v>
      </c>
      <c r="R38" s="295">
        <v>6</v>
      </c>
      <c r="S38" s="295">
        <v>6</v>
      </c>
      <c r="T38" s="295">
        <v>6</v>
      </c>
      <c r="U38" s="295">
        <v>6</v>
      </c>
      <c r="V38" s="295">
        <v>6</v>
      </c>
      <c r="W38" s="295">
        <v>6</v>
      </c>
      <c r="X38" s="295">
        <v>6</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23142</v>
      </c>
      <c r="E39" s="295">
        <v>22927</v>
      </c>
      <c r="F39" s="295">
        <v>22927</v>
      </c>
      <c r="G39" s="295">
        <v>22927</v>
      </c>
      <c r="H39" s="295">
        <v>22927</v>
      </c>
      <c r="I39" s="295">
        <v>22927</v>
      </c>
      <c r="J39" s="295">
        <v>22927</v>
      </c>
      <c r="K39" s="295">
        <v>22921</v>
      </c>
      <c r="L39" s="295">
        <v>22921</v>
      </c>
      <c r="M39" s="295">
        <v>22921</v>
      </c>
      <c r="N39" s="468"/>
      <c r="O39" s="295">
        <v>1</v>
      </c>
      <c r="P39" s="295">
        <v>1</v>
      </c>
      <c r="Q39" s="295">
        <v>1</v>
      </c>
      <c r="R39" s="295">
        <v>1</v>
      </c>
      <c r="S39" s="295">
        <v>1</v>
      </c>
      <c r="T39" s="295">
        <v>1</v>
      </c>
      <c r="U39" s="295">
        <v>1</v>
      </c>
      <c r="V39" s="295">
        <v>1</v>
      </c>
      <c r="W39" s="295">
        <v>1</v>
      </c>
      <c r="X39" s="295">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146333</v>
      </c>
      <c r="E41" s="295">
        <v>143732</v>
      </c>
      <c r="F41" s="295">
        <v>143732</v>
      </c>
      <c r="G41" s="295">
        <v>143732</v>
      </c>
      <c r="H41" s="295">
        <v>143732</v>
      </c>
      <c r="I41" s="295">
        <v>143732</v>
      </c>
      <c r="J41" s="295">
        <v>143732</v>
      </c>
      <c r="K41" s="295">
        <v>143657</v>
      </c>
      <c r="L41" s="295">
        <v>143657</v>
      </c>
      <c r="M41" s="295">
        <v>143657</v>
      </c>
      <c r="N41" s="291"/>
      <c r="O41" s="295">
        <v>10</v>
      </c>
      <c r="P41" s="295">
        <v>10</v>
      </c>
      <c r="Q41" s="295">
        <v>10</v>
      </c>
      <c r="R41" s="295">
        <v>10</v>
      </c>
      <c r="S41" s="295">
        <v>10</v>
      </c>
      <c r="T41" s="295">
        <v>10</v>
      </c>
      <c r="U41" s="295">
        <v>10</v>
      </c>
      <c r="V41" s="295">
        <v>10</v>
      </c>
      <c r="W41" s="295">
        <v>10</v>
      </c>
      <c r="X41" s="295">
        <v>10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1514</v>
      </c>
      <c r="E42" s="295">
        <v>1496</v>
      </c>
      <c r="F42" s="295">
        <v>1496</v>
      </c>
      <c r="G42" s="295">
        <v>1496</v>
      </c>
      <c r="H42" s="295">
        <v>1496</v>
      </c>
      <c r="I42" s="295">
        <v>1496</v>
      </c>
      <c r="J42" s="295">
        <v>1496</v>
      </c>
      <c r="K42" s="295">
        <v>1492</v>
      </c>
      <c r="L42" s="295">
        <v>1492</v>
      </c>
      <c r="M42" s="295">
        <v>1492</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3267</v>
      </c>
      <c r="E44" s="295">
        <v>3267</v>
      </c>
      <c r="F44" s="295">
        <v>3267</v>
      </c>
      <c r="G44" s="295">
        <v>3267</v>
      </c>
      <c r="H44" s="295">
        <v>2442</v>
      </c>
      <c r="I44" s="295">
        <v>0</v>
      </c>
      <c r="J44" s="295">
        <v>0</v>
      </c>
      <c r="K44" s="295">
        <v>0</v>
      </c>
      <c r="L44" s="295">
        <v>0</v>
      </c>
      <c r="M44" s="295">
        <v>0</v>
      </c>
      <c r="N44" s="291"/>
      <c r="O44" s="295">
        <v>1</v>
      </c>
      <c r="P44" s="295">
        <v>1</v>
      </c>
      <c r="Q44" s="295">
        <v>1</v>
      </c>
      <c r="R44" s="295">
        <v>1</v>
      </c>
      <c r="S44" s="295">
        <v>0</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679</v>
      </c>
      <c r="C47" s="291" t="s">
        <v>25</v>
      </c>
      <c r="D47" s="295">
        <v>65698</v>
      </c>
      <c r="E47" s="295">
        <v>65698</v>
      </c>
      <c r="F47" s="295">
        <v>65698</v>
      </c>
      <c r="G47" s="295">
        <v>65698</v>
      </c>
      <c r="H47" s="295">
        <v>65698</v>
      </c>
      <c r="I47" s="295">
        <v>65698</v>
      </c>
      <c r="J47" s="295">
        <v>65698</v>
      </c>
      <c r="K47" s="295">
        <v>65698</v>
      </c>
      <c r="L47" s="295">
        <v>65698</v>
      </c>
      <c r="M47" s="295">
        <v>65698</v>
      </c>
      <c r="N47" s="291"/>
      <c r="O47" s="295">
        <v>35</v>
      </c>
      <c r="P47" s="295">
        <v>35</v>
      </c>
      <c r="Q47" s="295">
        <v>35</v>
      </c>
      <c r="R47" s="295">
        <v>35</v>
      </c>
      <c r="S47" s="295">
        <v>35</v>
      </c>
      <c r="T47" s="295">
        <v>35</v>
      </c>
      <c r="U47" s="295">
        <v>35</v>
      </c>
      <c r="V47" s="295">
        <v>35</v>
      </c>
      <c r="W47" s="295">
        <v>35</v>
      </c>
      <c r="X47" s="295">
        <v>35</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645</v>
      </c>
      <c r="E48" s="295">
        <v>645</v>
      </c>
      <c r="F48" s="295">
        <v>645</v>
      </c>
      <c r="G48" s="295">
        <v>645</v>
      </c>
      <c r="H48" s="295">
        <v>645</v>
      </c>
      <c r="I48" s="295">
        <v>645</v>
      </c>
      <c r="J48" s="295">
        <v>645</v>
      </c>
      <c r="K48" s="295">
        <v>645</v>
      </c>
      <c r="L48" s="295">
        <v>645</v>
      </c>
      <c r="M48" s="295">
        <v>645</v>
      </c>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71357</v>
      </c>
      <c r="E54" s="295">
        <v>71357</v>
      </c>
      <c r="F54" s="295">
        <v>71357</v>
      </c>
      <c r="G54" s="295">
        <v>71357</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5"/>
      <c r="Z54" s="410"/>
      <c r="AA54" s="410"/>
      <c r="AB54" s="410"/>
      <c r="AC54" s="410">
        <v>1</v>
      </c>
      <c r="AD54" s="410"/>
      <c r="AE54" s="410"/>
      <c r="AF54" s="415"/>
      <c r="AG54" s="415"/>
      <c r="AH54" s="415"/>
      <c r="AI54" s="415"/>
      <c r="AJ54" s="415"/>
      <c r="AK54" s="415"/>
      <c r="AL54" s="415"/>
      <c r="AM54" s="296">
        <f>SUM(Y54:AL54)</f>
        <v>1</v>
      </c>
    </row>
    <row r="55" spans="1:39" outlineLevel="1">
      <c r="B55" s="294" t="s">
        <v>267</v>
      </c>
      <c r="C55" s="291" t="s">
        <v>163</v>
      </c>
      <c r="D55" s="295">
        <v>4802</v>
      </c>
      <c r="E55" s="295">
        <v>4802</v>
      </c>
      <c r="F55" s="295">
        <v>4802</v>
      </c>
      <c r="G55" s="295">
        <v>4802</v>
      </c>
      <c r="H55" s="295">
        <v>76159</v>
      </c>
      <c r="I55" s="295">
        <v>76159</v>
      </c>
      <c r="J55" s="295">
        <v>76159</v>
      </c>
      <c r="K55" s="295">
        <v>76159</v>
      </c>
      <c r="L55" s="295">
        <v>76159</v>
      </c>
      <c r="M55" s="295">
        <v>76159</v>
      </c>
      <c r="N55" s="295">
        <f>N54</f>
        <v>12</v>
      </c>
      <c r="O55" s="295">
        <v>1</v>
      </c>
      <c r="P55" s="295">
        <v>1</v>
      </c>
      <c r="Q55" s="295">
        <v>1</v>
      </c>
      <c r="R55" s="295">
        <v>1</v>
      </c>
      <c r="S55" s="295">
        <v>16</v>
      </c>
      <c r="T55" s="295">
        <v>16</v>
      </c>
      <c r="U55" s="295">
        <v>16</v>
      </c>
      <c r="V55" s="295">
        <v>16</v>
      </c>
      <c r="W55" s="295">
        <v>16</v>
      </c>
      <c r="X55" s="295">
        <v>16</v>
      </c>
      <c r="Y55" s="411">
        <f>Y54</f>
        <v>0</v>
      </c>
      <c r="Z55" s="411">
        <f t="shared" ref="Z55" si="53">Z54</f>
        <v>0</v>
      </c>
      <c r="AA55" s="411">
        <f t="shared" ref="AA55" si="54">AA54</f>
        <v>0</v>
      </c>
      <c r="AB55" s="411">
        <f t="shared" ref="AB55" si="55">AB54</f>
        <v>0</v>
      </c>
      <c r="AC55" s="411">
        <f t="shared" ref="AC55" si="56">AC54</f>
        <v>1</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1703597</v>
      </c>
      <c r="E57" s="295">
        <v>1703597</v>
      </c>
      <c r="F57" s="295">
        <v>1697753</v>
      </c>
      <c r="G57" s="295">
        <v>1697753</v>
      </c>
      <c r="H57" s="295">
        <v>1697753</v>
      </c>
      <c r="I57" s="295">
        <v>1697753</v>
      </c>
      <c r="J57" s="295">
        <v>1659705</v>
      </c>
      <c r="K57" s="295">
        <v>1659705</v>
      </c>
      <c r="L57" s="295">
        <v>1581164</v>
      </c>
      <c r="M57" s="295">
        <v>1454662</v>
      </c>
      <c r="N57" s="295">
        <v>12</v>
      </c>
      <c r="O57" s="295">
        <v>249</v>
      </c>
      <c r="P57" s="295">
        <v>249</v>
      </c>
      <c r="Q57" s="295">
        <v>247</v>
      </c>
      <c r="R57" s="295">
        <v>247</v>
      </c>
      <c r="S57" s="295">
        <v>247</v>
      </c>
      <c r="T57" s="295">
        <v>247</v>
      </c>
      <c r="U57" s="295">
        <v>239</v>
      </c>
      <c r="V57" s="295">
        <v>239</v>
      </c>
      <c r="W57" s="295">
        <v>214</v>
      </c>
      <c r="X57" s="295">
        <v>189</v>
      </c>
      <c r="Y57" s="533"/>
      <c r="Z57" s="533">
        <v>0.19416094187034938</v>
      </c>
      <c r="AA57" s="533">
        <v>0.29882819566650759</v>
      </c>
      <c r="AB57" s="410"/>
      <c r="AC57" s="533">
        <v>0.50701086246314298</v>
      </c>
      <c r="AD57" s="410"/>
      <c r="AE57" s="410"/>
      <c r="AF57" s="415"/>
      <c r="AG57" s="415"/>
      <c r="AH57" s="415"/>
      <c r="AI57" s="415"/>
      <c r="AJ57" s="415"/>
      <c r="AK57" s="415"/>
      <c r="AL57" s="415"/>
      <c r="AM57" s="296">
        <f>SUM(Y57:AL57)</f>
        <v>1</v>
      </c>
    </row>
    <row r="58" spans="1:39" outlineLevel="1">
      <c r="B58" s="294" t="s">
        <v>267</v>
      </c>
      <c r="C58" s="291" t="s">
        <v>163</v>
      </c>
      <c r="D58" s="295">
        <v>22866</v>
      </c>
      <c r="E58" s="295">
        <v>22866</v>
      </c>
      <c r="F58" s="295">
        <v>28710</v>
      </c>
      <c r="G58" s="295">
        <v>30472</v>
      </c>
      <c r="H58" s="295">
        <v>30472</v>
      </c>
      <c r="I58" s="295">
        <v>30472</v>
      </c>
      <c r="J58" s="295">
        <v>68519</v>
      </c>
      <c r="K58" s="295">
        <v>68519</v>
      </c>
      <c r="L58" s="295">
        <v>75045</v>
      </c>
      <c r="M58" s="295">
        <v>66299</v>
      </c>
      <c r="N58" s="295">
        <f>N57</f>
        <v>12</v>
      </c>
      <c r="O58" s="295">
        <v>6</v>
      </c>
      <c r="P58" s="295">
        <v>6</v>
      </c>
      <c r="Q58" s="295">
        <v>8</v>
      </c>
      <c r="R58" s="295">
        <v>9</v>
      </c>
      <c r="S58" s="295">
        <v>9</v>
      </c>
      <c r="T58" s="295">
        <v>9</v>
      </c>
      <c r="U58" s="295">
        <v>17</v>
      </c>
      <c r="V58" s="295">
        <v>17</v>
      </c>
      <c r="W58" s="295">
        <v>20</v>
      </c>
      <c r="X58" s="295">
        <v>17</v>
      </c>
      <c r="Y58" s="411">
        <f>Y57</f>
        <v>0</v>
      </c>
      <c r="Z58" s="411">
        <f>Z57</f>
        <v>0.19416094187034938</v>
      </c>
      <c r="AA58" s="411">
        <f t="shared" ref="AA58" si="66">AA57</f>
        <v>0.29882819566650759</v>
      </c>
      <c r="AB58" s="411">
        <f t="shared" ref="AB58" si="67">AB57</f>
        <v>0</v>
      </c>
      <c r="AC58" s="411">
        <f t="shared" ref="AC58" si="68">AC57</f>
        <v>0.50701086246314298</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113027</v>
      </c>
      <c r="E60" s="295">
        <v>95901</v>
      </c>
      <c r="F60" s="295">
        <v>71527</v>
      </c>
      <c r="G60" s="295">
        <v>71527</v>
      </c>
      <c r="H60" s="295">
        <v>71527</v>
      </c>
      <c r="I60" s="295">
        <v>71527</v>
      </c>
      <c r="J60" s="295">
        <v>71527</v>
      </c>
      <c r="K60" s="295">
        <v>71527</v>
      </c>
      <c r="L60" s="295">
        <v>71527</v>
      </c>
      <c r="M60" s="295">
        <v>71527</v>
      </c>
      <c r="N60" s="295">
        <v>12</v>
      </c>
      <c r="O60" s="295">
        <v>26</v>
      </c>
      <c r="P60" s="295">
        <v>22</v>
      </c>
      <c r="Q60" s="295">
        <v>16</v>
      </c>
      <c r="R60" s="295">
        <v>16</v>
      </c>
      <c r="S60" s="295">
        <v>16</v>
      </c>
      <c r="T60" s="295">
        <v>16</v>
      </c>
      <c r="U60" s="295">
        <v>16</v>
      </c>
      <c r="V60" s="295">
        <v>16</v>
      </c>
      <c r="W60" s="295">
        <v>16</v>
      </c>
      <c r="X60" s="295">
        <v>16</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-41352</v>
      </c>
      <c r="E61" s="295">
        <v>-24226</v>
      </c>
      <c r="F61" s="295">
        <v>148</v>
      </c>
      <c r="G61" s="295">
        <v>7188</v>
      </c>
      <c r="H61" s="295">
        <v>7188</v>
      </c>
      <c r="I61" s="295">
        <v>7188</v>
      </c>
      <c r="J61" s="295">
        <v>7188</v>
      </c>
      <c r="K61" s="295">
        <v>7188</v>
      </c>
      <c r="L61" s="295">
        <v>7188</v>
      </c>
      <c r="M61" s="295">
        <v>7188</v>
      </c>
      <c r="N61" s="295">
        <f>N60</f>
        <v>12</v>
      </c>
      <c r="O61" s="295">
        <v>-10</v>
      </c>
      <c r="P61" s="295">
        <v>-6</v>
      </c>
      <c r="Q61" s="295">
        <v>0</v>
      </c>
      <c r="R61" s="295">
        <v>2</v>
      </c>
      <c r="S61" s="295">
        <v>2</v>
      </c>
      <c r="T61" s="295">
        <v>2</v>
      </c>
      <c r="U61" s="295">
        <v>2</v>
      </c>
      <c r="V61" s="295">
        <v>2</v>
      </c>
      <c r="W61" s="295">
        <v>2</v>
      </c>
      <c r="X61" s="295">
        <v>2</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v>425850</v>
      </c>
      <c r="E63" s="295">
        <v>425850</v>
      </c>
      <c r="F63" s="295">
        <v>207306</v>
      </c>
      <c r="G63" s="295">
        <v>207306</v>
      </c>
      <c r="H63" s="295">
        <v>207306</v>
      </c>
      <c r="I63" s="295">
        <v>207306</v>
      </c>
      <c r="J63" s="295">
        <v>207306</v>
      </c>
      <c r="K63" s="295">
        <v>207306</v>
      </c>
      <c r="L63" s="295">
        <v>207306</v>
      </c>
      <c r="M63" s="295">
        <v>207306</v>
      </c>
      <c r="N63" s="295">
        <v>12</v>
      </c>
      <c r="O63" s="295">
        <v>66</v>
      </c>
      <c r="P63" s="295">
        <v>66</v>
      </c>
      <c r="Q63" s="295">
        <v>34</v>
      </c>
      <c r="R63" s="295">
        <v>34</v>
      </c>
      <c r="S63" s="295">
        <v>34</v>
      </c>
      <c r="T63" s="295">
        <v>34</v>
      </c>
      <c r="U63" s="295">
        <v>34</v>
      </c>
      <c r="V63" s="295">
        <v>34</v>
      </c>
      <c r="W63" s="295">
        <v>34</v>
      </c>
      <c r="X63" s="295">
        <v>34</v>
      </c>
      <c r="Y63" s="415"/>
      <c r="Z63" s="410"/>
      <c r="AA63" s="410"/>
      <c r="AB63" s="410"/>
      <c r="AC63" s="410">
        <v>1</v>
      </c>
      <c r="AD63" s="410"/>
      <c r="AE63" s="410"/>
      <c r="AF63" s="415"/>
      <c r="AG63" s="415"/>
      <c r="AH63" s="415"/>
      <c r="AI63" s="415"/>
      <c r="AJ63" s="415"/>
      <c r="AK63" s="415"/>
      <c r="AL63" s="415"/>
      <c r="AM63" s="296">
        <f>SUM(Y63:AL63)</f>
        <v>1</v>
      </c>
    </row>
    <row r="64" spans="1:39" outlineLevel="1">
      <c r="B64" s="294" t="s">
        <v>267</v>
      </c>
      <c r="C64" s="291" t="s">
        <v>163</v>
      </c>
      <c r="D64" s="295">
        <v>0</v>
      </c>
      <c r="E64" s="295">
        <v>0</v>
      </c>
      <c r="F64" s="295">
        <v>218544</v>
      </c>
      <c r="G64" s="295">
        <v>218544</v>
      </c>
      <c r="H64" s="295">
        <v>218544</v>
      </c>
      <c r="I64" s="295">
        <v>218544</v>
      </c>
      <c r="J64" s="295">
        <v>218544</v>
      </c>
      <c r="K64" s="295">
        <v>218544</v>
      </c>
      <c r="L64" s="295">
        <v>218544</v>
      </c>
      <c r="M64" s="295">
        <v>218544</v>
      </c>
      <c r="N64" s="295">
        <f>N63</f>
        <v>12</v>
      </c>
      <c r="O64" s="295">
        <v>0</v>
      </c>
      <c r="P64" s="295">
        <v>0</v>
      </c>
      <c r="Q64" s="295">
        <v>32</v>
      </c>
      <c r="R64" s="295">
        <v>32</v>
      </c>
      <c r="S64" s="295">
        <v>32</v>
      </c>
      <c r="T64" s="295">
        <v>32</v>
      </c>
      <c r="U64" s="295">
        <v>32</v>
      </c>
      <c r="V64" s="295">
        <v>32</v>
      </c>
      <c r="W64" s="295">
        <v>32</v>
      </c>
      <c r="X64" s="295">
        <v>32</v>
      </c>
      <c r="Y64" s="411">
        <f>Y63</f>
        <v>0</v>
      </c>
      <c r="Z64" s="411">
        <f t="shared" ref="Z64" si="91">Z63</f>
        <v>0</v>
      </c>
      <c r="AA64" s="411">
        <f t="shared" ref="AA64" si="92">AA63</f>
        <v>0</v>
      </c>
      <c r="AB64" s="411">
        <f t="shared" ref="AB64" si="93">AB63</f>
        <v>0</v>
      </c>
      <c r="AC64" s="411">
        <f t="shared" ref="AC64" si="94">AC63</f>
        <v>1</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v>57642</v>
      </c>
      <c r="E66" s="295">
        <v>57642</v>
      </c>
      <c r="F66" s="295">
        <v>57642</v>
      </c>
      <c r="G66" s="295">
        <v>0</v>
      </c>
      <c r="H66" s="295">
        <v>0</v>
      </c>
      <c r="I66" s="295">
        <v>0</v>
      </c>
      <c r="J66" s="295">
        <v>0</v>
      </c>
      <c r="K66" s="295">
        <v>0</v>
      </c>
      <c r="L66" s="295">
        <v>0</v>
      </c>
      <c r="M66" s="295">
        <v>0</v>
      </c>
      <c r="N66" s="295">
        <v>3</v>
      </c>
      <c r="O66" s="295">
        <v>18</v>
      </c>
      <c r="P66" s="295">
        <v>18</v>
      </c>
      <c r="Q66" s="295">
        <v>18</v>
      </c>
      <c r="R66" s="295">
        <v>0</v>
      </c>
      <c r="S66" s="295">
        <v>0</v>
      </c>
      <c r="T66" s="295">
        <v>0</v>
      </c>
      <c r="U66" s="295">
        <v>0</v>
      </c>
      <c r="V66" s="295">
        <v>0</v>
      </c>
      <c r="W66" s="295">
        <v>0</v>
      </c>
      <c r="X66" s="295">
        <v>0</v>
      </c>
      <c r="Y66" s="415"/>
      <c r="Z66" s="410"/>
      <c r="AA66" s="410"/>
      <c r="AB66" s="410"/>
      <c r="AC66" s="410">
        <v>1</v>
      </c>
      <c r="AD66" s="410"/>
      <c r="AE66" s="410"/>
      <c r="AF66" s="415"/>
      <c r="AG66" s="415"/>
      <c r="AH66" s="415"/>
      <c r="AI66" s="415"/>
      <c r="AJ66" s="415"/>
      <c r="AK66" s="415"/>
      <c r="AL66" s="415"/>
      <c r="AM66" s="296">
        <f>SUM(Y66:AL66)</f>
        <v>1</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1</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v>1</v>
      </c>
      <c r="AD70" s="410"/>
      <c r="AE70" s="410"/>
      <c r="AF70" s="415"/>
      <c r="AG70" s="415"/>
      <c r="AH70" s="415"/>
      <c r="AI70" s="415"/>
      <c r="AJ70" s="415"/>
      <c r="AK70" s="415"/>
      <c r="AL70" s="415"/>
      <c r="AM70" s="296">
        <f>SUM(Y70:AL70)</f>
        <v>1</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1</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283809</v>
      </c>
      <c r="E76" s="295">
        <v>283809</v>
      </c>
      <c r="F76" s="295">
        <v>283809</v>
      </c>
      <c r="G76" s="295">
        <v>283809</v>
      </c>
      <c r="H76" s="295">
        <v>283809</v>
      </c>
      <c r="I76" s="295">
        <v>283809</v>
      </c>
      <c r="J76" s="295">
        <v>283809</v>
      </c>
      <c r="K76" s="295">
        <v>97476</v>
      </c>
      <c r="L76" s="295">
        <v>13086</v>
      </c>
      <c r="M76" s="295">
        <v>13086</v>
      </c>
      <c r="N76" s="295">
        <v>12</v>
      </c>
      <c r="O76" s="295">
        <v>44</v>
      </c>
      <c r="P76" s="295">
        <v>44</v>
      </c>
      <c r="Q76" s="295">
        <v>44</v>
      </c>
      <c r="R76" s="295">
        <v>44</v>
      </c>
      <c r="S76" s="295">
        <v>44</v>
      </c>
      <c r="T76" s="295">
        <v>44</v>
      </c>
      <c r="U76" s="295">
        <v>44</v>
      </c>
      <c r="V76" s="295">
        <v>11</v>
      </c>
      <c r="W76" s="295">
        <v>1</v>
      </c>
      <c r="X76" s="295">
        <v>1</v>
      </c>
      <c r="Y76" s="410"/>
      <c r="Z76" s="410"/>
      <c r="AA76" s="410"/>
      <c r="AB76" s="410"/>
      <c r="AC76" s="410">
        <v>1</v>
      </c>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1</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2983</v>
      </c>
      <c r="E80" s="295">
        <v>2510</v>
      </c>
      <c r="F80" s="295">
        <v>2418</v>
      </c>
      <c r="G80" s="295">
        <v>2326</v>
      </c>
      <c r="H80" s="295">
        <v>2326</v>
      </c>
      <c r="I80" s="295">
        <v>2326</v>
      </c>
      <c r="J80" s="295">
        <v>2326</v>
      </c>
      <c r="K80" s="295">
        <v>2326</v>
      </c>
      <c r="L80" s="295">
        <v>1614</v>
      </c>
      <c r="M80" s="295">
        <v>1614</v>
      </c>
      <c r="N80" s="295">
        <v>12</v>
      </c>
      <c r="O80" s="295">
        <v>0</v>
      </c>
      <c r="P80" s="295">
        <v>0</v>
      </c>
      <c r="Q80" s="295">
        <v>0</v>
      </c>
      <c r="R80" s="295">
        <v>0</v>
      </c>
      <c r="S80" s="295">
        <v>0</v>
      </c>
      <c r="T80" s="295">
        <v>0</v>
      </c>
      <c r="U80" s="295">
        <v>0</v>
      </c>
      <c r="V80" s="295">
        <v>0</v>
      </c>
      <c r="W80" s="295">
        <v>0</v>
      </c>
      <c r="X80" s="295">
        <v>0</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v>40750</v>
      </c>
      <c r="E87" s="295">
        <v>40750</v>
      </c>
      <c r="F87" s="295">
        <v>40750</v>
      </c>
      <c r="G87" s="295">
        <v>40750</v>
      </c>
      <c r="H87" s="295">
        <v>40750</v>
      </c>
      <c r="I87" s="295">
        <v>40750</v>
      </c>
      <c r="J87" s="295">
        <v>40750</v>
      </c>
      <c r="K87" s="295">
        <v>40750</v>
      </c>
      <c r="L87" s="295">
        <v>40750</v>
      </c>
      <c r="M87" s="295">
        <v>40750</v>
      </c>
      <c r="N87" s="295">
        <v>0</v>
      </c>
      <c r="O87" s="295">
        <v>5</v>
      </c>
      <c r="P87" s="295">
        <v>5</v>
      </c>
      <c r="Q87" s="295">
        <v>5</v>
      </c>
      <c r="R87" s="295">
        <v>5</v>
      </c>
      <c r="S87" s="295">
        <v>5</v>
      </c>
      <c r="T87" s="295">
        <v>5</v>
      </c>
      <c r="U87" s="295">
        <v>5</v>
      </c>
      <c r="V87" s="295">
        <v>5</v>
      </c>
      <c r="W87" s="295">
        <v>5</v>
      </c>
      <c r="X87" s="295">
        <v>5</v>
      </c>
      <c r="Y87" s="410"/>
      <c r="Z87" s="410"/>
      <c r="AA87" s="410"/>
      <c r="AB87" s="410"/>
      <c r="AC87" s="410">
        <v>1</v>
      </c>
      <c r="AD87" s="410"/>
      <c r="AE87" s="410"/>
      <c r="AF87" s="410"/>
      <c r="AG87" s="410"/>
      <c r="AH87" s="410"/>
      <c r="AI87" s="410"/>
      <c r="AJ87" s="410"/>
      <c r="AK87" s="410"/>
      <c r="AL87" s="410"/>
      <c r="AM87" s="296">
        <f>SUM(Y87:AL87)</f>
        <v>1</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1</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410">
        <v>0.19416094187034938</v>
      </c>
      <c r="AA121" s="410">
        <v>0.29882819566650759</v>
      </c>
      <c r="AB121" s="410"/>
      <c r="AC121" s="410">
        <v>0.50701086246314298</v>
      </c>
      <c r="AD121" s="410"/>
      <c r="AE121" s="410"/>
      <c r="AF121" s="415"/>
      <c r="AG121" s="415"/>
      <c r="AH121" s="415"/>
      <c r="AI121" s="415"/>
      <c r="AJ121" s="415"/>
      <c r="AK121" s="415"/>
      <c r="AL121" s="415"/>
      <c r="AM121" s="296">
        <f>SUM(Y121:AL121)</f>
        <v>1</v>
      </c>
    </row>
    <row r="122" spans="1:39" outlineLevel="1">
      <c r="B122" s="294" t="s">
        <v>267</v>
      </c>
      <c r="C122" s="291" t="s">
        <v>163</v>
      </c>
      <c r="D122" s="295">
        <v>17921</v>
      </c>
      <c r="E122" s="295">
        <v>17921</v>
      </c>
      <c r="F122" s="295">
        <v>17921</v>
      </c>
      <c r="G122" s="295">
        <v>17921</v>
      </c>
      <c r="H122" s="295">
        <v>17921</v>
      </c>
      <c r="I122" s="295">
        <v>17921</v>
      </c>
      <c r="J122" s="295">
        <v>17921</v>
      </c>
      <c r="K122" s="295">
        <v>17921</v>
      </c>
      <c r="L122" s="295">
        <v>17921</v>
      </c>
      <c r="M122" s="295">
        <v>17921</v>
      </c>
      <c r="N122" s="295">
        <f>N121</f>
        <v>12</v>
      </c>
      <c r="O122" s="295">
        <v>5</v>
      </c>
      <c r="P122" s="295">
        <v>5</v>
      </c>
      <c r="Q122" s="295">
        <v>5</v>
      </c>
      <c r="R122" s="295">
        <v>5</v>
      </c>
      <c r="S122" s="295">
        <v>5</v>
      </c>
      <c r="T122" s="295">
        <v>5</v>
      </c>
      <c r="U122" s="295">
        <v>5</v>
      </c>
      <c r="V122" s="295">
        <v>5</v>
      </c>
      <c r="W122" s="295">
        <v>5</v>
      </c>
      <c r="X122" s="295">
        <v>5</v>
      </c>
      <c r="Y122" s="411">
        <f>Y121</f>
        <v>0</v>
      </c>
      <c r="Z122" s="411">
        <f t="shared" ref="Z122" si="241">Z121</f>
        <v>0.19416094187034938</v>
      </c>
      <c r="AA122" s="411">
        <f t="shared" ref="AA122" si="242">AA121</f>
        <v>0.29882819566650759</v>
      </c>
      <c r="AB122" s="411">
        <f t="shared" ref="AB122" si="243">AB121</f>
        <v>0</v>
      </c>
      <c r="AC122" s="411">
        <f t="shared" ref="AC122" si="244">AC121</f>
        <v>0.50701086246314298</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v>0.5</v>
      </c>
      <c r="AA177" s="410"/>
      <c r="AB177" s="410"/>
      <c r="AC177" s="410">
        <v>0.5</v>
      </c>
      <c r="AD177" s="410"/>
      <c r="AE177" s="410"/>
      <c r="AF177" s="415"/>
      <c r="AG177" s="415"/>
      <c r="AH177" s="415"/>
      <c r="AI177" s="415"/>
      <c r="AJ177" s="415"/>
      <c r="AK177" s="415"/>
      <c r="AL177" s="415"/>
      <c r="AM177" s="296">
        <f>SUM(Y177:AL177)</f>
        <v>1</v>
      </c>
    </row>
    <row r="178" spans="1:39" outlineLevel="1">
      <c r="B178" s="294" t="s">
        <v>267</v>
      </c>
      <c r="C178" s="291" t="s">
        <v>163</v>
      </c>
      <c r="D178" s="295">
        <v>90118</v>
      </c>
      <c r="E178" s="295">
        <v>90118</v>
      </c>
      <c r="F178" s="295">
        <v>90118</v>
      </c>
      <c r="G178" s="295">
        <v>90118</v>
      </c>
      <c r="H178" s="295">
        <v>90118</v>
      </c>
      <c r="I178" s="295">
        <v>90118</v>
      </c>
      <c r="J178" s="295">
        <v>90118</v>
      </c>
      <c r="K178" s="295">
        <v>90118</v>
      </c>
      <c r="L178" s="295">
        <v>90118</v>
      </c>
      <c r="M178" s="295">
        <v>90118</v>
      </c>
      <c r="N178" s="295">
        <f>N177</f>
        <v>12</v>
      </c>
      <c r="O178" s="295">
        <v>12</v>
      </c>
      <c r="P178" s="295">
        <v>12</v>
      </c>
      <c r="Q178" s="295">
        <v>12</v>
      </c>
      <c r="R178" s="295">
        <v>12</v>
      </c>
      <c r="S178" s="295">
        <v>12</v>
      </c>
      <c r="T178" s="295">
        <v>12</v>
      </c>
      <c r="U178" s="295">
        <v>12</v>
      </c>
      <c r="V178" s="295">
        <v>12</v>
      </c>
      <c r="W178" s="295">
        <v>12</v>
      </c>
      <c r="X178" s="295">
        <v>12</v>
      </c>
      <c r="Y178" s="411">
        <f>Y177</f>
        <v>0</v>
      </c>
      <c r="Z178" s="411">
        <f t="shared" ref="Z178" si="475">Z177</f>
        <v>0.5</v>
      </c>
      <c r="AA178" s="411">
        <f t="shared" ref="AA178" si="476">AA177</f>
        <v>0</v>
      </c>
      <c r="AB178" s="411">
        <f t="shared" ref="AB178" si="477">AB177</f>
        <v>0</v>
      </c>
      <c r="AC178" s="411">
        <f t="shared" ref="AC178" si="478">AC177</f>
        <v>0.5</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3119882</v>
      </c>
      <c r="E195" s="329"/>
      <c r="F195" s="329"/>
      <c r="G195" s="329"/>
      <c r="H195" s="329"/>
      <c r="I195" s="329"/>
      <c r="J195" s="329"/>
      <c r="K195" s="329"/>
      <c r="L195" s="329"/>
      <c r="M195" s="329"/>
      <c r="N195" s="329"/>
      <c r="O195" s="329">
        <f>SUM(O38:O193)</f>
        <v>490</v>
      </c>
      <c r="P195" s="329"/>
      <c r="Q195" s="329"/>
      <c r="R195" s="329"/>
      <c r="S195" s="329"/>
      <c r="T195" s="329"/>
      <c r="U195" s="329"/>
      <c r="V195" s="329"/>
      <c r="W195" s="329"/>
      <c r="X195" s="329"/>
      <c r="Y195" s="329">
        <f>IF(Y36="kWh",SUMPRODUCT(D38:D193,Y38:Y193))</f>
        <v>329495</v>
      </c>
      <c r="Z195" s="329">
        <f>IF(Z36="kWh",SUMPRODUCT(D38:D193,Z38:Z193))</f>
        <v>455425.24042356753</v>
      </c>
      <c r="AA195" s="329">
        <f>IF(AA36="kw",SUMPRODUCT(N38:N193,O38:O193,AA38:AA193),SUMPRODUCT(D38:D193,AA38:AA193))</f>
        <v>932.3439704795037</v>
      </c>
      <c r="AB195" s="329">
        <f>IF(AB36="kw",SUMPRODUCT(N38:N193,O38:O193,AB38:AB193),SUMPRODUCT(D38:D193,AB38:AB193))</f>
        <v>0</v>
      </c>
      <c r="AC195" s="329">
        <f>IF(AC36="kw",SUMPRODUCT(N38:N193,O38:O193,AC38:AC193),SUMPRODUCT(D38:D193,AC38:AC193))</f>
        <v>3219.8738908850064</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325394</v>
      </c>
      <c r="Z208" s="291">
        <f>SUMPRODUCT(E38:E193,Z38:Z193)</f>
        <v>455425.24042356753</v>
      </c>
      <c r="AA208" s="291">
        <f>IF(AA36="kw",SUMPRODUCT(N38:N193,P38:P193,AA38:AA193),SUMPRODUCT(E38:E193,AA38:AA193))</f>
        <v>932.3439704795037</v>
      </c>
      <c r="AB208" s="291">
        <f>IF(AB36="kw",SUMPRODUCT(N38:N193,P38:P193,AB38:AB193),SUMPRODUCT(E38:E193,AB38:AB193))</f>
        <v>0</v>
      </c>
      <c r="AC208" s="291">
        <f>IF(AC36="kw",SUMPRODUCT(N38:N193,P38:P193,AC38:AC193),SUMPRODUCT(E38:E193,AC38:AC193))</f>
        <v>3219.8738908850064</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325302</v>
      </c>
      <c r="Z209" s="291">
        <f>SUMPRODUCT(F38:F193,Z38:Z193)</f>
        <v>455425.24042356753</v>
      </c>
      <c r="AA209" s="291">
        <f>IF(AA36="kw",SUMPRODUCT(N38:N193,Q38:Q193,AA38:AA193),SUMPRODUCT(F38:F193,AA38:AA193))</f>
        <v>932.3439704795037</v>
      </c>
      <c r="AB209" s="291">
        <f>IF(AB36="kw",SUMPRODUCT(N38:N193,Q38:Q193,AB38:AB193),SUMPRODUCT(F38:F193,AB38:AB193))</f>
        <v>0</v>
      </c>
      <c r="AC209" s="291">
        <f>IF(AC36="kw",SUMPRODUCT(N38:N193,Q38:Q193,AC38:AC193),SUMPRODUCT(F38:F193,AC38:AC193))</f>
        <v>3219.8738908850064</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325210</v>
      </c>
      <c r="Z210" s="291">
        <f>SUMPRODUCT(G38:G193,Z38:Z193)</f>
        <v>462807.35200314311</v>
      </c>
      <c r="AA210" s="291">
        <f>IF(AA36="kw",SUMPRODUCT(N38:N193,R38:R193,AA38:AA193),SUMPRODUCT(G38:G193,AA38:AA193))</f>
        <v>935.92990882750178</v>
      </c>
      <c r="AB210" s="291">
        <f>IF(AB36="kw",SUMPRODUCT(N38:N193,R38:R193,AB38:AB193),SUMPRODUCT(G38:G193,AB38:AB193))</f>
        <v>0</v>
      </c>
      <c r="AC210" s="291">
        <f>IF(AC36="kw",SUMPRODUCT(N38:N193,R38:R193,AC38:AC193),SUMPRODUCT(G38:G193,AC38:AC193))</f>
        <v>3171.9580212345636</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324385</v>
      </c>
      <c r="Z211" s="291">
        <f>SUMPRODUCT(H38:H193,Z38:Z193)</f>
        <v>462807.35200314311</v>
      </c>
      <c r="AA211" s="291">
        <f>IF(AA36="kw",SUMPRODUCT(N38:N193,S38:S193,AA38:AA193),SUMPRODUCT(H38:H193,AA38:AA193))</f>
        <v>935.92990882750178</v>
      </c>
      <c r="AB211" s="291">
        <f>IF(AB36="kw",SUMPRODUCT(N38:N193,S38:S193,AB38:AB193),SUMPRODUCT(H38:H193,AB38:AB193))</f>
        <v>0</v>
      </c>
      <c r="AC211" s="291">
        <f>IF(AC36="kw",SUMPRODUCT(N38:N193,S38:S193,AC38:AC193),SUMPRODUCT(H38:H193,AC38:AC193))</f>
        <v>3171.9580212345636</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321943</v>
      </c>
      <c r="Z212" s="326">
        <f>SUMPRODUCT(I38:I193,Z38:Z193)</f>
        <v>462807.35200314311</v>
      </c>
      <c r="AA212" s="326">
        <f>IF(AA36="kw",SUMPRODUCT(N38:N193,T38:T193,AA38:AA193),SUMPRODUCT(I38:I193,AA38:AA193))</f>
        <v>935.92990882750178</v>
      </c>
      <c r="AB212" s="326">
        <f>IF(AB36="kw",SUMPRODUCT(N38:N193,T38:T193,AB38:AB193),SUMPRODUCT(I38:I193,AB38:AB193))</f>
        <v>0</v>
      </c>
      <c r="AC212" s="326">
        <f>IF(AC36="kw",SUMPRODUCT(N38:N193,T38:T193,AC38:AC193),SUMPRODUCT(I38:I193,AC38:AC193))</f>
        <v>3171.9580212345636</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03" t="s">
        <v>211</v>
      </c>
      <c r="C217" s="805" t="s">
        <v>33</v>
      </c>
      <c r="D217" s="284" t="s">
        <v>422</v>
      </c>
      <c r="E217" s="807" t="s">
        <v>209</v>
      </c>
      <c r="F217" s="808"/>
      <c r="G217" s="808"/>
      <c r="H217" s="808"/>
      <c r="I217" s="808"/>
      <c r="J217" s="808"/>
      <c r="K217" s="808"/>
      <c r="L217" s="808"/>
      <c r="M217" s="809"/>
      <c r="N217" s="810" t="s">
        <v>213</v>
      </c>
      <c r="O217" s="284" t="s">
        <v>423</v>
      </c>
      <c r="P217" s="807" t="s">
        <v>212</v>
      </c>
      <c r="Q217" s="808"/>
      <c r="R217" s="808"/>
      <c r="S217" s="808"/>
      <c r="T217" s="808"/>
      <c r="U217" s="808"/>
      <c r="V217" s="808"/>
      <c r="W217" s="808"/>
      <c r="X217" s="809"/>
      <c r="Y217" s="800" t="s">
        <v>243</v>
      </c>
      <c r="Z217" s="801"/>
      <c r="AA217" s="801"/>
      <c r="AB217" s="801"/>
      <c r="AC217" s="801"/>
      <c r="AD217" s="801"/>
      <c r="AE217" s="801"/>
      <c r="AF217" s="801"/>
      <c r="AG217" s="801"/>
      <c r="AH217" s="801"/>
      <c r="AI217" s="801"/>
      <c r="AJ217" s="801"/>
      <c r="AK217" s="801"/>
      <c r="AL217" s="801"/>
      <c r="AM217" s="802"/>
    </row>
    <row r="218" spans="1:39" ht="60.75" customHeight="1">
      <c r="B218" s="804"/>
      <c r="C218" s="806"/>
      <c r="D218" s="285">
        <v>2016</v>
      </c>
      <c r="E218" s="285">
        <v>2017</v>
      </c>
      <c r="F218" s="285">
        <v>2018</v>
      </c>
      <c r="G218" s="285">
        <v>2019</v>
      </c>
      <c r="H218" s="285">
        <v>2020</v>
      </c>
      <c r="I218" s="285">
        <v>2021</v>
      </c>
      <c r="J218" s="285">
        <v>2022</v>
      </c>
      <c r="K218" s="285">
        <v>2023</v>
      </c>
      <c r="L218" s="285">
        <v>2024</v>
      </c>
      <c r="M218" s="285">
        <v>2025</v>
      </c>
      <c r="N218" s="81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Street Lighting</v>
      </c>
      <c r="AB218" s="285" t="str">
        <f>'1.  LRAMVA Summary'!G52</f>
        <v>Unmetered Scattered Load</v>
      </c>
      <c r="AC218" s="285" t="str">
        <f>'1.  LRAMVA Summary'!H52</f>
        <v>General Service 50 - 4,999 kW</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679</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566176</v>
      </c>
      <c r="E288" s="295">
        <v>566176</v>
      </c>
      <c r="F288" s="295">
        <v>566176</v>
      </c>
      <c r="G288" s="295">
        <v>566176</v>
      </c>
      <c r="H288" s="295">
        <v>566176</v>
      </c>
      <c r="I288" s="295">
        <v>566176</v>
      </c>
      <c r="J288" s="295">
        <v>566176</v>
      </c>
      <c r="K288" s="295">
        <v>566100</v>
      </c>
      <c r="L288" s="295">
        <v>566100</v>
      </c>
      <c r="M288" s="295">
        <v>563582</v>
      </c>
      <c r="N288" s="291"/>
      <c r="O288" s="295">
        <v>37</v>
      </c>
      <c r="P288" s="295">
        <v>37</v>
      </c>
      <c r="Q288" s="295">
        <v>37</v>
      </c>
      <c r="R288" s="295">
        <v>37</v>
      </c>
      <c r="S288" s="295">
        <v>37</v>
      </c>
      <c r="T288" s="295">
        <v>37</v>
      </c>
      <c r="U288" s="295">
        <v>37</v>
      </c>
      <c r="V288" s="295">
        <v>37</v>
      </c>
      <c r="W288" s="295">
        <v>37</v>
      </c>
      <c r="X288" s="295">
        <v>37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64552</v>
      </c>
      <c r="E289" s="295">
        <v>64552</v>
      </c>
      <c r="F289" s="295">
        <v>64552</v>
      </c>
      <c r="G289" s="295">
        <v>64552</v>
      </c>
      <c r="H289" s="295">
        <v>64552</v>
      </c>
      <c r="I289" s="295">
        <v>64552</v>
      </c>
      <c r="J289" s="295">
        <v>64552</v>
      </c>
      <c r="K289" s="295">
        <v>64546</v>
      </c>
      <c r="L289" s="295">
        <v>64546</v>
      </c>
      <c r="M289" s="295">
        <v>64637</v>
      </c>
      <c r="N289" s="291"/>
      <c r="O289" s="295">
        <v>4</v>
      </c>
      <c r="P289" s="295">
        <v>4</v>
      </c>
      <c r="Q289" s="295">
        <v>4</v>
      </c>
      <c r="R289" s="295">
        <v>4</v>
      </c>
      <c r="S289" s="295">
        <v>4</v>
      </c>
      <c r="T289" s="295">
        <v>4</v>
      </c>
      <c r="U289" s="295">
        <v>4</v>
      </c>
      <c r="V289" s="295">
        <v>4</v>
      </c>
      <c r="W289" s="295">
        <v>4</v>
      </c>
      <c r="X289" s="295">
        <v>4</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106387</v>
      </c>
      <c r="E291" s="295">
        <v>106387</v>
      </c>
      <c r="F291" s="295">
        <v>106387</v>
      </c>
      <c r="G291" s="295">
        <v>106387</v>
      </c>
      <c r="H291" s="295">
        <v>106387</v>
      </c>
      <c r="I291" s="295">
        <v>106387</v>
      </c>
      <c r="J291" s="295">
        <v>106387</v>
      </c>
      <c r="K291" s="295">
        <v>106387</v>
      </c>
      <c r="L291" s="295">
        <v>106387</v>
      </c>
      <c r="M291" s="295">
        <v>106387</v>
      </c>
      <c r="N291" s="291"/>
      <c r="O291" s="295">
        <v>32</v>
      </c>
      <c r="P291" s="295">
        <v>32</v>
      </c>
      <c r="Q291" s="295">
        <v>32</v>
      </c>
      <c r="R291" s="295">
        <v>32</v>
      </c>
      <c r="S291" s="295">
        <v>32</v>
      </c>
      <c r="T291" s="295">
        <v>32</v>
      </c>
      <c r="U291" s="295">
        <v>32</v>
      </c>
      <c r="V291" s="295">
        <v>32</v>
      </c>
      <c r="W291" s="295">
        <v>32</v>
      </c>
      <c r="X291" s="295">
        <v>32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1977</v>
      </c>
      <c r="E292" s="295">
        <v>1977</v>
      </c>
      <c r="F292" s="295">
        <v>1977</v>
      </c>
      <c r="G292" s="295">
        <v>1977</v>
      </c>
      <c r="H292" s="295">
        <v>1977</v>
      </c>
      <c r="I292" s="295">
        <v>1977</v>
      </c>
      <c r="J292" s="295">
        <v>1977</v>
      </c>
      <c r="K292" s="295">
        <v>1977</v>
      </c>
      <c r="L292" s="295">
        <v>1977</v>
      </c>
      <c r="M292" s="295">
        <v>1977</v>
      </c>
      <c r="N292" s="291"/>
      <c r="O292" s="295">
        <v>1</v>
      </c>
      <c r="P292" s="295">
        <v>1</v>
      </c>
      <c r="Q292" s="295">
        <v>1</v>
      </c>
      <c r="R292" s="295">
        <v>1</v>
      </c>
      <c r="S292" s="295">
        <v>1</v>
      </c>
      <c r="T292" s="295">
        <v>1</v>
      </c>
      <c r="U292" s="295">
        <v>1</v>
      </c>
      <c r="V292" s="295">
        <v>1</v>
      </c>
      <c r="W292" s="295">
        <v>1</v>
      </c>
      <c r="X292" s="295">
        <v>1</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2661</v>
      </c>
      <c r="E297" s="295">
        <v>2661</v>
      </c>
      <c r="F297" s="295">
        <v>2661</v>
      </c>
      <c r="G297" s="295">
        <v>2661</v>
      </c>
      <c r="H297" s="295">
        <v>2661</v>
      </c>
      <c r="I297" s="295">
        <v>2661</v>
      </c>
      <c r="J297" s="295">
        <v>2661</v>
      </c>
      <c r="K297" s="295">
        <v>2661</v>
      </c>
      <c r="L297" s="295">
        <v>2661</v>
      </c>
      <c r="M297" s="295">
        <v>2661</v>
      </c>
      <c r="N297" s="291"/>
      <c r="O297" s="295">
        <v>0</v>
      </c>
      <c r="P297" s="295">
        <v>0</v>
      </c>
      <c r="Q297" s="295">
        <v>0</v>
      </c>
      <c r="R297" s="295">
        <v>0</v>
      </c>
      <c r="S297" s="295">
        <v>0</v>
      </c>
      <c r="T297" s="295">
        <v>0</v>
      </c>
      <c r="U297" s="295">
        <v>0</v>
      </c>
      <c r="V297" s="295">
        <v>0</v>
      </c>
      <c r="W297" s="295">
        <v>0</v>
      </c>
      <c r="X297" s="295">
        <v>0</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2356545</v>
      </c>
      <c r="E304" s="295">
        <v>2303157</v>
      </c>
      <c r="F304" s="295">
        <v>2303157</v>
      </c>
      <c r="G304" s="295">
        <v>2303157</v>
      </c>
      <c r="H304" s="295">
        <v>2303157</v>
      </c>
      <c r="I304" s="295">
        <v>2223286</v>
      </c>
      <c r="J304" s="295">
        <v>2223286</v>
      </c>
      <c r="K304" s="295">
        <v>2223286</v>
      </c>
      <c r="L304" s="295">
        <v>2223286</v>
      </c>
      <c r="M304" s="295">
        <v>2223286</v>
      </c>
      <c r="N304" s="295">
        <v>12</v>
      </c>
      <c r="O304" s="295">
        <v>396</v>
      </c>
      <c r="P304" s="295">
        <v>385</v>
      </c>
      <c r="Q304" s="295">
        <v>385</v>
      </c>
      <c r="R304" s="295">
        <v>385</v>
      </c>
      <c r="S304" s="295">
        <v>385</v>
      </c>
      <c r="T304" s="295">
        <v>372</v>
      </c>
      <c r="U304" s="295">
        <v>372</v>
      </c>
      <c r="V304" s="295">
        <v>372</v>
      </c>
      <c r="W304" s="295">
        <v>372</v>
      </c>
      <c r="X304" s="295">
        <v>372</v>
      </c>
      <c r="Y304" s="426"/>
      <c r="Z304" s="410">
        <v>0.21979808451733254</v>
      </c>
      <c r="AA304" s="410">
        <v>2.2098405681166677E-2</v>
      </c>
      <c r="AB304" s="410"/>
      <c r="AC304" s="410">
        <v>0.75810308699497875</v>
      </c>
      <c r="AD304" s="410"/>
      <c r="AE304" s="410"/>
      <c r="AF304" s="410"/>
      <c r="AG304" s="415"/>
      <c r="AH304" s="415"/>
      <c r="AI304" s="415"/>
      <c r="AJ304" s="415"/>
      <c r="AK304" s="415"/>
      <c r="AL304" s="415"/>
      <c r="AM304" s="296">
        <f>SUM(Y304:AL304)</f>
        <v>0.99999957719347798</v>
      </c>
    </row>
    <row r="305" spans="1:39" outlineLevel="1">
      <c r="B305" s="294" t="s">
        <v>289</v>
      </c>
      <c r="C305" s="291" t="s">
        <v>163</v>
      </c>
      <c r="D305" s="295">
        <v>411613</v>
      </c>
      <c r="E305" s="295">
        <v>465001</v>
      </c>
      <c r="F305" s="295">
        <v>465001</v>
      </c>
      <c r="G305" s="295">
        <v>465001</v>
      </c>
      <c r="H305" s="295">
        <v>465001</v>
      </c>
      <c r="I305" s="295">
        <v>465001</v>
      </c>
      <c r="J305" s="295">
        <v>465001</v>
      </c>
      <c r="K305" s="295">
        <v>465001</v>
      </c>
      <c r="L305" s="295">
        <v>418628</v>
      </c>
      <c r="M305" s="295">
        <v>418628</v>
      </c>
      <c r="N305" s="295">
        <f>N304</f>
        <v>12</v>
      </c>
      <c r="O305" s="295">
        <v>44</v>
      </c>
      <c r="P305" s="295">
        <v>55</v>
      </c>
      <c r="Q305" s="295">
        <v>55</v>
      </c>
      <c r="R305" s="295">
        <v>55</v>
      </c>
      <c r="S305" s="295">
        <v>55</v>
      </c>
      <c r="T305" s="295">
        <v>55</v>
      </c>
      <c r="U305" s="295">
        <v>55</v>
      </c>
      <c r="V305" s="295">
        <v>55</v>
      </c>
      <c r="W305" s="295">
        <v>55</v>
      </c>
      <c r="X305" s="295">
        <v>55</v>
      </c>
      <c r="Y305" s="411">
        <f>Y304</f>
        <v>0</v>
      </c>
      <c r="Z305" s="411">
        <f t="shared" ref="Z305" si="811">Z304</f>
        <v>0.21979808451733254</v>
      </c>
      <c r="AA305" s="411">
        <f t="shared" ref="AA305" si="812">AA304</f>
        <v>2.2098405681166677E-2</v>
      </c>
      <c r="AB305" s="411">
        <f t="shared" ref="AB305" si="813">AB304</f>
        <v>0</v>
      </c>
      <c r="AC305" s="411">
        <f t="shared" ref="AC305" si="814">AC304</f>
        <v>0.75810308699497875</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304897</v>
      </c>
      <c r="E307" s="295">
        <v>304897</v>
      </c>
      <c r="F307" s="295">
        <v>304325</v>
      </c>
      <c r="G307" s="295">
        <v>299799</v>
      </c>
      <c r="H307" s="295">
        <v>271274</v>
      </c>
      <c r="I307" s="295">
        <v>244731</v>
      </c>
      <c r="J307" s="295">
        <v>190426</v>
      </c>
      <c r="K307" s="295">
        <v>142537</v>
      </c>
      <c r="L307" s="295">
        <v>55670</v>
      </c>
      <c r="M307" s="295">
        <v>30034</v>
      </c>
      <c r="N307" s="295">
        <v>12</v>
      </c>
      <c r="O307" s="295">
        <v>58</v>
      </c>
      <c r="P307" s="295">
        <v>58</v>
      </c>
      <c r="Q307" s="295">
        <v>58</v>
      </c>
      <c r="R307" s="295">
        <v>57</v>
      </c>
      <c r="S307" s="295">
        <v>54</v>
      </c>
      <c r="T307" s="295">
        <v>51</v>
      </c>
      <c r="U307" s="295">
        <v>42</v>
      </c>
      <c r="V307" s="295">
        <v>33</v>
      </c>
      <c r="W307" s="295">
        <v>15</v>
      </c>
      <c r="X307" s="295">
        <v>9</v>
      </c>
      <c r="Y307" s="426">
        <v>1</v>
      </c>
      <c r="Z307" s="410"/>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62454</v>
      </c>
      <c r="E308" s="295">
        <v>62454</v>
      </c>
      <c r="F308" s="295">
        <v>62226</v>
      </c>
      <c r="G308" s="295">
        <v>60867</v>
      </c>
      <c r="H308" s="295">
        <v>54736</v>
      </c>
      <c r="I308" s="295">
        <v>47037</v>
      </c>
      <c r="J308" s="295">
        <v>36971</v>
      </c>
      <c r="K308" s="295">
        <v>27950</v>
      </c>
      <c r="L308" s="295">
        <v>13536</v>
      </c>
      <c r="M308" s="295">
        <v>9586</v>
      </c>
      <c r="N308" s="295">
        <f>N307</f>
        <v>12</v>
      </c>
      <c r="O308" s="295">
        <v>12</v>
      </c>
      <c r="P308" s="295">
        <v>12</v>
      </c>
      <c r="Q308" s="295">
        <v>12</v>
      </c>
      <c r="R308" s="295">
        <v>12</v>
      </c>
      <c r="S308" s="295">
        <v>11</v>
      </c>
      <c r="T308" s="295">
        <v>10</v>
      </c>
      <c r="U308" s="295">
        <v>9</v>
      </c>
      <c r="V308" s="295">
        <v>7</v>
      </c>
      <c r="W308" s="295">
        <v>4</v>
      </c>
      <c r="X308" s="295">
        <v>3</v>
      </c>
      <c r="Y308" s="411">
        <f>Y307</f>
        <v>1</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v>152197</v>
      </c>
      <c r="E310" s="295">
        <v>152197</v>
      </c>
      <c r="F310" s="295">
        <v>152197</v>
      </c>
      <c r="G310" s="295">
        <v>152197</v>
      </c>
      <c r="H310" s="295">
        <v>152197</v>
      </c>
      <c r="I310" s="295">
        <v>152197</v>
      </c>
      <c r="J310" s="295">
        <v>152197</v>
      </c>
      <c r="K310" s="295">
        <v>152197</v>
      </c>
      <c r="L310" s="295">
        <v>152197</v>
      </c>
      <c r="M310" s="295">
        <v>152197</v>
      </c>
      <c r="N310" s="295">
        <v>12</v>
      </c>
      <c r="O310" s="295">
        <v>37</v>
      </c>
      <c r="P310" s="295">
        <v>37</v>
      </c>
      <c r="Q310" s="295">
        <v>37</v>
      </c>
      <c r="R310" s="295">
        <v>37</v>
      </c>
      <c r="S310" s="295">
        <v>37</v>
      </c>
      <c r="T310" s="295">
        <v>37</v>
      </c>
      <c r="U310" s="295">
        <v>37</v>
      </c>
      <c r="V310" s="295">
        <v>37</v>
      </c>
      <c r="W310" s="295">
        <v>37</v>
      </c>
      <c r="X310" s="295">
        <v>37</v>
      </c>
      <c r="Y310" s="426"/>
      <c r="Z310" s="410">
        <v>0.53841198385594535</v>
      </c>
      <c r="AA310" s="410"/>
      <c r="AB310" s="410"/>
      <c r="AC310" s="410">
        <v>0.46158801614405465</v>
      </c>
      <c r="AD310" s="410"/>
      <c r="AE310" s="410"/>
      <c r="AF310" s="410"/>
      <c r="AG310" s="415"/>
      <c r="AH310" s="415"/>
      <c r="AI310" s="415"/>
      <c r="AJ310" s="415"/>
      <c r="AK310" s="415"/>
      <c r="AL310" s="415"/>
      <c r="AM310" s="296">
        <f>SUM(Y310:AL310)</f>
        <v>1</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0.53841198385594535</v>
      </c>
      <c r="AA311" s="411">
        <f t="shared" ref="AA311" si="838">AA310</f>
        <v>0</v>
      </c>
      <c r="AB311" s="411">
        <f t="shared" ref="AB311" si="839">AB310</f>
        <v>0</v>
      </c>
      <c r="AC311" s="411">
        <f t="shared" ref="AC311" si="840">AC310</f>
        <v>0.46158801614405465</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4029459</v>
      </c>
      <c r="E378" s="329"/>
      <c r="F378" s="329"/>
      <c r="G378" s="329"/>
      <c r="H378" s="329"/>
      <c r="I378" s="329"/>
      <c r="J378" s="329"/>
      <c r="K378" s="329"/>
      <c r="L378" s="329"/>
      <c r="M378" s="329"/>
      <c r="N378" s="329"/>
      <c r="O378" s="329">
        <f>SUM(O221:O376)</f>
        <v>621</v>
      </c>
      <c r="P378" s="329"/>
      <c r="Q378" s="329"/>
      <c r="R378" s="329"/>
      <c r="S378" s="329"/>
      <c r="T378" s="329"/>
      <c r="U378" s="329"/>
      <c r="V378" s="329"/>
      <c r="W378" s="329"/>
      <c r="X378" s="329"/>
      <c r="Y378" s="329">
        <f>IF(Y219="kWh",SUMPRODUCT(D221:D376,Y221:Y376))</f>
        <v>1109104</v>
      </c>
      <c r="Z378" s="329">
        <f>IF(Z219="kWh",SUMPRODUCT(D221:D376,Z221:Z376))</f>
        <v>690380.51474825351</v>
      </c>
      <c r="AA378" s="329">
        <f>IF(AA219="kw",SUMPRODUCT(N221:N376,O221:O376,AA221:AA376),SUMPRODUCT(D221:D376,AA221:AA376))</f>
        <v>116.67958199656005</v>
      </c>
      <c r="AB378" s="329">
        <f>IF(AB219="kw",SUMPRODUCT(N221:N376,O221:O376,AB221:AB376),SUMPRODUCT(D221:D376,AB221:AB376))</f>
        <v>0</v>
      </c>
      <c r="AC378" s="329">
        <f>IF(AC219="kw",SUMPRODUCT(N221:N376,O221:O376,AC221:AC376),SUMPRODUCT(D221:D376,AC221:AC376))</f>
        <v>4207.7293785014481</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461087</v>
      </c>
      <c r="Z379" s="392">
        <f>HLOOKUP(Z218,'2. LRAMVA Threshold'!$B$42:$Q$53,8,FALSE)</f>
        <v>1231015</v>
      </c>
      <c r="AA379" s="392">
        <f>HLOOKUP(AA218,'2. LRAMVA Threshold'!$B$42:$Q$53,8,FALSE)</f>
        <v>0</v>
      </c>
      <c r="AB379" s="392">
        <f>HLOOKUP(AB218,'2. LRAMVA Threshold'!$B$42:$Q$53,8,FALSE)</f>
        <v>0</v>
      </c>
      <c r="AC379" s="392">
        <f>HLOOKUP(AC218,'2. LRAMVA Threshold'!$B$42:$Q$53,8,FALSE)</f>
        <v>1104</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1.0800000000000001E-2</v>
      </c>
      <c r="Z381" s="341">
        <f>HLOOKUP(Z$35,'3.  Distribution Rates'!$C$122:$P$133,8,FALSE)</f>
        <v>1.14E-2</v>
      </c>
      <c r="AA381" s="341">
        <f>HLOOKUP(AA$35,'3.  Distribution Rates'!$C$122:$P$133,8,FALSE)</f>
        <v>29.764099999999999</v>
      </c>
      <c r="AB381" s="341">
        <f>HLOOKUP(AB$35,'3.  Distribution Rates'!$C$122:$P$133,8,FALSE)</f>
        <v>6.1999999999999998E-3</v>
      </c>
      <c r="AC381" s="341">
        <f>HLOOKUP(AC$35,'3.  Distribution Rates'!$C$122:$P$133,8,FALSE)</f>
        <v>2.1553</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1560.7104241569539</v>
      </c>
      <c r="Z382" s="378">
        <f>'4.  2011-2014 LRAM'!Z139*Z381</f>
        <v>3474.205168611622</v>
      </c>
      <c r="AA382" s="378">
        <f>'4.  2011-2014 LRAM'!AA139*AA381</f>
        <v>0</v>
      </c>
      <c r="AB382" s="378">
        <f>'4.  2011-2014 LRAM'!AB139*AB381</f>
        <v>0</v>
      </c>
      <c r="AC382" s="378">
        <f>'4.  2011-2014 LRAM'!AC139*AC381</f>
        <v>1605.2380602368892</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3">SUM(Y382:AL382)</f>
        <v>6640.1536530054655</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1197.8864590954743</v>
      </c>
      <c r="Z383" s="378">
        <f>'4.  2011-2014 LRAM'!Z268*Z381</f>
        <v>4295.1358927431793</v>
      </c>
      <c r="AA383" s="378">
        <f>'4.  2011-2014 LRAM'!AA268*AA381</f>
        <v>0</v>
      </c>
      <c r="AB383" s="378">
        <f>'4.  2011-2014 LRAM'!AB268*AB381</f>
        <v>0</v>
      </c>
      <c r="AC383" s="378">
        <f>'4.  2011-2014 LRAM'!AC268*AC381</f>
        <v>1432.6311414064055</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3"/>
        <v>6925.6534932450595</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1208.5906745556472</v>
      </c>
      <c r="Z384" s="378">
        <f>'4.  2011-2014 LRAM'!Z397*Z381</f>
        <v>3518.8452578098772</v>
      </c>
      <c r="AA384" s="378">
        <f>'4.  2011-2014 LRAM'!AA397*AA381</f>
        <v>0</v>
      </c>
      <c r="AB384" s="378">
        <f>'4.  2011-2014 LRAM'!AB397*AB381</f>
        <v>0</v>
      </c>
      <c r="AC384" s="378">
        <f>'4.  2011-2014 LRAM'!AC397*AC381</f>
        <v>3007.8011111247979</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3"/>
        <v>7735.2370434903223</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2893.8382228023029</v>
      </c>
      <c r="Z385" s="378">
        <f>'4.  2011-2014 LRAM'!Z527*Z381</f>
        <v>5954.9962032000003</v>
      </c>
      <c r="AA385" s="378">
        <f>'4.  2011-2014 LRAM'!AA527*AA381</f>
        <v>0</v>
      </c>
      <c r="AB385" s="378">
        <f>'4.  2011-2014 LRAM'!AB527*AB381</f>
        <v>0</v>
      </c>
      <c r="AC385" s="378">
        <f>'4.  2011-2014 LRAM'!AC527*AC381</f>
        <v>2683.6617107177008</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3"/>
        <v>11532.496136720005</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3514.2552000000001</v>
      </c>
      <c r="Z386" s="378">
        <f t="shared" si="1124"/>
        <v>5191.8477408286699</v>
      </c>
      <c r="AA386" s="378">
        <f t="shared" si="1124"/>
        <v>27750.379171748995</v>
      </c>
      <c r="AB386" s="378">
        <f t="shared" si="1124"/>
        <v>0</v>
      </c>
      <c r="AC386" s="378">
        <f t="shared" si="1124"/>
        <v>6939.7941970244547</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43396.276309602123</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11978.323200000001</v>
      </c>
      <c r="Z387" s="378">
        <f t="shared" ref="Z387:AL387" si="1125">Z378*Z381</f>
        <v>7870.3378681300901</v>
      </c>
      <c r="AA387" s="378">
        <f t="shared" si="1125"/>
        <v>3472.8627465038126</v>
      </c>
      <c r="AB387" s="378">
        <f t="shared" si="1125"/>
        <v>0</v>
      </c>
      <c r="AC387" s="378">
        <f t="shared" si="1125"/>
        <v>9068.9191294841712</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32390.442944118076</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22353.604180610379</v>
      </c>
      <c r="Z388" s="346">
        <f t="shared" ref="Z388:AE388" si="1126">SUM(Z382:Z387)</f>
        <v>30305.368131323441</v>
      </c>
      <c r="AA388" s="346">
        <f t="shared" si="1126"/>
        <v>31223.241918252806</v>
      </c>
      <c r="AB388" s="346">
        <f t="shared" si="1126"/>
        <v>0</v>
      </c>
      <c r="AC388" s="346">
        <f t="shared" si="1126"/>
        <v>24738.04534999442</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108620.25958018104</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4979.7395999999999</v>
      </c>
      <c r="Z389" s="347">
        <f t="shared" ref="Z389:AE389" si="1128">Z379*Z381</f>
        <v>14033.571</v>
      </c>
      <c r="AA389" s="347">
        <f t="shared" si="1128"/>
        <v>0</v>
      </c>
      <c r="AB389" s="347">
        <f t="shared" si="1128"/>
        <v>0</v>
      </c>
      <c r="AC389" s="347">
        <f t="shared" si="1128"/>
        <v>2379.4512</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21392.7618</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87227.497780181031</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1109104</v>
      </c>
      <c r="Z392" s="291">
        <f>SUMPRODUCT(E221:E376,Z221:Z376)</f>
        <v>690380.51474825351</v>
      </c>
      <c r="AA392" s="291">
        <f t="shared" ref="AA392:AL392" si="1130">IF(AA219="kw",SUMPRODUCT($N$221:$N$376,$P$221:$P$376,AA221:AA376),SUMPRODUCT($E$221:$E$376,AA221:AA376))</f>
        <v>116.67958199656005</v>
      </c>
      <c r="AB392" s="291">
        <f t="shared" si="1130"/>
        <v>0</v>
      </c>
      <c r="AC392" s="291">
        <f t="shared" si="1130"/>
        <v>4207.7293785014481</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1108304</v>
      </c>
      <c r="Z393" s="291">
        <f>SUMPRODUCT(F221:F376,Z221:Z376)</f>
        <v>690380.51474825351</v>
      </c>
      <c r="AA393" s="291">
        <f t="shared" ref="AA393:AL393" si="1131">IF(AA219="kw",SUMPRODUCT($N$221:$N$376,$Q$221:$Q$376,AA221:AA376),SUMPRODUCT($F$221:$F$376,AA221:AA376))</f>
        <v>116.67958199656005</v>
      </c>
      <c r="AB393" s="291">
        <f t="shared" si="1131"/>
        <v>0</v>
      </c>
      <c r="AC393" s="291">
        <f t="shared" si="1131"/>
        <v>4207.7293785014481</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1102419</v>
      </c>
      <c r="Z394" s="291">
        <f>SUMPRODUCT(G221:G376,Z221:Z376)</f>
        <v>690380.51474825351</v>
      </c>
      <c r="AA394" s="291">
        <f t="shared" ref="AA394:AL394" si="1132">IF(AA219="kw",SUMPRODUCT($N$221:$N$376,$R$221:$R$376,AA221:AA376),SUMPRODUCT($G$221:$G$376,AA221:AA376))</f>
        <v>116.67958199656005</v>
      </c>
      <c r="AB394" s="291">
        <f t="shared" si="1132"/>
        <v>0</v>
      </c>
      <c r="AC394" s="291">
        <f t="shared" si="1132"/>
        <v>4207.7293785014481</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1067763</v>
      </c>
      <c r="Z395" s="326">
        <f>SUMPRODUCT(H221:H376,Z221:Z376)</f>
        <v>690380.51474825351</v>
      </c>
      <c r="AA395" s="326">
        <f t="shared" ref="AA395:AL395" si="1133">IF(AA219="kw",SUMPRODUCT($N$221:$N$376,$S$221:$S$376,AA221:AA376),SUMPRODUCT($H$221:$H$376,AA221:AA376))</f>
        <v>116.67958199656005</v>
      </c>
      <c r="AB395" s="326">
        <f t="shared" si="1133"/>
        <v>0</v>
      </c>
      <c r="AC395" s="326">
        <f t="shared" si="1133"/>
        <v>4207.7293785014481</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03" t="s">
        <v>211</v>
      </c>
      <c r="C400" s="805" t="s">
        <v>33</v>
      </c>
      <c r="D400" s="284" t="s">
        <v>422</v>
      </c>
      <c r="E400" s="807" t="s">
        <v>209</v>
      </c>
      <c r="F400" s="808"/>
      <c r="G400" s="808"/>
      <c r="H400" s="808"/>
      <c r="I400" s="808"/>
      <c r="J400" s="808"/>
      <c r="K400" s="808"/>
      <c r="L400" s="808"/>
      <c r="M400" s="809"/>
      <c r="N400" s="810" t="s">
        <v>213</v>
      </c>
      <c r="O400" s="284" t="s">
        <v>423</v>
      </c>
      <c r="P400" s="807" t="s">
        <v>212</v>
      </c>
      <c r="Q400" s="808"/>
      <c r="R400" s="808"/>
      <c r="S400" s="808"/>
      <c r="T400" s="808"/>
      <c r="U400" s="808"/>
      <c r="V400" s="808"/>
      <c r="W400" s="808"/>
      <c r="X400" s="809"/>
      <c r="Y400" s="800" t="s">
        <v>243</v>
      </c>
      <c r="Z400" s="801"/>
      <c r="AA400" s="801"/>
      <c r="AB400" s="801"/>
      <c r="AC400" s="801"/>
      <c r="AD400" s="801"/>
      <c r="AE400" s="801"/>
      <c r="AF400" s="801"/>
      <c r="AG400" s="801"/>
      <c r="AH400" s="801"/>
      <c r="AI400" s="801"/>
      <c r="AJ400" s="801"/>
      <c r="AK400" s="801"/>
      <c r="AL400" s="801"/>
      <c r="AM400" s="802"/>
    </row>
    <row r="401" spans="1:39" ht="61.5" customHeight="1">
      <c r="B401" s="804"/>
      <c r="C401" s="806"/>
      <c r="D401" s="285">
        <v>2017</v>
      </c>
      <c r="E401" s="285">
        <v>2018</v>
      </c>
      <c r="F401" s="285">
        <v>2019</v>
      </c>
      <c r="G401" s="285">
        <v>2020</v>
      </c>
      <c r="H401" s="285">
        <v>2021</v>
      </c>
      <c r="I401" s="285">
        <v>2022</v>
      </c>
      <c r="J401" s="285">
        <v>2023</v>
      </c>
      <c r="K401" s="285">
        <v>2024</v>
      </c>
      <c r="L401" s="285">
        <v>2025</v>
      </c>
      <c r="M401" s="285">
        <v>2026</v>
      </c>
      <c r="N401" s="81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Street Lighting</v>
      </c>
      <c r="AB401" s="285" t="str">
        <f>'1.  LRAMVA Summary'!G52</f>
        <v>Unmetered Scattered Load</v>
      </c>
      <c r="AC401" s="285" t="str">
        <f>'1.  LRAMVA Summary'!H52</f>
        <v>General Service 50 - 4,999 kW</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679</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1195766</v>
      </c>
      <c r="E471" s="295">
        <v>915765</v>
      </c>
      <c r="F471" s="295">
        <v>915765</v>
      </c>
      <c r="G471" s="295">
        <v>915765</v>
      </c>
      <c r="H471" s="295">
        <v>915765</v>
      </c>
      <c r="I471" s="295">
        <v>915765</v>
      </c>
      <c r="J471" s="295">
        <v>915765</v>
      </c>
      <c r="K471" s="295">
        <v>915752</v>
      </c>
      <c r="L471" s="295">
        <v>915752</v>
      </c>
      <c r="M471" s="295">
        <v>914529</v>
      </c>
      <c r="N471" s="291"/>
      <c r="O471" s="295">
        <v>83</v>
      </c>
      <c r="P471" s="295">
        <v>64</v>
      </c>
      <c r="Q471" s="295">
        <v>64</v>
      </c>
      <c r="R471" s="295">
        <v>64</v>
      </c>
      <c r="S471" s="295">
        <v>64</v>
      </c>
      <c r="T471" s="295">
        <v>64</v>
      </c>
      <c r="U471" s="295">
        <v>64</v>
      </c>
      <c r="V471" s="295">
        <v>64</v>
      </c>
      <c r="W471" s="295">
        <v>64</v>
      </c>
      <c r="X471" s="295">
        <v>64</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67894</v>
      </c>
      <c r="E474" s="295">
        <v>67894</v>
      </c>
      <c r="F474" s="295">
        <v>67894</v>
      </c>
      <c r="G474" s="295">
        <v>67894</v>
      </c>
      <c r="H474" s="295">
        <v>67894</v>
      </c>
      <c r="I474" s="295">
        <v>67894</v>
      </c>
      <c r="J474" s="295">
        <v>67894</v>
      </c>
      <c r="K474" s="295">
        <v>67894</v>
      </c>
      <c r="L474" s="295">
        <v>67894</v>
      </c>
      <c r="M474" s="295">
        <v>67894</v>
      </c>
      <c r="N474" s="291"/>
      <c r="O474" s="295">
        <v>19</v>
      </c>
      <c r="P474" s="295">
        <v>19</v>
      </c>
      <c r="Q474" s="295">
        <v>19</v>
      </c>
      <c r="R474" s="295">
        <v>19</v>
      </c>
      <c r="S474" s="295">
        <v>19</v>
      </c>
      <c r="T474" s="295">
        <v>19</v>
      </c>
      <c r="U474" s="295">
        <v>19</v>
      </c>
      <c r="V474" s="295">
        <v>19</v>
      </c>
      <c r="W474" s="295">
        <v>19</v>
      </c>
      <c r="X474" s="295">
        <v>19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10395</v>
      </c>
      <c r="E480" s="295">
        <v>10395</v>
      </c>
      <c r="F480" s="295">
        <v>10395</v>
      </c>
      <c r="G480" s="295">
        <v>10395</v>
      </c>
      <c r="H480" s="295">
        <v>10395</v>
      </c>
      <c r="I480" s="295">
        <v>10395</v>
      </c>
      <c r="J480" s="295">
        <v>10395</v>
      </c>
      <c r="K480" s="295">
        <v>10395</v>
      </c>
      <c r="L480" s="295">
        <v>10395</v>
      </c>
      <c r="M480" s="295">
        <v>10395</v>
      </c>
      <c r="N480" s="291"/>
      <c r="O480" s="295">
        <v>1</v>
      </c>
      <c r="P480" s="295">
        <v>1</v>
      </c>
      <c r="Q480" s="295">
        <v>1</v>
      </c>
      <c r="R480" s="295">
        <v>1</v>
      </c>
      <c r="S480" s="295">
        <v>1</v>
      </c>
      <c r="T480" s="295">
        <v>1</v>
      </c>
      <c r="U480" s="295">
        <v>1</v>
      </c>
      <c r="V480" s="295">
        <v>1</v>
      </c>
      <c r="W480" s="295">
        <v>1</v>
      </c>
      <c r="X480" s="295">
        <v>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1798912</v>
      </c>
      <c r="E487" s="295">
        <v>1804151</v>
      </c>
      <c r="F487" s="295">
        <v>1804151</v>
      </c>
      <c r="G487" s="295">
        <v>1804151</v>
      </c>
      <c r="H487" s="295">
        <v>1804151</v>
      </c>
      <c r="I487" s="295">
        <v>1769421</v>
      </c>
      <c r="J487" s="295">
        <v>1769421</v>
      </c>
      <c r="K487" s="295">
        <v>1769421</v>
      </c>
      <c r="L487" s="295">
        <v>1768934</v>
      </c>
      <c r="M487" s="295">
        <v>1768934</v>
      </c>
      <c r="N487" s="295">
        <v>12</v>
      </c>
      <c r="O487" s="295">
        <v>420</v>
      </c>
      <c r="P487" s="295">
        <v>421</v>
      </c>
      <c r="Q487" s="295">
        <v>421</v>
      </c>
      <c r="R487" s="295">
        <v>421</v>
      </c>
      <c r="S487" s="295">
        <v>421</v>
      </c>
      <c r="T487" s="295">
        <v>414</v>
      </c>
      <c r="U487" s="295">
        <v>414</v>
      </c>
      <c r="V487" s="295">
        <v>414</v>
      </c>
      <c r="W487" s="295">
        <v>414</v>
      </c>
      <c r="X487" s="295">
        <v>414</v>
      </c>
      <c r="Y487" s="426"/>
      <c r="Z487" s="410">
        <v>0.14889911584059143</v>
      </c>
      <c r="AA487" s="410"/>
      <c r="AB487" s="410"/>
      <c r="AC487" s="410">
        <v>0.85110088415940854</v>
      </c>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0.14889911584059143</v>
      </c>
      <c r="AA488" s="411">
        <f t="shared" ref="AA488" si="1388">AA487</f>
        <v>0</v>
      </c>
      <c r="AB488" s="411">
        <f t="shared" ref="AB488" si="1389">AB487</f>
        <v>0</v>
      </c>
      <c r="AC488" s="411">
        <f t="shared" ref="AC488" si="1390">AC487</f>
        <v>0.85110088415940854</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596919</v>
      </c>
      <c r="E490" s="295">
        <v>596919</v>
      </c>
      <c r="F490" s="295">
        <v>596459</v>
      </c>
      <c r="G490" s="295">
        <v>593836</v>
      </c>
      <c r="H490" s="295">
        <v>589079</v>
      </c>
      <c r="I490" s="295">
        <v>556009</v>
      </c>
      <c r="J490" s="295">
        <v>484942</v>
      </c>
      <c r="K490" s="295">
        <v>410443</v>
      </c>
      <c r="L490" s="295">
        <v>247531</v>
      </c>
      <c r="M490" s="295">
        <v>127009</v>
      </c>
      <c r="N490" s="295">
        <v>12</v>
      </c>
      <c r="O490" s="295">
        <v>146</v>
      </c>
      <c r="P490" s="295">
        <v>146</v>
      </c>
      <c r="Q490" s="295">
        <v>146</v>
      </c>
      <c r="R490" s="295">
        <v>145</v>
      </c>
      <c r="S490" s="295">
        <v>145</v>
      </c>
      <c r="T490" s="295">
        <v>140</v>
      </c>
      <c r="U490" s="295">
        <v>129</v>
      </c>
      <c r="V490" s="295">
        <v>113</v>
      </c>
      <c r="W490" s="295">
        <v>71</v>
      </c>
      <c r="X490" s="295">
        <v>38</v>
      </c>
      <c r="Y490" s="426"/>
      <c r="Z490" s="410">
        <v>0.92125312535122772</v>
      </c>
      <c r="AA490" s="410"/>
      <c r="AB490" s="410"/>
      <c r="AC490" s="410">
        <v>7.8746874648772253E-2</v>
      </c>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0.92125312535122772</v>
      </c>
      <c r="AA491" s="411">
        <f t="shared" ref="AA491" si="1401">AA490</f>
        <v>0</v>
      </c>
      <c r="AB491" s="411">
        <f t="shared" ref="AB491" si="1402">AB490</f>
        <v>0</v>
      </c>
      <c r="AC491" s="411">
        <f t="shared" ref="AC491" si="1403">AC490</f>
        <v>7.8746874648772253E-2</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v>53016</v>
      </c>
      <c r="E493" s="295">
        <v>53016</v>
      </c>
      <c r="F493" s="295">
        <v>53016</v>
      </c>
      <c r="G493" s="295">
        <v>53016</v>
      </c>
      <c r="H493" s="295">
        <v>53016</v>
      </c>
      <c r="I493" s="295">
        <v>53016</v>
      </c>
      <c r="J493" s="295">
        <v>53016</v>
      </c>
      <c r="K493" s="295">
        <v>53016</v>
      </c>
      <c r="L493" s="295">
        <v>53016</v>
      </c>
      <c r="M493" s="295">
        <v>53016</v>
      </c>
      <c r="N493" s="295">
        <v>12</v>
      </c>
      <c r="O493" s="295">
        <v>10</v>
      </c>
      <c r="P493" s="295">
        <v>10</v>
      </c>
      <c r="Q493" s="295">
        <v>10</v>
      </c>
      <c r="R493" s="295">
        <v>10</v>
      </c>
      <c r="S493" s="295">
        <v>10</v>
      </c>
      <c r="T493" s="295">
        <v>10</v>
      </c>
      <c r="U493" s="295">
        <v>10</v>
      </c>
      <c r="V493" s="295">
        <v>10</v>
      </c>
      <c r="W493" s="295">
        <v>10</v>
      </c>
      <c r="X493" s="295">
        <v>10</v>
      </c>
      <c r="Y493" s="426"/>
      <c r="Z493" s="410"/>
      <c r="AA493" s="410"/>
      <c r="AB493" s="410"/>
      <c r="AC493" s="410">
        <v>1</v>
      </c>
      <c r="AD493" s="410"/>
      <c r="AE493" s="410"/>
      <c r="AF493" s="415"/>
      <c r="AG493" s="415"/>
      <c r="AH493" s="415"/>
      <c r="AI493" s="415"/>
      <c r="AJ493" s="415"/>
      <c r="AK493" s="415"/>
      <c r="AL493" s="415"/>
      <c r="AM493" s="296">
        <f>SUM(Y493:AL493)</f>
        <v>1</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1</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3722902</v>
      </c>
      <c r="E561" s="329"/>
      <c r="F561" s="329"/>
      <c r="G561" s="329"/>
      <c r="H561" s="329"/>
      <c r="I561" s="329"/>
      <c r="J561" s="329"/>
      <c r="K561" s="329"/>
      <c r="L561" s="329"/>
      <c r="M561" s="329"/>
      <c r="N561" s="329"/>
      <c r="O561" s="329">
        <f>SUM(O404:O559)</f>
        <v>679</v>
      </c>
      <c r="P561" s="329"/>
      <c r="Q561" s="329"/>
      <c r="R561" s="329"/>
      <c r="S561" s="329"/>
      <c r="T561" s="329"/>
      <c r="U561" s="329"/>
      <c r="V561" s="329"/>
      <c r="W561" s="329"/>
      <c r="X561" s="329"/>
      <c r="Y561" s="329">
        <f>IF(Y402="kWh",SUMPRODUCT(D404:D559,Y404:Y559))</f>
        <v>1274055</v>
      </c>
      <c r="Z561" s="329">
        <f>IF(Z402="kWh",SUMPRODUCT(D404:D559,Z404:Z559))</f>
        <v>817769.90060655947</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4547.5129805480683</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461087</v>
      </c>
      <c r="Z562" s="392">
        <f>HLOOKUP(Z218,'2. LRAMVA Threshold'!$B$42:$Q$53,9,FALSE)</f>
        <v>1231015</v>
      </c>
      <c r="AA562" s="392">
        <f>HLOOKUP(AA218,'2. LRAMVA Threshold'!$B$42:$Q$53,9,FALSE)</f>
        <v>0</v>
      </c>
      <c r="AB562" s="392">
        <f>HLOOKUP(AB218,'2. LRAMVA Threshold'!$B$42:$Q$53,9,FALSE)</f>
        <v>0</v>
      </c>
      <c r="AC562" s="392">
        <f>HLOOKUP(AC218,'2. LRAMVA Threshold'!$B$42:$Q$53,9,FALSE)</f>
        <v>1104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7.7000000000000002E-3</v>
      </c>
      <c r="Z564" s="341">
        <f>HLOOKUP(Z$35,'3.  Distribution Rates'!$C$122:$P$133,9,FALSE)</f>
        <v>1.1599999999999999E-2</v>
      </c>
      <c r="AA564" s="341">
        <f>HLOOKUP(AA$35,'3.  Distribution Rates'!$C$122:$P$133,9,FALSE)</f>
        <v>30.259899999999998</v>
      </c>
      <c r="AB564" s="341">
        <f>HLOOKUP(AB$35,'3.  Distribution Rates'!$C$122:$P$133,9,FALSE)</f>
        <v>6.3E-3</v>
      </c>
      <c r="AC564" s="341">
        <f>HLOOKUP(AC$35,'3.  Distribution Rates'!$C$122:$P$133,9,FALSE)</f>
        <v>2.1911999999999998</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982.56150794858593</v>
      </c>
      <c r="Z565" s="378">
        <f>'4.  2011-2014 LRAM'!Z140*Z564</f>
        <v>1815.8483204165707</v>
      </c>
      <c r="AA565" s="378">
        <f>'4.  2011-2014 LRAM'!AA140*AA564</f>
        <v>0</v>
      </c>
      <c r="AB565" s="378">
        <f>'4.  2011-2014 LRAM'!AB140*AB564</f>
        <v>0</v>
      </c>
      <c r="AC565" s="378">
        <f>'4.  2011-2014 LRAM'!AC140*AC564</f>
        <v>1631.9758908695176</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4430.3857192346741</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691.13453845765525</v>
      </c>
      <c r="Z566" s="378">
        <f>'4.  2011-2014 LRAM'!Z269*Z564</f>
        <v>3182.6531683979756</v>
      </c>
      <c r="AA566" s="378">
        <f>'4.  2011-2014 LRAM'!AA269*AA564</f>
        <v>0</v>
      </c>
      <c r="AB566" s="378">
        <f>'4.  2011-2014 LRAM'!AB269*AB564</f>
        <v>0</v>
      </c>
      <c r="AC566" s="378">
        <f>'4.  2011-2014 LRAM'!AC269*AC564</f>
        <v>1425.1958761752057</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5298.9835830308366</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792.00680710388247</v>
      </c>
      <c r="Z567" s="378">
        <f>'4.  2011-2014 LRAM'!Z398*Z564</f>
        <v>2957.9208960460851</v>
      </c>
      <c r="AA567" s="378">
        <f>'4.  2011-2014 LRAM'!AA398*AA564</f>
        <v>0</v>
      </c>
      <c r="AB567" s="378">
        <f>'4.  2011-2014 LRAM'!AB398*AB564</f>
        <v>0</v>
      </c>
      <c r="AC567" s="378">
        <f>'4.  2011-2014 LRAM'!AC398*AC564</f>
        <v>3056.6984122172989</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6806.6261153672667</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2063.1994736646047</v>
      </c>
      <c r="Z568" s="378">
        <f>'4.  2011-2014 LRAM'!Z528*Z564</f>
        <v>5607.902503716</v>
      </c>
      <c r="AA568" s="378">
        <f>'4.  2011-2014 LRAM'!AA528*AA564</f>
        <v>0</v>
      </c>
      <c r="AB568" s="378">
        <f>'4.  2011-2014 LRAM'!AB528*AB564</f>
        <v>0</v>
      </c>
      <c r="AC568" s="378">
        <f>'4.  2011-2014 LRAM'!AC528*AC564</f>
        <v>2728.3624277477038</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10399.464405128308</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2504.8254000000002</v>
      </c>
      <c r="Z569" s="378">
        <f t="shared" si="1700"/>
        <v>5282.9327889133829</v>
      </c>
      <c r="AA569" s="378">
        <f t="shared" si="1700"/>
        <v>28212.635312312734</v>
      </c>
      <c r="AB569" s="378">
        <f>AB209*AB564</f>
        <v>0</v>
      </c>
      <c r="AC569" s="378">
        <f t="shared" si="1700"/>
        <v>7055.3876697072255</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43055.781170933347</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8540.1008000000002</v>
      </c>
      <c r="Z570" s="378">
        <f>Z392*Z564</f>
        <v>8008.4139710797399</v>
      </c>
      <c r="AA570" s="378">
        <f t="shared" ref="AA570:AL570" si="1701">AA392*AA564</f>
        <v>3530.7124832577069</v>
      </c>
      <c r="AB570" s="378">
        <f>AB392*AB564</f>
        <v>0</v>
      </c>
      <c r="AC570" s="378">
        <f t="shared" si="1701"/>
        <v>9219.9766141723721</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29299.203868509816</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9810.2235000000001</v>
      </c>
      <c r="Z571" s="378">
        <f t="shared" ref="Z571:AL571" si="1702">Z561*Z564</f>
        <v>9486.1308470360891</v>
      </c>
      <c r="AA571" s="378">
        <f t="shared" si="1702"/>
        <v>0</v>
      </c>
      <c r="AB571" s="378">
        <f t="shared" si="1702"/>
        <v>0</v>
      </c>
      <c r="AC571" s="378">
        <f t="shared" si="1702"/>
        <v>9964.5104429769272</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29260.864790013016</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25384.05202717473</v>
      </c>
      <c r="Z572" s="346">
        <f>SUM(Z565:Z571)</f>
        <v>36341.802495605836</v>
      </c>
      <c r="AA572" s="346">
        <f t="shared" ref="AA572:AE572" si="1703">SUM(AA565:AA571)</f>
        <v>31743.34779557044</v>
      </c>
      <c r="AB572" s="346">
        <f t="shared" si="1703"/>
        <v>0</v>
      </c>
      <c r="AC572" s="346">
        <f t="shared" si="1703"/>
        <v>35082.107333866254</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128551.30965221727</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3550.3699000000001</v>
      </c>
      <c r="Z573" s="347">
        <f t="shared" ref="Z573:AE573" si="1705">Z562*Z564</f>
        <v>14279.773999999999</v>
      </c>
      <c r="AA573" s="347">
        <f t="shared" si="1705"/>
        <v>0</v>
      </c>
      <c r="AB573" s="347">
        <f t="shared" si="1705"/>
        <v>0</v>
      </c>
      <c r="AC573" s="347">
        <f t="shared" si="1705"/>
        <v>2419.0847999999996</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20249.2287</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108302.08095221728</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994054</v>
      </c>
      <c r="Z576" s="291">
        <f>SUMPRODUCT(E404:E559,Z404:Z559)</f>
        <v>818549.9830744483</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4557.7261911579808</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994054</v>
      </c>
      <c r="Z577" s="291">
        <f>SUMPRODUCT(F404:F559,Z404:Z559)</f>
        <v>818126.20663678693</v>
      </c>
      <c r="AA577" s="291">
        <f t="shared" ref="AA577:AL577" si="1708">IF(AA402="kw",SUMPRODUCT($N$404:$N$559,$Q$404:$Q$559,AA404:AA559),SUMPRODUCT($F$404:$F$559,AA404:AA559))</f>
        <v>0</v>
      </c>
      <c r="AB577" s="291">
        <f t="shared" si="1708"/>
        <v>0</v>
      </c>
      <c r="AC577" s="291">
        <f>IF(AC402="kw",SUMPRODUCT($N$404:$N$559,$Q$404:$Q$559,AC404:AC559),SUMPRODUCT($F$404:$F$559,AC404:AC559))</f>
        <v>4557.7261911579808</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994054</v>
      </c>
      <c r="Z578" s="326">
        <f>SUMPRODUCT(G404:G559,Z404:Z559)</f>
        <v>815709.75968899066</v>
      </c>
      <c r="AA578" s="326">
        <f t="shared" ref="AA578:AL578" si="1709">IF(AA402="kw",SUMPRODUCT($N$404:$N$559,$R$404:$R$559,AA404:AA559),SUMPRODUCT($G$404:$G$559,AA404:AA559))</f>
        <v>0</v>
      </c>
      <c r="AB578" s="326">
        <f t="shared" si="1709"/>
        <v>0</v>
      </c>
      <c r="AC578" s="326">
        <f>IF(AC402="kw",SUMPRODUCT($N$404:$N$559,$R$404:$R$559,AC404:AC559),SUMPRODUCT($G$404:$G$559,AC404:AC559))</f>
        <v>4556.7812286621956</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586</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03" t="s">
        <v>211</v>
      </c>
      <c r="C583" s="805" t="s">
        <v>33</v>
      </c>
      <c r="D583" s="284" t="s">
        <v>422</v>
      </c>
      <c r="E583" s="807" t="s">
        <v>209</v>
      </c>
      <c r="F583" s="808"/>
      <c r="G583" s="808"/>
      <c r="H583" s="808"/>
      <c r="I583" s="808"/>
      <c r="J583" s="808"/>
      <c r="K583" s="808"/>
      <c r="L583" s="808"/>
      <c r="M583" s="809"/>
      <c r="N583" s="810" t="s">
        <v>213</v>
      </c>
      <c r="O583" s="284" t="s">
        <v>423</v>
      </c>
      <c r="P583" s="807" t="s">
        <v>212</v>
      </c>
      <c r="Q583" s="808"/>
      <c r="R583" s="808"/>
      <c r="S583" s="808"/>
      <c r="T583" s="808"/>
      <c r="U583" s="808"/>
      <c r="V583" s="808"/>
      <c r="W583" s="808"/>
      <c r="X583" s="809"/>
      <c r="Y583" s="800" t="s">
        <v>243</v>
      </c>
      <c r="Z583" s="801"/>
      <c r="AA583" s="801"/>
      <c r="AB583" s="801"/>
      <c r="AC583" s="801"/>
      <c r="AD583" s="801"/>
      <c r="AE583" s="801"/>
      <c r="AF583" s="801"/>
      <c r="AG583" s="801"/>
      <c r="AH583" s="801"/>
      <c r="AI583" s="801"/>
      <c r="AJ583" s="801"/>
      <c r="AK583" s="801"/>
      <c r="AL583" s="801"/>
      <c r="AM583" s="802"/>
    </row>
    <row r="584" spans="1:39" ht="68.25" customHeight="1">
      <c r="B584" s="804"/>
      <c r="C584" s="806"/>
      <c r="D584" s="285">
        <v>2018</v>
      </c>
      <c r="E584" s="285">
        <v>2019</v>
      </c>
      <c r="F584" s="285">
        <v>2020</v>
      </c>
      <c r="G584" s="285">
        <v>2021</v>
      </c>
      <c r="H584" s="285">
        <v>2022</v>
      </c>
      <c r="I584" s="285">
        <v>2023</v>
      </c>
      <c r="J584" s="285">
        <v>2024</v>
      </c>
      <c r="K584" s="285">
        <v>2025</v>
      </c>
      <c r="L584" s="285">
        <v>2026</v>
      </c>
      <c r="M584" s="285">
        <v>2027</v>
      </c>
      <c r="N584" s="81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Street Lighting</v>
      </c>
      <c r="AB584" s="285" t="str">
        <f>'1.  LRAMVA Summary'!G52</f>
        <v>Unmetered Scattered Load</v>
      </c>
      <c r="AC584" s="285" t="str">
        <f>'1.  LRAMVA Summary'!H52</f>
        <v>General Service 50 - 4,999 kW</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679</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280">SUM(Z748:Z755)</f>
        <v>0</v>
      </c>
      <c r="AA756" s="346">
        <f t="shared" si="2280"/>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03" t="s">
        <v>211</v>
      </c>
      <c r="C766" s="805" t="s">
        <v>33</v>
      </c>
      <c r="D766" s="284" t="s">
        <v>422</v>
      </c>
      <c r="E766" s="807" t="s">
        <v>209</v>
      </c>
      <c r="F766" s="808"/>
      <c r="G766" s="808"/>
      <c r="H766" s="808"/>
      <c r="I766" s="808"/>
      <c r="J766" s="808"/>
      <c r="K766" s="808"/>
      <c r="L766" s="808"/>
      <c r="M766" s="809"/>
      <c r="N766" s="810" t="s">
        <v>213</v>
      </c>
      <c r="O766" s="284" t="s">
        <v>423</v>
      </c>
      <c r="P766" s="807" t="s">
        <v>212</v>
      </c>
      <c r="Q766" s="808"/>
      <c r="R766" s="808"/>
      <c r="S766" s="808"/>
      <c r="T766" s="808"/>
      <c r="U766" s="808"/>
      <c r="V766" s="808"/>
      <c r="W766" s="808"/>
      <c r="X766" s="809"/>
      <c r="Y766" s="800" t="s">
        <v>243</v>
      </c>
      <c r="Z766" s="801"/>
      <c r="AA766" s="801"/>
      <c r="AB766" s="801"/>
      <c r="AC766" s="801"/>
      <c r="AD766" s="801"/>
      <c r="AE766" s="801"/>
      <c r="AF766" s="801"/>
      <c r="AG766" s="801"/>
      <c r="AH766" s="801"/>
      <c r="AI766" s="801"/>
      <c r="AJ766" s="801"/>
      <c r="AK766" s="801"/>
      <c r="AL766" s="801"/>
      <c r="AM766" s="802"/>
    </row>
    <row r="767" spans="1:40" ht="65.25" customHeight="1">
      <c r="B767" s="804"/>
      <c r="C767" s="806"/>
      <c r="D767" s="285">
        <v>2019</v>
      </c>
      <c r="E767" s="285">
        <v>2020</v>
      </c>
      <c r="F767" s="285">
        <v>2021</v>
      </c>
      <c r="G767" s="285">
        <v>2022</v>
      </c>
      <c r="H767" s="285">
        <v>2023</v>
      </c>
      <c r="I767" s="285">
        <v>2024</v>
      </c>
      <c r="J767" s="285">
        <v>2025</v>
      </c>
      <c r="K767" s="285">
        <v>2026</v>
      </c>
      <c r="L767" s="285">
        <v>2027</v>
      </c>
      <c r="M767" s="285">
        <v>2028</v>
      </c>
      <c r="N767" s="81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Street Lighting</v>
      </c>
      <c r="AB767" s="285" t="str">
        <f>'1.  LRAMVA Summary'!G52</f>
        <v>Unmetered Scattered Load</v>
      </c>
      <c r="AC767" s="285" t="str">
        <f>'1.  LRAMVA Summary'!H52</f>
        <v>General Service 50 - 4,999 kW</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03" t="s">
        <v>211</v>
      </c>
      <c r="C949" s="805" t="s">
        <v>33</v>
      </c>
      <c r="D949" s="284" t="s">
        <v>422</v>
      </c>
      <c r="E949" s="807" t="s">
        <v>209</v>
      </c>
      <c r="F949" s="808"/>
      <c r="G949" s="808"/>
      <c r="H949" s="808"/>
      <c r="I949" s="808"/>
      <c r="J949" s="808"/>
      <c r="K949" s="808"/>
      <c r="L949" s="808"/>
      <c r="M949" s="809"/>
      <c r="N949" s="810" t="s">
        <v>213</v>
      </c>
      <c r="O949" s="284" t="s">
        <v>423</v>
      </c>
      <c r="P949" s="807" t="s">
        <v>212</v>
      </c>
      <c r="Q949" s="808"/>
      <c r="R949" s="808"/>
      <c r="S949" s="808"/>
      <c r="T949" s="808"/>
      <c r="U949" s="808"/>
      <c r="V949" s="808"/>
      <c r="W949" s="808"/>
      <c r="X949" s="809"/>
      <c r="Y949" s="800" t="s">
        <v>243</v>
      </c>
      <c r="Z949" s="801"/>
      <c r="AA949" s="801"/>
      <c r="AB949" s="801"/>
      <c r="AC949" s="801"/>
      <c r="AD949" s="801"/>
      <c r="AE949" s="801"/>
      <c r="AF949" s="801"/>
      <c r="AG949" s="801"/>
      <c r="AH949" s="801"/>
      <c r="AI949" s="801"/>
      <c r="AJ949" s="801"/>
      <c r="AK949" s="801"/>
      <c r="AL949" s="801"/>
      <c r="AM949" s="802"/>
    </row>
    <row r="950" spans="1:39" ht="65.25" customHeight="1">
      <c r="B950" s="804"/>
      <c r="C950" s="806"/>
      <c r="D950" s="285">
        <v>2020</v>
      </c>
      <c r="E950" s="285">
        <v>2021</v>
      </c>
      <c r="F950" s="285">
        <v>2022</v>
      </c>
      <c r="G950" s="285">
        <v>2023</v>
      </c>
      <c r="H950" s="285">
        <v>2024</v>
      </c>
      <c r="I950" s="285">
        <v>2025</v>
      </c>
      <c r="J950" s="285">
        <v>2026</v>
      </c>
      <c r="K950" s="285">
        <v>2027</v>
      </c>
      <c r="L950" s="285">
        <v>2028</v>
      </c>
      <c r="M950" s="285">
        <v>2029</v>
      </c>
      <c r="N950" s="81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Street Lighting</v>
      </c>
      <c r="AB950" s="285" t="str">
        <f>'1.  LRAMVA Summary'!G52</f>
        <v>Unmetered Scattered Load</v>
      </c>
      <c r="AC950" s="285" t="str">
        <f>'1.  LRAMVA Summary'!H52</f>
        <v>General Service 50 - 4,999 kW</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scale="23"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22" zoomScale="90" zoomScaleNormal="90" workbookViewId="0">
      <selection activeCell="I45" sqref="I45"/>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15" t="s">
        <v>665</v>
      </c>
      <c r="D8" s="815"/>
      <c r="E8" s="815"/>
      <c r="F8" s="815"/>
      <c r="G8" s="815"/>
      <c r="H8" s="815"/>
      <c r="I8" s="815"/>
      <c r="J8" s="815"/>
      <c r="K8" s="815"/>
      <c r="L8" s="815"/>
      <c r="M8" s="815"/>
      <c r="N8" s="815"/>
      <c r="O8" s="815"/>
      <c r="P8" s="815"/>
      <c r="Q8" s="815"/>
      <c r="R8" s="815"/>
      <c r="S8" s="815"/>
      <c r="T8" s="105"/>
      <c r="U8" s="105"/>
      <c r="V8" s="105"/>
      <c r="W8" s="105"/>
    </row>
    <row r="9" spans="1:28" s="9" customFormat="1" ht="46.9" customHeight="1">
      <c r="B9" s="55"/>
      <c r="C9" s="777" t="s">
        <v>677</v>
      </c>
      <c r="D9" s="777"/>
      <c r="E9" s="777"/>
      <c r="F9" s="777"/>
      <c r="G9" s="777"/>
      <c r="H9" s="777"/>
      <c r="I9" s="777"/>
      <c r="J9" s="777"/>
      <c r="K9" s="777"/>
      <c r="L9" s="777"/>
      <c r="M9" s="777"/>
      <c r="N9" s="777"/>
      <c r="O9" s="777"/>
      <c r="P9" s="777"/>
      <c r="Q9" s="777"/>
      <c r="R9" s="777"/>
      <c r="S9" s="777"/>
      <c r="T9" s="105"/>
      <c r="U9" s="105"/>
      <c r="V9" s="105"/>
      <c r="W9" s="105"/>
    </row>
    <row r="10" spans="1:28" s="9" customFormat="1" ht="37.9" customHeight="1">
      <c r="B10" s="88"/>
      <c r="C10" s="798" t="s">
        <v>678</v>
      </c>
      <c r="D10" s="777"/>
      <c r="E10" s="777"/>
      <c r="F10" s="777"/>
      <c r="G10" s="777"/>
      <c r="H10" s="777"/>
      <c r="I10" s="777"/>
      <c r="J10" s="777"/>
      <c r="K10" s="777"/>
      <c r="L10" s="777"/>
      <c r="M10" s="777"/>
      <c r="N10" s="777"/>
      <c r="O10" s="777"/>
      <c r="P10" s="777"/>
      <c r="Q10" s="777"/>
      <c r="R10" s="777"/>
      <c r="S10" s="77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4" t="s">
        <v>235</v>
      </c>
      <c r="C12" s="814"/>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Street Lighting</v>
      </c>
      <c r="L14" s="204" t="str">
        <f>'1.  LRAMVA Summary'!G52</f>
        <v>Unmetered Scattered Load</v>
      </c>
      <c r="M14" s="204" t="str">
        <f>'1.  LRAMVA Summary'!H52</f>
        <v>General Service 50 - 4,999 kW</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1.89E-2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29">
        <v>1.89E-2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29">
        <v>1.89E-2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1.3271702110188481</v>
      </c>
      <c r="J91" s="230">
        <f>(SUM('1.  LRAMVA Summary'!E$54:E$68)+SUM('1.  LRAMVA Summary'!E$69:E$70)*(MONTH($E91)-1)/12)*$H91</f>
        <v>1.2429845030872073</v>
      </c>
      <c r="K91" s="230">
        <f>(SUM('1.  LRAMVA Summary'!F$54:F$68)+SUM('1.  LRAMVA Summary'!F$69:F$70)*(MONTH($E91)-1)/12)*$H91</f>
        <v>2.3851087576443115</v>
      </c>
      <c r="L91" s="230">
        <f>(SUM('1.  LRAMVA Summary'!G$54:G$68)+SUM('1.  LRAMVA Summary'!G$69:G$70)*(MONTH($E91)-1)/12)*$H91</f>
        <v>0</v>
      </c>
      <c r="M91" s="230">
        <f>(SUM('1.  LRAMVA Summary'!H$54:H$68)+SUM('1.  LRAMVA Summary'!H$69:H$70)*(MONTH($E91)-1)/12)*$H91</f>
        <v>1.7079481642356849</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6.6632116359860518</v>
      </c>
    </row>
    <row r="92" spans="2:23" s="9" customFormat="1" ht="14.25" customHeight="1">
      <c r="B92" s="66"/>
      <c r="E92" s="214">
        <v>42430</v>
      </c>
      <c r="F92" s="214" t="s">
        <v>183</v>
      </c>
      <c r="G92" s="215" t="s">
        <v>65</v>
      </c>
      <c r="H92" s="229">
        <f t="shared" si="34"/>
        <v>9.1666666666666665E-4</v>
      </c>
      <c r="I92" s="230">
        <f>(SUM('1.  LRAMVA Summary'!D$54:D$68)+SUM('1.  LRAMVA Summary'!D$69:D$70)*(MONTH($E92)-1)/12)*$H92</f>
        <v>2.6543404220376963</v>
      </c>
      <c r="J92" s="230">
        <f>(SUM('1.  LRAMVA Summary'!E$54:E$68)+SUM('1.  LRAMVA Summary'!E$69:E$70)*(MONTH($E92)-1)/12)*$H92</f>
        <v>2.4859690061744146</v>
      </c>
      <c r="K92" s="230">
        <f>(SUM('1.  LRAMVA Summary'!F$54:F$68)+SUM('1.  LRAMVA Summary'!F$69:F$70)*(MONTH($E92)-1)/12)*$H92</f>
        <v>4.770217515288623</v>
      </c>
      <c r="L92" s="230">
        <f>(SUM('1.  LRAMVA Summary'!G$54:G$68)+SUM('1.  LRAMVA Summary'!G$69:G$70)*(MONTH($E92)-1)/12)*$H92</f>
        <v>0</v>
      </c>
      <c r="M92" s="230">
        <f>(SUM('1.  LRAMVA Summary'!H$54:H$68)+SUM('1.  LRAMVA Summary'!H$69:H$70)*(MONTH($E92)-1)/12)*$H92</f>
        <v>3.4158963284713697</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13.326423271972104</v>
      </c>
    </row>
    <row r="93" spans="2:23" s="8" customFormat="1">
      <c r="B93" s="239"/>
      <c r="D93" s="9"/>
      <c r="E93" s="214">
        <v>42461</v>
      </c>
      <c r="F93" s="214" t="s">
        <v>183</v>
      </c>
      <c r="G93" s="215" t="s">
        <v>66</v>
      </c>
      <c r="H93" s="229">
        <f>$C$36/12</f>
        <v>9.1666666666666665E-4</v>
      </c>
      <c r="I93" s="230">
        <f>(SUM('1.  LRAMVA Summary'!D$54:D$68)+SUM('1.  LRAMVA Summary'!D$69:D$70)*(MONTH($E93)-1)/12)*$H93</f>
        <v>3.9815106330565446</v>
      </c>
      <c r="J93" s="230">
        <f>(SUM('1.  LRAMVA Summary'!E$54:E$68)+SUM('1.  LRAMVA Summary'!E$69:E$70)*(MONTH($E93)-1)/12)*$H93</f>
        <v>3.7289535092616215</v>
      </c>
      <c r="K93" s="230">
        <f>(SUM('1.  LRAMVA Summary'!F$54:F$68)+SUM('1.  LRAMVA Summary'!F$69:F$70)*(MONTH($E93)-1)/12)*$H93</f>
        <v>7.1553262729329346</v>
      </c>
      <c r="L93" s="230">
        <f>(SUM('1.  LRAMVA Summary'!G$54:G$68)+SUM('1.  LRAMVA Summary'!G$69:G$70)*(MONTH($E93)-1)/12)*$H93</f>
        <v>0</v>
      </c>
      <c r="M93" s="230">
        <f>(SUM('1.  LRAMVA Summary'!H$54:H$68)+SUM('1.  LRAMVA Summary'!H$69:H$70)*(MONTH($E93)-1)/12)*$H93</f>
        <v>5.1238444927070548</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19.989634907958155</v>
      </c>
    </row>
    <row r="94" spans="2:23" s="9" customFormat="1">
      <c r="B94" s="66"/>
      <c r="E94" s="214">
        <v>42491</v>
      </c>
      <c r="F94" s="214" t="s">
        <v>183</v>
      </c>
      <c r="G94" s="215" t="s">
        <v>66</v>
      </c>
      <c r="H94" s="229">
        <f t="shared" ref="H94:H95" si="36">$C$36/12</f>
        <v>9.1666666666666665E-4</v>
      </c>
      <c r="I94" s="230">
        <f>(SUM('1.  LRAMVA Summary'!D$54:D$68)+SUM('1.  LRAMVA Summary'!D$69:D$70)*(MONTH($E94)-1)/12)*$H94</f>
        <v>5.3086808440753925</v>
      </c>
      <c r="J94" s="230">
        <f>(SUM('1.  LRAMVA Summary'!E$54:E$68)+SUM('1.  LRAMVA Summary'!E$69:E$70)*(MONTH($E94)-1)/12)*$H94</f>
        <v>4.9719380123488293</v>
      </c>
      <c r="K94" s="230">
        <f>(SUM('1.  LRAMVA Summary'!F$54:F$68)+SUM('1.  LRAMVA Summary'!F$69:F$70)*(MONTH($E94)-1)/12)*$H94</f>
        <v>9.5404350305772461</v>
      </c>
      <c r="L94" s="230">
        <f>(SUM('1.  LRAMVA Summary'!G$54:G$68)+SUM('1.  LRAMVA Summary'!G$69:G$70)*(MONTH($E94)-1)/12)*$H94</f>
        <v>0</v>
      </c>
      <c r="M94" s="230">
        <f>(SUM('1.  LRAMVA Summary'!H$54:H$68)+SUM('1.  LRAMVA Summary'!H$69:H$70)*(MONTH($E94)-1)/12)*$H94</f>
        <v>6.8317926569427394</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26.652846543944207</v>
      </c>
    </row>
    <row r="95" spans="2:23" s="238" customFormat="1">
      <c r="B95" s="237"/>
      <c r="D95" s="9"/>
      <c r="E95" s="214">
        <v>42522</v>
      </c>
      <c r="F95" s="214" t="s">
        <v>183</v>
      </c>
      <c r="G95" s="215" t="s">
        <v>66</v>
      </c>
      <c r="H95" s="229">
        <f t="shared" si="36"/>
        <v>9.1666666666666665E-4</v>
      </c>
      <c r="I95" s="230">
        <f>(SUM('1.  LRAMVA Summary'!D$54:D$68)+SUM('1.  LRAMVA Summary'!D$69:D$70)*(MONTH($E95)-1)/12)*$H95</f>
        <v>6.6358510550942409</v>
      </c>
      <c r="J95" s="230">
        <f>(SUM('1.  LRAMVA Summary'!E$54:E$68)+SUM('1.  LRAMVA Summary'!E$69:E$70)*(MONTH($E95)-1)/12)*$H95</f>
        <v>6.2149225154360366</v>
      </c>
      <c r="K95" s="230">
        <f>(SUM('1.  LRAMVA Summary'!F$54:F$68)+SUM('1.  LRAMVA Summary'!F$69:F$70)*(MONTH($E95)-1)/12)*$H95</f>
        <v>11.925543788221557</v>
      </c>
      <c r="L95" s="230">
        <f>(SUM('1.  LRAMVA Summary'!G$54:G$68)+SUM('1.  LRAMVA Summary'!G$69:G$70)*(MONTH($E95)-1)/12)*$H95</f>
        <v>0</v>
      </c>
      <c r="M95" s="230">
        <f>(SUM('1.  LRAMVA Summary'!H$54:H$68)+SUM('1.  LRAMVA Summary'!H$69:H$70)*(MONTH($E95)-1)/12)*$H95</f>
        <v>8.5397408211784231</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33.316058179930252</v>
      </c>
    </row>
    <row r="96" spans="2:23" s="9" customFormat="1">
      <c r="B96" s="66"/>
      <c r="E96" s="214">
        <v>42552</v>
      </c>
      <c r="F96" s="214" t="s">
        <v>183</v>
      </c>
      <c r="G96" s="215" t="s">
        <v>68</v>
      </c>
      <c r="H96" s="229">
        <f>$C$37/12</f>
        <v>9.1666666666666665E-4</v>
      </c>
      <c r="I96" s="230">
        <f>(SUM('1.  LRAMVA Summary'!D$54:D$68)+SUM('1.  LRAMVA Summary'!D$69:D$70)*(MONTH($E96)-1)/12)*$H96</f>
        <v>7.9630212661130892</v>
      </c>
      <c r="J96" s="230">
        <f>(SUM('1.  LRAMVA Summary'!E$54:E$68)+SUM('1.  LRAMVA Summary'!E$69:E$70)*(MONTH($E96)-1)/12)*$H96</f>
        <v>7.457907018523243</v>
      </c>
      <c r="K96" s="230">
        <f>(SUM('1.  LRAMVA Summary'!F$54:F$68)+SUM('1.  LRAMVA Summary'!F$69:F$70)*(MONTH($E96)-1)/12)*$H96</f>
        <v>14.310652545865869</v>
      </c>
      <c r="L96" s="230">
        <f>(SUM('1.  LRAMVA Summary'!G$54:G$68)+SUM('1.  LRAMVA Summary'!G$69:G$70)*(MONTH($E96)-1)/12)*$H96</f>
        <v>0</v>
      </c>
      <c r="M96" s="230">
        <f>(SUM('1.  LRAMVA Summary'!H$54:H$68)+SUM('1.  LRAMVA Summary'!H$69:H$70)*(MONTH($E96)-1)/12)*$H96</f>
        <v>10.24768898541411</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39.979269815916311</v>
      </c>
    </row>
    <row r="97" spans="2:23" s="9" customFormat="1">
      <c r="B97" s="66"/>
      <c r="E97" s="214">
        <v>42583</v>
      </c>
      <c r="F97" s="214" t="s">
        <v>183</v>
      </c>
      <c r="G97" s="215" t="s">
        <v>68</v>
      </c>
      <c r="H97" s="229">
        <f t="shared" ref="H97:H98" si="37">$C$37/12</f>
        <v>9.1666666666666665E-4</v>
      </c>
      <c r="I97" s="230">
        <f>(SUM('1.  LRAMVA Summary'!D$54:D$68)+SUM('1.  LRAMVA Summary'!D$69:D$70)*(MONTH($E97)-1)/12)*$H97</f>
        <v>9.2901914771319376</v>
      </c>
      <c r="J97" s="230">
        <f>(SUM('1.  LRAMVA Summary'!E$54:E$68)+SUM('1.  LRAMVA Summary'!E$69:E$70)*(MONTH($E97)-1)/12)*$H97</f>
        <v>8.7008915216104512</v>
      </c>
      <c r="K97" s="230">
        <f>(SUM('1.  LRAMVA Summary'!F$54:F$68)+SUM('1.  LRAMVA Summary'!F$69:F$70)*(MONTH($E97)-1)/12)*$H97</f>
        <v>16.695761303510182</v>
      </c>
      <c r="L97" s="230">
        <f>(SUM('1.  LRAMVA Summary'!G$54:G$68)+SUM('1.  LRAMVA Summary'!G$69:G$70)*(MONTH($E97)-1)/12)*$H97</f>
        <v>0</v>
      </c>
      <c r="M97" s="230">
        <f>(SUM('1.  LRAMVA Summary'!H$54:H$68)+SUM('1.  LRAMVA Summary'!H$69:H$70)*(MONTH($E97)-1)/12)*$H97</f>
        <v>11.955637149649792</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46.642481451902356</v>
      </c>
    </row>
    <row r="98" spans="2:23" s="9" customFormat="1">
      <c r="B98" s="66"/>
      <c r="E98" s="214">
        <v>42614</v>
      </c>
      <c r="F98" s="214" t="s">
        <v>183</v>
      </c>
      <c r="G98" s="215" t="s">
        <v>68</v>
      </c>
      <c r="H98" s="229">
        <f t="shared" si="37"/>
        <v>9.1666666666666665E-4</v>
      </c>
      <c r="I98" s="230">
        <f>(SUM('1.  LRAMVA Summary'!D$54:D$68)+SUM('1.  LRAMVA Summary'!D$69:D$70)*(MONTH($E98)-1)/12)*$H98</f>
        <v>10.617361688150785</v>
      </c>
      <c r="J98" s="230">
        <f>(SUM('1.  LRAMVA Summary'!E$54:E$68)+SUM('1.  LRAMVA Summary'!E$69:E$70)*(MONTH($E98)-1)/12)*$H98</f>
        <v>9.9438760246976585</v>
      </c>
      <c r="K98" s="230">
        <f>(SUM('1.  LRAMVA Summary'!F$54:F$68)+SUM('1.  LRAMVA Summary'!F$69:F$70)*(MONTH($E98)-1)/12)*$H98</f>
        <v>19.080870061154492</v>
      </c>
      <c r="L98" s="230">
        <f>(SUM('1.  LRAMVA Summary'!G$54:G$68)+SUM('1.  LRAMVA Summary'!G$69:G$70)*(MONTH($E98)-1)/12)*$H98</f>
        <v>0</v>
      </c>
      <c r="M98" s="230">
        <f>(SUM('1.  LRAMVA Summary'!H$54:H$68)+SUM('1.  LRAMVA Summary'!H$69:H$70)*(MONTH($E98)-1)/12)*$H98</f>
        <v>13.663585313885479</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53.305693087888415</v>
      </c>
    </row>
    <row r="99" spans="2:23" s="9" customFormat="1">
      <c r="B99" s="66"/>
      <c r="E99" s="214">
        <v>42644</v>
      </c>
      <c r="F99" s="214" t="s">
        <v>183</v>
      </c>
      <c r="G99" s="215" t="s">
        <v>69</v>
      </c>
      <c r="H99" s="210">
        <f>$C$38/12</f>
        <v>9.1666666666666665E-4</v>
      </c>
      <c r="I99" s="230">
        <f>(SUM('1.  LRAMVA Summary'!D$54:D$68)+SUM('1.  LRAMVA Summary'!D$69:D$70)*(MONTH($E99)-1)/12)*$H99</f>
        <v>11.944531899169636</v>
      </c>
      <c r="J99" s="230">
        <f>(SUM('1.  LRAMVA Summary'!E$54:E$68)+SUM('1.  LRAMVA Summary'!E$69:E$70)*(MONTH($E99)-1)/12)*$H99</f>
        <v>11.186860527784864</v>
      </c>
      <c r="K99" s="230">
        <f>(SUM('1.  LRAMVA Summary'!F$54:F$68)+SUM('1.  LRAMVA Summary'!F$69:F$70)*(MONTH($E99)-1)/12)*$H99</f>
        <v>21.465978818798803</v>
      </c>
      <c r="L99" s="230">
        <f>(SUM('1.  LRAMVA Summary'!G$54:G$68)+SUM('1.  LRAMVA Summary'!G$69:G$70)*(MONTH($E99)-1)/12)*$H99</f>
        <v>0</v>
      </c>
      <c r="M99" s="230">
        <f>(SUM('1.  LRAMVA Summary'!H$54:H$68)+SUM('1.  LRAMVA Summary'!H$69:H$70)*(MONTH($E99)-1)/12)*$H99</f>
        <v>15.371533478121165</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59.968904723874466</v>
      </c>
    </row>
    <row r="100" spans="2:23" s="9" customFormat="1">
      <c r="B100" s="66"/>
      <c r="E100" s="214">
        <v>42675</v>
      </c>
      <c r="F100" s="214" t="s">
        <v>183</v>
      </c>
      <c r="G100" s="215" t="s">
        <v>69</v>
      </c>
      <c r="H100" s="210">
        <f t="shared" ref="H100:H101" si="38">$C$38/12</f>
        <v>9.1666666666666665E-4</v>
      </c>
      <c r="I100" s="230">
        <f>(SUM('1.  LRAMVA Summary'!D$54:D$68)+SUM('1.  LRAMVA Summary'!D$69:D$70)*(MONTH($E100)-1)/12)*$H100</f>
        <v>13.271702110188482</v>
      </c>
      <c r="J100" s="230">
        <f>(SUM('1.  LRAMVA Summary'!E$54:E$68)+SUM('1.  LRAMVA Summary'!E$69:E$70)*(MONTH($E100)-1)/12)*$H100</f>
        <v>12.429845030872073</v>
      </c>
      <c r="K100" s="230">
        <f>(SUM('1.  LRAMVA Summary'!F$54:F$68)+SUM('1.  LRAMVA Summary'!F$69:F$70)*(MONTH($E100)-1)/12)*$H100</f>
        <v>23.851087576443113</v>
      </c>
      <c r="L100" s="230">
        <f>(SUM('1.  LRAMVA Summary'!G$54:G$68)+SUM('1.  LRAMVA Summary'!G$69:G$70)*(MONTH($E100)-1)/12)*$H100</f>
        <v>0</v>
      </c>
      <c r="M100" s="230">
        <f>(SUM('1.  LRAMVA Summary'!H$54:H$68)+SUM('1.  LRAMVA Summary'!H$69:H$70)*(MONTH($E100)-1)/12)*$H100</f>
        <v>17.079481642356846</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66.632116359860504</v>
      </c>
    </row>
    <row r="101" spans="2:23" s="9" customFormat="1">
      <c r="B101" s="66"/>
      <c r="E101" s="214">
        <v>42705</v>
      </c>
      <c r="F101" s="214" t="s">
        <v>183</v>
      </c>
      <c r="G101" s="215" t="s">
        <v>69</v>
      </c>
      <c r="H101" s="210">
        <f t="shared" si="38"/>
        <v>9.1666666666666665E-4</v>
      </c>
      <c r="I101" s="230">
        <f>(SUM('1.  LRAMVA Summary'!D$54:D$68)+SUM('1.  LRAMVA Summary'!D$69:D$70)*(MONTH($E101)-1)/12)*$H101</f>
        <v>14.598872321207331</v>
      </c>
      <c r="J101" s="230">
        <f>(SUM('1.  LRAMVA Summary'!E$54:E$68)+SUM('1.  LRAMVA Summary'!E$69:E$70)*(MONTH($E101)-1)/12)*$H101</f>
        <v>13.67282953395928</v>
      </c>
      <c r="K101" s="230">
        <f>(SUM('1.  LRAMVA Summary'!F$54:F$68)+SUM('1.  LRAMVA Summary'!F$69:F$70)*(MONTH($E101)-1)/12)*$H101</f>
        <v>26.236196334087428</v>
      </c>
      <c r="L101" s="230">
        <f>(SUM('1.  LRAMVA Summary'!G$54:G$68)+SUM('1.  LRAMVA Summary'!G$69:G$70)*(MONTH($E101)-1)/12)*$H101</f>
        <v>0</v>
      </c>
      <c r="M101" s="230">
        <f>(SUM('1.  LRAMVA Summary'!H$54:H$68)+SUM('1.  LRAMVA Summary'!H$69:H$70)*(MONTH($E101)-1)/12)*$H101</f>
        <v>18.787429806592534</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73.295327995846577</v>
      </c>
    </row>
    <row r="102" spans="2:23" s="9" customFormat="1" ht="15.75" thickBot="1">
      <c r="B102" s="66"/>
      <c r="E102" s="216" t="s">
        <v>466</v>
      </c>
      <c r="F102" s="216"/>
      <c r="G102" s="217"/>
      <c r="H102" s="218"/>
      <c r="I102" s="219">
        <f>SUM(I89:I101)</f>
        <v>87.593233927244</v>
      </c>
      <c r="J102" s="219">
        <f>SUM(J89:J101)</f>
        <v>82.036977203755697</v>
      </c>
      <c r="K102" s="219">
        <f t="shared" ref="K102:O102" si="39">SUM(K89:K101)</f>
        <v>157.41717800452454</v>
      </c>
      <c r="L102" s="219">
        <f t="shared" si="39"/>
        <v>0</v>
      </c>
      <c r="M102" s="219">
        <f t="shared" si="39"/>
        <v>112.72457883955519</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439.77196797507941</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87.593233927244</v>
      </c>
      <c r="J104" s="228">
        <f t="shared" ref="J104" si="41">J102+J103</f>
        <v>82.036977203755697</v>
      </c>
      <c r="K104" s="228">
        <f t="shared" ref="K104" si="42">K102+K103</f>
        <v>157.41717800452454</v>
      </c>
      <c r="L104" s="228">
        <f t="shared" ref="L104" si="43">L102+L103</f>
        <v>0</v>
      </c>
      <c r="M104" s="228">
        <f t="shared" ref="M104" si="44">M102+M103</f>
        <v>112.72457883955519</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439.77196797507941</v>
      </c>
    </row>
    <row r="105" spans="2:23" s="9" customFormat="1">
      <c r="B105" s="66"/>
      <c r="E105" s="214">
        <v>42736</v>
      </c>
      <c r="F105" s="214" t="s">
        <v>184</v>
      </c>
      <c r="G105" s="215" t="s">
        <v>65</v>
      </c>
      <c r="H105" s="240">
        <f>$C$39/12</f>
        <v>9.1666666666666665E-4</v>
      </c>
      <c r="I105" s="230">
        <f>(SUM('1.  LRAMVA Summary'!D$54:D$71)+SUM('1.  LRAMVA Summary'!D$72:D$73)*(MONTH($E105)-1)/12)*$H105</f>
        <v>15.926042532226178</v>
      </c>
      <c r="J105" s="230">
        <f>(SUM('1.  LRAMVA Summary'!E$54:E$71)+SUM('1.  LRAMVA Summary'!E$72:E$73)*(MONTH($E105)-1)/12)*$H105</f>
        <v>14.915814037046488</v>
      </c>
      <c r="K105" s="230">
        <f>(SUM('1.  LRAMVA Summary'!F$54:F$71)+SUM('1.  LRAMVA Summary'!F$72:F$73)*(MONTH($E105)-1)/12)*$H105</f>
        <v>28.621305091731738</v>
      </c>
      <c r="L105" s="230">
        <f>(SUM('1.  LRAMVA Summary'!G$54:G$71)+SUM('1.  LRAMVA Summary'!G$72:G$73)*(MONTH($E105)-1)/12)*$H105</f>
        <v>0</v>
      </c>
      <c r="M105" s="230">
        <f>(SUM('1.  LRAMVA Summary'!H$54:H$71)+SUM('1.  LRAMVA Summary'!H$72:H$73)*(MONTH($E105)-1)/12)*$H105</f>
        <v>20.495377970828219</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79.958539631832622</v>
      </c>
    </row>
    <row r="106" spans="2:23" s="9" customFormat="1">
      <c r="B106" s="66"/>
      <c r="E106" s="214">
        <v>42767</v>
      </c>
      <c r="F106" s="214" t="s">
        <v>184</v>
      </c>
      <c r="G106" s="215" t="s">
        <v>65</v>
      </c>
      <c r="H106" s="240">
        <f t="shared" ref="H106:H107" si="48">$C$39/12</f>
        <v>9.1666666666666665E-4</v>
      </c>
      <c r="I106" s="230">
        <f>(SUM('1.  LRAMVA Summary'!D$54:D$71)+SUM('1.  LRAMVA Summary'!D$72:D$73)*(MONTH($E106)-1)/12)*$H106</f>
        <v>17.593893250274249</v>
      </c>
      <c r="J106" s="230">
        <f>(SUM('1.  LRAMVA Summary'!E$54:E$71)+SUM('1.  LRAMVA Summary'!E$72:E$73)*(MONTH($E106)-1)/12)*$H106</f>
        <v>16.601107880460823</v>
      </c>
      <c r="K106" s="230">
        <f>(SUM('1.  LRAMVA Summary'!F$54:F$71)+SUM('1.  LRAMVA Summary'!F$72:F$73)*(MONTH($E106)-1)/12)*$H106</f>
        <v>31.046144159448925</v>
      </c>
      <c r="L106" s="230">
        <f>(SUM('1.  LRAMVA Summary'!G$54:G$71)+SUM('1.  LRAMVA Summary'!G$72:G$73)*(MONTH($E106)-1)/12)*$H106</f>
        <v>0</v>
      </c>
      <c r="M106" s="230">
        <f>(SUM('1.  LRAMVA Summary'!H$54:H$71)+SUM('1.  LRAMVA Summary'!H$72:H$73)*(MONTH($E106)-1)/12)*$H106</f>
        <v>22.990469969943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88.231615260127001</v>
      </c>
    </row>
    <row r="107" spans="2:23" s="9" customFormat="1">
      <c r="B107" s="66"/>
      <c r="E107" s="214">
        <v>42795</v>
      </c>
      <c r="F107" s="214" t="s">
        <v>184</v>
      </c>
      <c r="G107" s="215" t="s">
        <v>65</v>
      </c>
      <c r="H107" s="240">
        <f t="shared" si="48"/>
        <v>9.1666666666666665E-4</v>
      </c>
      <c r="I107" s="230">
        <f>(SUM('1.  LRAMVA Summary'!D$54:D$71)+SUM('1.  LRAMVA Summary'!D$72:D$73)*(MONTH($E107)-1)/12)*$H107</f>
        <v>19.261743968322317</v>
      </c>
      <c r="J107" s="230">
        <f>(SUM('1.  LRAMVA Summary'!E$54:E$71)+SUM('1.  LRAMVA Summary'!E$72:E$73)*(MONTH($E107)-1)/12)*$H107</f>
        <v>18.286401723875155</v>
      </c>
      <c r="K107" s="230">
        <f>(SUM('1.  LRAMVA Summary'!F$54:F$71)+SUM('1.  LRAMVA Summary'!F$72:F$73)*(MONTH($E107)-1)/12)*$H107</f>
        <v>33.470983227166116</v>
      </c>
      <c r="L107" s="230">
        <f>(SUM('1.  LRAMVA Summary'!G$54:G$71)+SUM('1.  LRAMVA Summary'!G$72:G$73)*(MONTH($E107)-1)/12)*$H107</f>
        <v>0</v>
      </c>
      <c r="M107" s="230">
        <f>(SUM('1.  LRAMVA Summary'!H$54:H$71)+SUM('1.  LRAMVA Summary'!H$72:H$73)*(MONTH($E107)-1)/12)*$H107</f>
        <v>25.485561969057787</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96.504690888421379</v>
      </c>
    </row>
    <row r="108" spans="2:23" s="8" customFormat="1">
      <c r="B108" s="239"/>
      <c r="E108" s="214">
        <v>42826</v>
      </c>
      <c r="F108" s="214" t="s">
        <v>184</v>
      </c>
      <c r="G108" s="215" t="s">
        <v>66</v>
      </c>
      <c r="H108" s="240">
        <f>$C$40/12</f>
        <v>9.1666666666666665E-4</v>
      </c>
      <c r="I108" s="230">
        <f>(SUM('1.  LRAMVA Summary'!D$54:D$71)+SUM('1.  LRAMVA Summary'!D$72:D$73)*(MONTH($E108)-1)/12)*$H108</f>
        <v>20.92959468637039</v>
      </c>
      <c r="J108" s="230">
        <f>(SUM('1.  LRAMVA Summary'!E$54:E$71)+SUM('1.  LRAMVA Summary'!E$72:E$73)*(MONTH($E108)-1)/12)*$H108</f>
        <v>19.971695567289494</v>
      </c>
      <c r="K108" s="230">
        <f>(SUM('1.  LRAMVA Summary'!F$54:F$71)+SUM('1.  LRAMVA Summary'!F$72:F$73)*(MONTH($E108)-1)/12)*$H108</f>
        <v>35.895822294883295</v>
      </c>
      <c r="L108" s="230">
        <f>(SUM('1.  LRAMVA Summary'!G$54:G$71)+SUM('1.  LRAMVA Summary'!G$72:G$73)*(MONTH($E108)-1)/12)*$H108</f>
        <v>0</v>
      </c>
      <c r="M108" s="230">
        <f>(SUM('1.  LRAMVA Summary'!H$54:H$71)+SUM('1.  LRAMVA Summary'!H$72:H$73)*(MONTH($E108)-1)/12)*$H108</f>
        <v>27.980653968172568</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104.77776651671573</v>
      </c>
    </row>
    <row r="109" spans="2:23" s="9" customFormat="1">
      <c r="B109" s="66"/>
      <c r="E109" s="214">
        <v>42856</v>
      </c>
      <c r="F109" s="214" t="s">
        <v>184</v>
      </c>
      <c r="G109" s="215" t="s">
        <v>66</v>
      </c>
      <c r="H109" s="240">
        <f t="shared" ref="H109:H110" si="50">$C$40/12</f>
        <v>9.1666666666666665E-4</v>
      </c>
      <c r="I109" s="230">
        <f>(SUM('1.  LRAMVA Summary'!D$54:D$71)+SUM('1.  LRAMVA Summary'!D$72:D$73)*(MONTH($E109)-1)/12)*$H109</f>
        <v>22.597445404418458</v>
      </c>
      <c r="J109" s="230">
        <f>(SUM('1.  LRAMVA Summary'!E$54:E$71)+SUM('1.  LRAMVA Summary'!E$72:E$73)*(MONTH($E109)-1)/12)*$H109</f>
        <v>21.656989410703829</v>
      </c>
      <c r="K109" s="230">
        <f>(SUM('1.  LRAMVA Summary'!F$54:F$71)+SUM('1.  LRAMVA Summary'!F$72:F$73)*(MONTH($E109)-1)/12)*$H109</f>
        <v>38.320661362600482</v>
      </c>
      <c r="L109" s="230">
        <f>(SUM('1.  LRAMVA Summary'!G$54:G$71)+SUM('1.  LRAMVA Summary'!G$72:G$73)*(MONTH($E109)-1)/12)*$H109</f>
        <v>0</v>
      </c>
      <c r="M109" s="230">
        <f>(SUM('1.  LRAMVA Summary'!H$54:H$71)+SUM('1.  LRAMVA Summary'!H$72:H$73)*(MONTH($E109)-1)/12)*$H109</f>
        <v>30.475745967287352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113.05084214501012</v>
      </c>
    </row>
    <row r="110" spans="2:23" s="238" customFormat="1">
      <c r="B110" s="237"/>
      <c r="E110" s="214">
        <v>42887</v>
      </c>
      <c r="F110" s="214" t="s">
        <v>184</v>
      </c>
      <c r="G110" s="215" t="s">
        <v>66</v>
      </c>
      <c r="H110" s="240">
        <f t="shared" si="50"/>
        <v>9.1666666666666665E-4</v>
      </c>
      <c r="I110" s="230">
        <f>(SUM('1.  LRAMVA Summary'!D$54:D$71)+SUM('1.  LRAMVA Summary'!D$72:D$73)*(MONTH($E110)-1)/12)*$H110</f>
        <v>24.265296122466527</v>
      </c>
      <c r="J110" s="230">
        <f>(SUM('1.  LRAMVA Summary'!E$54:E$71)+SUM('1.  LRAMVA Summary'!E$72:E$73)*(MONTH($E110)-1)/12)*$H110</f>
        <v>23.342283254118161</v>
      </c>
      <c r="K110" s="230">
        <f>(SUM('1.  LRAMVA Summary'!F$54:F$71)+SUM('1.  LRAMVA Summary'!F$72:F$73)*(MONTH($E110)-1)/12)*$H110</f>
        <v>40.745500430317669</v>
      </c>
      <c r="L110" s="230">
        <f>(SUM('1.  LRAMVA Summary'!G$54:G$71)+SUM('1.  LRAMVA Summary'!G$72:G$73)*(MONTH($E110)-1)/12)*$H110</f>
        <v>0</v>
      </c>
      <c r="M110" s="230">
        <f>(SUM('1.  LRAMVA Summary'!H$54:H$71)+SUM('1.  LRAMVA Summary'!H$72:H$73)*(MONTH($E110)-1)/12)*$H110</f>
        <v>32.970837966402129</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121.32391777330449</v>
      </c>
    </row>
    <row r="111" spans="2:23" s="9" customFormat="1">
      <c r="B111" s="66"/>
      <c r="E111" s="214">
        <v>42917</v>
      </c>
      <c r="F111" s="214" t="s">
        <v>184</v>
      </c>
      <c r="G111" s="215" t="s">
        <v>68</v>
      </c>
      <c r="H111" s="240">
        <f>$C$41/12</f>
        <v>9.1666666666666665E-4</v>
      </c>
      <c r="I111" s="230">
        <f>(SUM('1.  LRAMVA Summary'!D$54:D$71)+SUM('1.  LRAMVA Summary'!D$72:D$73)*(MONTH($E111)-1)/12)*$H111</f>
        <v>25.933146840514596</v>
      </c>
      <c r="J111" s="230">
        <f>(SUM('1.  LRAMVA Summary'!E$54:E$71)+SUM('1.  LRAMVA Summary'!E$72:E$73)*(MONTH($E111)-1)/12)*$H111</f>
        <v>25.027577097532497</v>
      </c>
      <c r="K111" s="230">
        <f>(SUM('1.  LRAMVA Summary'!F$54:F$71)+SUM('1.  LRAMVA Summary'!F$72:F$73)*(MONTH($E111)-1)/12)*$H111</f>
        <v>43.170339498034856</v>
      </c>
      <c r="L111" s="230">
        <f>(SUM('1.  LRAMVA Summary'!G$54:G$71)+SUM('1.  LRAMVA Summary'!G$72:G$73)*(MONTH($E111)-1)/12)*$H111</f>
        <v>0</v>
      </c>
      <c r="M111" s="230">
        <f>(SUM('1.  LRAMVA Summary'!H$54:H$71)+SUM('1.  LRAMVA Summary'!H$72:H$73)*(MONTH($E111)-1)/12)*$H111</f>
        <v>35.465929965516914</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129.59699340159887</v>
      </c>
    </row>
    <row r="112" spans="2:23" s="9" customFormat="1">
      <c r="B112" s="66"/>
      <c r="E112" s="214">
        <v>42948</v>
      </c>
      <c r="F112" s="214" t="s">
        <v>184</v>
      </c>
      <c r="G112" s="215" t="s">
        <v>68</v>
      </c>
      <c r="H112" s="240">
        <f t="shared" ref="H112:H113" si="51">$C$41/12</f>
        <v>9.1666666666666665E-4</v>
      </c>
      <c r="I112" s="230">
        <f>(SUM('1.  LRAMVA Summary'!D$54:D$71)+SUM('1.  LRAMVA Summary'!D$72:D$73)*(MONTH($E112)-1)/12)*$H112</f>
        <v>27.600997558562668</v>
      </c>
      <c r="J112" s="230">
        <f>(SUM('1.  LRAMVA Summary'!E$54:E$71)+SUM('1.  LRAMVA Summary'!E$72:E$73)*(MONTH($E112)-1)/12)*$H112</f>
        <v>26.712870940946832</v>
      </c>
      <c r="K112" s="230">
        <f>(SUM('1.  LRAMVA Summary'!F$54:F$71)+SUM('1.  LRAMVA Summary'!F$72:F$73)*(MONTH($E112)-1)/12)*$H112</f>
        <v>45.595178565752043</v>
      </c>
      <c r="L112" s="230">
        <f>(SUM('1.  LRAMVA Summary'!G$54:G$71)+SUM('1.  LRAMVA Summary'!G$72:G$73)*(MONTH($E112)-1)/12)*$H112</f>
        <v>0</v>
      </c>
      <c r="M112" s="230">
        <f>(SUM('1.  LRAMVA Summary'!H$54:H$71)+SUM('1.  LRAMVA Summary'!H$72:H$73)*(MONTH($E112)-1)/12)*$H112</f>
        <v>37.961021964631698</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137.87006902989324</v>
      </c>
    </row>
    <row r="113" spans="2:23" s="9" customFormat="1">
      <c r="B113" s="66"/>
      <c r="E113" s="214">
        <v>42979</v>
      </c>
      <c r="F113" s="214" t="s">
        <v>184</v>
      </c>
      <c r="G113" s="215" t="s">
        <v>68</v>
      </c>
      <c r="H113" s="240">
        <f t="shared" si="51"/>
        <v>9.1666666666666665E-4</v>
      </c>
      <c r="I113" s="230">
        <f>(SUM('1.  LRAMVA Summary'!D$54:D$71)+SUM('1.  LRAMVA Summary'!D$72:D$73)*(MONTH($E113)-1)/12)*$H113</f>
        <v>29.268848276610733</v>
      </c>
      <c r="J113" s="230">
        <f>(SUM('1.  LRAMVA Summary'!E$54:E$71)+SUM('1.  LRAMVA Summary'!E$72:E$73)*(MONTH($E113)-1)/12)*$H113</f>
        <v>28.398164784361164</v>
      </c>
      <c r="K113" s="230">
        <f>(SUM('1.  LRAMVA Summary'!F$54:F$71)+SUM('1.  LRAMVA Summary'!F$72:F$73)*(MONTH($E113)-1)/12)*$H113</f>
        <v>48.020017633469223</v>
      </c>
      <c r="L113" s="230">
        <f>(SUM('1.  LRAMVA Summary'!G$54:G$71)+SUM('1.  LRAMVA Summary'!G$72:G$73)*(MONTH($E113)-1)/12)*$H113</f>
        <v>0</v>
      </c>
      <c r="M113" s="230">
        <f>(SUM('1.  LRAMVA Summary'!H$54:H$71)+SUM('1.  LRAMVA Summary'!H$72:H$73)*(MONTH($E113)-1)/12)*$H113</f>
        <v>40.456113963746489</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146.14314465818762</v>
      </c>
    </row>
    <row r="114" spans="2:23" s="9" customFormat="1">
      <c r="B114" s="66"/>
      <c r="E114" s="214">
        <v>43009</v>
      </c>
      <c r="F114" s="214" t="s">
        <v>184</v>
      </c>
      <c r="G114" s="215" t="s">
        <v>69</v>
      </c>
      <c r="H114" s="240">
        <f>$C$42/12</f>
        <v>1.25E-3</v>
      </c>
      <c r="I114" s="230">
        <f>(SUM('1.  LRAMVA Summary'!D$54:D$71)+SUM('1.  LRAMVA Summary'!D$72:D$73)*(MONTH($E114)-1)/12)*$H114</f>
        <v>42.186407719989276</v>
      </c>
      <c r="J114" s="230">
        <f>(SUM('1.  LRAMVA Summary'!E$54:E$71)+SUM('1.  LRAMVA Summary'!E$72:E$73)*(MONTH($E114)-1)/12)*$H114</f>
        <v>41.022898128784774</v>
      </c>
      <c r="K114" s="230">
        <f>(SUM('1.  LRAMVA Summary'!F$54:F$71)+SUM('1.  LRAMVA Summary'!F$72:F$73)*(MONTH($E114)-1)/12)*$H114</f>
        <v>68.788440956163299</v>
      </c>
      <c r="L114" s="230">
        <f>(SUM('1.  LRAMVA Summary'!G$54:G$71)+SUM('1.  LRAMVA Summary'!G$72:G$73)*(MONTH($E114)-1)/12)*$H114</f>
        <v>0</v>
      </c>
      <c r="M114" s="230">
        <f>(SUM('1.  LRAMVA Summary'!H$54:H$71)+SUM('1.  LRAMVA Summary'!H$72:H$73)*(MONTH($E114)-1)/12)*$H114</f>
        <v>58.569826312992639</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210.56757311792998</v>
      </c>
    </row>
    <row r="115" spans="2:23" s="9" customFormat="1">
      <c r="B115" s="66"/>
      <c r="E115" s="214">
        <v>43040</v>
      </c>
      <c r="F115" s="214" t="s">
        <v>184</v>
      </c>
      <c r="G115" s="215" t="s">
        <v>69</v>
      </c>
      <c r="H115" s="240">
        <f t="shared" ref="H115:H116" si="52">$C$42/12</f>
        <v>1.25E-3</v>
      </c>
      <c r="I115" s="230">
        <f>(SUM('1.  LRAMVA Summary'!D$54:D$71)+SUM('1.  LRAMVA Summary'!D$72:D$73)*(MONTH($E115)-1)/12)*$H115</f>
        <v>44.460749608236647</v>
      </c>
      <c r="J115" s="230">
        <f>(SUM('1.  LRAMVA Summary'!E$54:E$71)+SUM('1.  LRAMVA Summary'!E$72:E$73)*(MONTH($E115)-1)/12)*$H115</f>
        <v>43.321026097077045</v>
      </c>
      <c r="K115" s="230">
        <f>(SUM('1.  LRAMVA Summary'!F$54:F$71)+SUM('1.  LRAMVA Summary'!F$72:F$73)*(MONTH($E115)-1)/12)*$H115</f>
        <v>72.095039684868553</v>
      </c>
      <c r="L115" s="230">
        <f>(SUM('1.  LRAMVA Summary'!G$54:G$71)+SUM('1.  LRAMVA Summary'!G$72:G$73)*(MONTH($E115)-1)/12)*$H115</f>
        <v>0</v>
      </c>
      <c r="M115" s="230">
        <f>(SUM('1.  LRAMVA Summary'!H$54:H$71)+SUM('1.  LRAMVA Summary'!H$72:H$73)*(MONTH($E115)-1)/12)*$H115</f>
        <v>61.972224493603697</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221.84903988378593</v>
      </c>
    </row>
    <row r="116" spans="2:23" s="9" customFormat="1">
      <c r="B116" s="66"/>
      <c r="E116" s="214">
        <v>43070</v>
      </c>
      <c r="F116" s="214" t="s">
        <v>184</v>
      </c>
      <c r="G116" s="215" t="s">
        <v>69</v>
      </c>
      <c r="H116" s="240">
        <f t="shared" si="52"/>
        <v>1.25E-3</v>
      </c>
      <c r="I116" s="230">
        <f>(SUM('1.  LRAMVA Summary'!D$54:D$71)+SUM('1.  LRAMVA Summary'!D$72:D$73)*(MONTH($E116)-1)/12)*$H116</f>
        <v>46.735091496484017</v>
      </c>
      <c r="J116" s="230">
        <f>(SUM('1.  LRAMVA Summary'!E$54:E$71)+SUM('1.  LRAMVA Summary'!E$72:E$73)*(MONTH($E116)-1)/12)*$H116</f>
        <v>45.619154065369329</v>
      </c>
      <c r="K116" s="230">
        <f>(SUM('1.  LRAMVA Summary'!F$54:F$71)+SUM('1.  LRAMVA Summary'!F$72:F$73)*(MONTH($E116)-1)/12)*$H116</f>
        <v>75.401638413573806</v>
      </c>
      <c r="L116" s="230">
        <f>(SUM('1.  LRAMVA Summary'!G$54:G$71)+SUM('1.  LRAMVA Summary'!G$72:G$73)*(MONTH($E116)-1)/12)*$H116</f>
        <v>0</v>
      </c>
      <c r="M116" s="230">
        <f>(SUM('1.  LRAMVA Summary'!H$54:H$71)+SUM('1.  LRAMVA Summary'!H$72:H$73)*(MONTH($E116)-1)/12)*$H116</f>
        <v>65.374622674214777</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233.13050664964192</v>
      </c>
    </row>
    <row r="117" spans="2:23" s="9" customFormat="1" ht="15.75" thickBot="1">
      <c r="B117" s="66"/>
      <c r="E117" s="216" t="s">
        <v>467</v>
      </c>
      <c r="F117" s="216"/>
      <c r="G117" s="217"/>
      <c r="H117" s="218"/>
      <c r="I117" s="219">
        <f>SUM(I104:I116)</f>
        <v>424.35249139172009</v>
      </c>
      <c r="J117" s="219">
        <f>SUM(J104:J116)</f>
        <v>406.9129601913213</v>
      </c>
      <c r="K117" s="219">
        <f t="shared" ref="K117:O117" si="53">SUM(K104:K116)</f>
        <v>718.58824932253458</v>
      </c>
      <c r="L117" s="219">
        <f t="shared" si="53"/>
        <v>0</v>
      </c>
      <c r="M117" s="219">
        <f t="shared" si="53"/>
        <v>572.92296602595252</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2122.7766669315283</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424.35249139172009</v>
      </c>
      <c r="J119" s="228">
        <f t="shared" ref="J119" si="55">J117+J118</f>
        <v>406.9129601913213</v>
      </c>
      <c r="K119" s="228">
        <f t="shared" ref="K119" si="56">K117+K118</f>
        <v>718.58824932253458</v>
      </c>
      <c r="L119" s="228">
        <f t="shared" ref="L119" si="57">L117+L118</f>
        <v>0</v>
      </c>
      <c r="M119" s="228">
        <f t="shared" ref="M119" si="58">M117+M118</f>
        <v>572.92296602595252</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2122.7766669315283</v>
      </c>
    </row>
    <row r="120" spans="2:23" s="9" customFormat="1">
      <c r="B120" s="66"/>
      <c r="E120" s="214">
        <v>43101</v>
      </c>
      <c r="F120" s="214" t="s">
        <v>185</v>
      </c>
      <c r="G120" s="215" t="s">
        <v>65</v>
      </c>
      <c r="H120" s="240">
        <f>$C$43/12</f>
        <v>1.25E-3</v>
      </c>
      <c r="I120" s="230">
        <f>(SUM('1.  LRAMVA Summary'!D$54:D$74)+SUM('1.  LRAMVA Summary'!D$75:D$76)*(MONTH($E120)-1)/12)*$H120</f>
        <v>49.009433384731395</v>
      </c>
      <c r="J120" s="230">
        <f>(SUM('1.  LRAMVA Summary'!E$54:E$74)+SUM('1.  LRAMVA Summary'!E$75:E$76)*(MONTH($E120)-1)/12)*$H120</f>
        <v>47.917282033661607</v>
      </c>
      <c r="K120" s="230">
        <f>(SUM('1.  LRAMVA Summary'!F$54:F$74)+SUM('1.  LRAMVA Summary'!F$75:F$76)*(MONTH($E120)-1)/12)*$H120</f>
        <v>78.70823714227906</v>
      </c>
      <c r="L120" s="230">
        <f>(SUM('1.  LRAMVA Summary'!G$54:G$74)+SUM('1.  LRAMVA Summary'!G$75:G$76)*(MONTH($E120)-1)/12)*$H120</f>
        <v>0</v>
      </c>
      <c r="M120" s="230">
        <f>(SUM('1.  LRAMVA Summary'!H$54:H$74)+SUM('1.  LRAMVA Summary'!H$75:H$76)*(MONTH($E120)-1)/12)*$H120</f>
        <v>68.777020854825849</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244.4119734154979</v>
      </c>
    </row>
    <row r="121" spans="2:23" s="9" customFormat="1">
      <c r="B121" s="66"/>
      <c r="E121" s="214">
        <v>43132</v>
      </c>
      <c r="F121" s="214" t="s">
        <v>185</v>
      </c>
      <c r="G121" s="215" t="s">
        <v>65</v>
      </c>
      <c r="H121" s="240">
        <f t="shared" ref="H121:H122" si="62">$C$43/12</f>
        <v>1.25E-3</v>
      </c>
      <c r="I121" s="230">
        <f>(SUM('1.  LRAMVA Summary'!D$54:D$74)+SUM('1.  LRAMVA Summary'!D$75:D$76)*(MONTH($E121)-1)/12)*$H121</f>
        <v>49.009433384731395</v>
      </c>
      <c r="J121" s="230">
        <f>(SUM('1.  LRAMVA Summary'!E$54:E$74)+SUM('1.  LRAMVA Summary'!E$75:E$76)*(MONTH($E121)-1)/12)*$H121</f>
        <v>47.917282033661607</v>
      </c>
      <c r="K121" s="230">
        <f>(SUM('1.  LRAMVA Summary'!F$54:F$74)+SUM('1.  LRAMVA Summary'!F$75:F$76)*(MONTH($E121)-1)/12)*$H121</f>
        <v>78.70823714227906</v>
      </c>
      <c r="L121" s="230">
        <f>(SUM('1.  LRAMVA Summary'!G$54:G$74)+SUM('1.  LRAMVA Summary'!G$75:G$76)*(MONTH($E121)-1)/12)*$H121</f>
        <v>0</v>
      </c>
      <c r="M121" s="230">
        <f>(SUM('1.  LRAMVA Summary'!H$54:H$74)+SUM('1.  LRAMVA Summary'!H$75:H$76)*(MONTH($E121)-1)/12)*$H121</f>
        <v>68.777020854825849</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244.4119734154979</v>
      </c>
    </row>
    <row r="122" spans="2:23" s="9" customFormat="1">
      <c r="B122" s="66"/>
      <c r="E122" s="214">
        <v>43160</v>
      </c>
      <c r="F122" s="214" t="s">
        <v>185</v>
      </c>
      <c r="G122" s="215" t="s">
        <v>65</v>
      </c>
      <c r="H122" s="240">
        <f t="shared" si="62"/>
        <v>1.25E-3</v>
      </c>
      <c r="I122" s="230">
        <f>(SUM('1.  LRAMVA Summary'!D$54:D$74)+SUM('1.  LRAMVA Summary'!D$75:D$76)*(MONTH($E122)-1)/12)*$H122</f>
        <v>49.009433384731395</v>
      </c>
      <c r="J122" s="230">
        <f>(SUM('1.  LRAMVA Summary'!E$54:E$74)+SUM('1.  LRAMVA Summary'!E$75:E$76)*(MONTH($E122)-1)/12)*$H122</f>
        <v>47.917282033661607</v>
      </c>
      <c r="K122" s="230">
        <f>(SUM('1.  LRAMVA Summary'!F$54:F$74)+SUM('1.  LRAMVA Summary'!F$75:F$76)*(MONTH($E122)-1)/12)*$H122</f>
        <v>78.70823714227906</v>
      </c>
      <c r="L122" s="230">
        <f>(SUM('1.  LRAMVA Summary'!G$54:G$74)+SUM('1.  LRAMVA Summary'!G$75:G$76)*(MONTH($E122)-1)/12)*$H122</f>
        <v>0</v>
      </c>
      <c r="M122" s="230">
        <f>(SUM('1.  LRAMVA Summary'!H$54:H$74)+SUM('1.  LRAMVA Summary'!H$75:H$76)*(MONTH($E122)-1)/12)*$H122</f>
        <v>68.777020854825849</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244.4119734154979</v>
      </c>
    </row>
    <row r="123" spans="2:23" s="8" customFormat="1">
      <c r="B123" s="239"/>
      <c r="E123" s="214">
        <v>43191</v>
      </c>
      <c r="F123" s="214" t="s">
        <v>185</v>
      </c>
      <c r="G123" s="215" t="s">
        <v>66</v>
      </c>
      <c r="H123" s="240">
        <f>$C$44/12</f>
        <v>1.575E-3</v>
      </c>
      <c r="I123" s="230">
        <f>(SUM('1.  LRAMVA Summary'!D$54:D$74)+SUM('1.  LRAMVA Summary'!D$75:D$76)*(MONTH($E123)-1)/12)*$H123</f>
        <v>61.751886064761557</v>
      </c>
      <c r="J123" s="230">
        <f>(SUM('1.  LRAMVA Summary'!E$54:E$74)+SUM('1.  LRAMVA Summary'!E$75:E$76)*(MONTH($E123)-1)/12)*$H123</f>
        <v>60.37577536241362</v>
      </c>
      <c r="K123" s="230">
        <f>(SUM('1.  LRAMVA Summary'!F$54:F$74)+SUM('1.  LRAMVA Summary'!F$75:F$76)*(MONTH($E123)-1)/12)*$H123</f>
        <v>99.172378799271613</v>
      </c>
      <c r="L123" s="230">
        <f>(SUM('1.  LRAMVA Summary'!G$54:G$74)+SUM('1.  LRAMVA Summary'!G$75:G$76)*(MONTH($E123)-1)/12)*$H123</f>
        <v>0</v>
      </c>
      <c r="M123" s="230">
        <f>(SUM('1.  LRAMVA Summary'!H$54:H$74)+SUM('1.  LRAMVA Summary'!H$75:H$76)*(MONTH($E123)-1)/12)*$H123</f>
        <v>86.659046277080563</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307.95908650352737</v>
      </c>
    </row>
    <row r="124" spans="2:23" s="9" customFormat="1">
      <c r="B124" s="66"/>
      <c r="E124" s="214">
        <v>43221</v>
      </c>
      <c r="F124" s="214" t="s">
        <v>185</v>
      </c>
      <c r="G124" s="215" t="s">
        <v>66</v>
      </c>
      <c r="H124" s="240">
        <f t="shared" ref="H124:H125" si="64">$C$44/12</f>
        <v>1.575E-3</v>
      </c>
      <c r="I124" s="230">
        <f>(SUM('1.  LRAMVA Summary'!D$54:D$74)+SUM('1.  LRAMVA Summary'!D$75:D$76)*(MONTH($E124)-1)/12)*$H124</f>
        <v>61.751886064761557</v>
      </c>
      <c r="J124" s="230">
        <f>(SUM('1.  LRAMVA Summary'!E$54:E$74)+SUM('1.  LRAMVA Summary'!E$75:E$76)*(MONTH($E124)-1)/12)*$H124</f>
        <v>60.37577536241362</v>
      </c>
      <c r="K124" s="230">
        <f>(SUM('1.  LRAMVA Summary'!F$54:F$74)+SUM('1.  LRAMVA Summary'!F$75:F$76)*(MONTH($E124)-1)/12)*$H124</f>
        <v>99.172378799271613</v>
      </c>
      <c r="L124" s="230">
        <f>(SUM('1.  LRAMVA Summary'!G$54:G$74)+SUM('1.  LRAMVA Summary'!G$75:G$76)*(MONTH($E124)-1)/12)*$H124</f>
        <v>0</v>
      </c>
      <c r="M124" s="230">
        <f>(SUM('1.  LRAMVA Summary'!H$54:H$74)+SUM('1.  LRAMVA Summary'!H$75:H$76)*(MONTH($E124)-1)/12)*$H124</f>
        <v>86.659046277080563</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307.95908650352737</v>
      </c>
    </row>
    <row r="125" spans="2:23" s="238" customFormat="1">
      <c r="B125" s="237"/>
      <c r="E125" s="214">
        <v>43252</v>
      </c>
      <c r="F125" s="214" t="s">
        <v>185</v>
      </c>
      <c r="G125" s="215" t="s">
        <v>66</v>
      </c>
      <c r="H125" s="240">
        <f t="shared" si="64"/>
        <v>1.575E-3</v>
      </c>
      <c r="I125" s="230">
        <f>(SUM('1.  LRAMVA Summary'!D$54:D$74)+SUM('1.  LRAMVA Summary'!D$75:D$76)*(MONTH($E125)-1)/12)*$H125</f>
        <v>61.751886064761557</v>
      </c>
      <c r="J125" s="230">
        <f>(SUM('1.  LRAMVA Summary'!E$54:E$74)+SUM('1.  LRAMVA Summary'!E$75:E$76)*(MONTH($E125)-1)/12)*$H125</f>
        <v>60.37577536241362</v>
      </c>
      <c r="K125" s="230">
        <f>(SUM('1.  LRAMVA Summary'!F$54:F$74)+SUM('1.  LRAMVA Summary'!F$75:F$76)*(MONTH($E125)-1)/12)*$H125</f>
        <v>99.172378799271613</v>
      </c>
      <c r="L125" s="230">
        <f>(SUM('1.  LRAMVA Summary'!G$54:G$74)+SUM('1.  LRAMVA Summary'!G$75:G$76)*(MONTH($E125)-1)/12)*$H125</f>
        <v>0</v>
      </c>
      <c r="M125" s="230">
        <f>(SUM('1.  LRAMVA Summary'!H$54:H$74)+SUM('1.  LRAMVA Summary'!H$75:H$76)*(MONTH($E125)-1)/12)*$H125</f>
        <v>86.659046277080563</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307.95908650352737</v>
      </c>
    </row>
    <row r="126" spans="2:23" s="9" customFormat="1">
      <c r="B126" s="66"/>
      <c r="E126" s="214">
        <v>43282</v>
      </c>
      <c r="F126" s="214" t="s">
        <v>185</v>
      </c>
      <c r="G126" s="215" t="s">
        <v>68</v>
      </c>
      <c r="H126" s="240">
        <f>$C$45/12</f>
        <v>1.575E-3</v>
      </c>
      <c r="I126" s="230">
        <f>(SUM('1.  LRAMVA Summary'!D$54:D$74)+SUM('1.  LRAMVA Summary'!D$75:D$76)*(MONTH($E126)-1)/12)*$H126</f>
        <v>61.751886064761557</v>
      </c>
      <c r="J126" s="230">
        <f>(SUM('1.  LRAMVA Summary'!E$54:E$74)+SUM('1.  LRAMVA Summary'!E$75:E$76)*(MONTH($E126)-1)/12)*$H126</f>
        <v>60.37577536241362</v>
      </c>
      <c r="K126" s="230">
        <f>(SUM('1.  LRAMVA Summary'!F$54:F$74)+SUM('1.  LRAMVA Summary'!F$75:F$76)*(MONTH($E126)-1)/12)*$H126</f>
        <v>99.172378799271613</v>
      </c>
      <c r="L126" s="230">
        <f>(SUM('1.  LRAMVA Summary'!G$54:G$74)+SUM('1.  LRAMVA Summary'!G$75:G$76)*(MONTH($E126)-1)/12)*$H126</f>
        <v>0</v>
      </c>
      <c r="M126" s="230">
        <f>(SUM('1.  LRAMVA Summary'!H$54:H$74)+SUM('1.  LRAMVA Summary'!H$75:H$76)*(MONTH($E126)-1)/12)*$H126</f>
        <v>86.659046277080563</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307.95908650352737</v>
      </c>
    </row>
    <row r="127" spans="2:23" s="9" customFormat="1">
      <c r="B127" s="66"/>
      <c r="E127" s="214">
        <v>43313</v>
      </c>
      <c r="F127" s="214" t="s">
        <v>185</v>
      </c>
      <c r="G127" s="215" t="s">
        <v>68</v>
      </c>
      <c r="H127" s="240">
        <f t="shared" ref="H127:H128" si="65">$C$45/12</f>
        <v>1.575E-3</v>
      </c>
      <c r="I127" s="230">
        <f>(SUM('1.  LRAMVA Summary'!D$54:D$74)+SUM('1.  LRAMVA Summary'!D$75:D$76)*(MONTH($E127)-1)/12)*$H127</f>
        <v>61.751886064761557</v>
      </c>
      <c r="J127" s="230">
        <f>(SUM('1.  LRAMVA Summary'!E$54:E$74)+SUM('1.  LRAMVA Summary'!E$75:E$76)*(MONTH($E127)-1)/12)*$H127</f>
        <v>60.37577536241362</v>
      </c>
      <c r="K127" s="230">
        <f>(SUM('1.  LRAMVA Summary'!F$54:F$74)+SUM('1.  LRAMVA Summary'!F$75:F$76)*(MONTH($E127)-1)/12)*$H127</f>
        <v>99.172378799271613</v>
      </c>
      <c r="L127" s="230">
        <f>(SUM('1.  LRAMVA Summary'!G$54:G$74)+SUM('1.  LRAMVA Summary'!G$75:G$76)*(MONTH($E127)-1)/12)*$H127</f>
        <v>0</v>
      </c>
      <c r="M127" s="230">
        <f>(SUM('1.  LRAMVA Summary'!H$54:H$74)+SUM('1.  LRAMVA Summary'!H$75:H$76)*(MONTH($E127)-1)/12)*$H127</f>
        <v>86.659046277080563</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307.95908650352737</v>
      </c>
    </row>
    <row r="128" spans="2:23" s="9" customFormat="1">
      <c r="B128" s="66"/>
      <c r="E128" s="214">
        <v>43344</v>
      </c>
      <c r="F128" s="214" t="s">
        <v>185</v>
      </c>
      <c r="G128" s="215" t="s">
        <v>68</v>
      </c>
      <c r="H128" s="240">
        <f t="shared" si="65"/>
        <v>1.575E-3</v>
      </c>
      <c r="I128" s="230">
        <f>(SUM('1.  LRAMVA Summary'!D$54:D$74)+SUM('1.  LRAMVA Summary'!D$75:D$76)*(MONTH($E128)-1)/12)*$H128</f>
        <v>61.751886064761557</v>
      </c>
      <c r="J128" s="230">
        <f>(SUM('1.  LRAMVA Summary'!E$54:E$74)+SUM('1.  LRAMVA Summary'!E$75:E$76)*(MONTH($E128)-1)/12)*$H128</f>
        <v>60.37577536241362</v>
      </c>
      <c r="K128" s="230">
        <f>(SUM('1.  LRAMVA Summary'!F$54:F$74)+SUM('1.  LRAMVA Summary'!F$75:F$76)*(MONTH($E128)-1)/12)*$H128</f>
        <v>99.172378799271613</v>
      </c>
      <c r="L128" s="230">
        <f>(SUM('1.  LRAMVA Summary'!G$54:G$74)+SUM('1.  LRAMVA Summary'!G$75:G$76)*(MONTH($E128)-1)/12)*$H128</f>
        <v>0</v>
      </c>
      <c r="M128" s="230">
        <f>(SUM('1.  LRAMVA Summary'!H$54:H$74)+SUM('1.  LRAMVA Summary'!H$75:H$76)*(MONTH($E128)-1)/12)*$H128</f>
        <v>86.659046277080563</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307.95908650352737</v>
      </c>
    </row>
    <row r="129" spans="2:23" s="9" customFormat="1">
      <c r="B129" s="66"/>
      <c r="E129" s="214">
        <v>43374</v>
      </c>
      <c r="F129" s="214" t="s">
        <v>185</v>
      </c>
      <c r="G129" s="215" t="s">
        <v>69</v>
      </c>
      <c r="H129" s="240">
        <f>$C$46/12</f>
        <v>1.575E-3</v>
      </c>
      <c r="I129" s="230">
        <f>(SUM('1.  LRAMVA Summary'!D$54:D$74)+SUM('1.  LRAMVA Summary'!D$75:D$76)*(MONTH($E129)-1)/12)*$H129</f>
        <v>61.751886064761557</v>
      </c>
      <c r="J129" s="230">
        <f>(SUM('1.  LRAMVA Summary'!E$54:E$74)+SUM('1.  LRAMVA Summary'!E$75:E$76)*(MONTH($E129)-1)/12)*$H129</f>
        <v>60.37577536241362</v>
      </c>
      <c r="K129" s="230">
        <f>(SUM('1.  LRAMVA Summary'!F$54:F$74)+SUM('1.  LRAMVA Summary'!F$75:F$76)*(MONTH($E129)-1)/12)*$H129</f>
        <v>99.172378799271613</v>
      </c>
      <c r="L129" s="230">
        <f>(SUM('1.  LRAMVA Summary'!G$54:G$74)+SUM('1.  LRAMVA Summary'!G$75:G$76)*(MONTH($E129)-1)/12)*$H129</f>
        <v>0</v>
      </c>
      <c r="M129" s="230">
        <f>(SUM('1.  LRAMVA Summary'!H$54:H$74)+SUM('1.  LRAMVA Summary'!H$75:H$76)*(MONTH($E129)-1)/12)*$H129</f>
        <v>86.659046277080563</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307.95908650352737</v>
      </c>
    </row>
    <row r="130" spans="2:23" s="9" customFormat="1">
      <c r="B130" s="66"/>
      <c r="E130" s="214">
        <v>43405</v>
      </c>
      <c r="F130" s="214" t="s">
        <v>185</v>
      </c>
      <c r="G130" s="215" t="s">
        <v>69</v>
      </c>
      <c r="H130" s="240">
        <f t="shared" ref="H130:H131" si="66">$C$46/12</f>
        <v>1.575E-3</v>
      </c>
      <c r="I130" s="230">
        <f>(SUM('1.  LRAMVA Summary'!D$54:D$74)+SUM('1.  LRAMVA Summary'!D$75:D$76)*(MONTH($E130)-1)/12)*$H130</f>
        <v>61.751886064761557</v>
      </c>
      <c r="J130" s="230">
        <f>(SUM('1.  LRAMVA Summary'!E$54:E$74)+SUM('1.  LRAMVA Summary'!E$75:E$76)*(MONTH($E130)-1)/12)*$H130</f>
        <v>60.37577536241362</v>
      </c>
      <c r="K130" s="230">
        <f>(SUM('1.  LRAMVA Summary'!F$54:F$74)+SUM('1.  LRAMVA Summary'!F$75:F$76)*(MONTH($E130)-1)/12)*$H130</f>
        <v>99.172378799271613</v>
      </c>
      <c r="L130" s="230">
        <f>(SUM('1.  LRAMVA Summary'!G$54:G$74)+SUM('1.  LRAMVA Summary'!G$75:G$76)*(MONTH($E130)-1)/12)*$H130</f>
        <v>0</v>
      </c>
      <c r="M130" s="230">
        <f>(SUM('1.  LRAMVA Summary'!H$54:H$74)+SUM('1.  LRAMVA Summary'!H$75:H$76)*(MONTH($E130)-1)/12)*$H130</f>
        <v>86.659046277080563</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307.95908650352737</v>
      </c>
    </row>
    <row r="131" spans="2:23" s="9" customFormat="1">
      <c r="B131" s="66"/>
      <c r="E131" s="214">
        <v>43435</v>
      </c>
      <c r="F131" s="214" t="s">
        <v>185</v>
      </c>
      <c r="G131" s="215" t="s">
        <v>69</v>
      </c>
      <c r="H131" s="240">
        <f t="shared" si="66"/>
        <v>1.575E-3</v>
      </c>
      <c r="I131" s="230">
        <f>(SUM('1.  LRAMVA Summary'!D$54:D$74)+SUM('1.  LRAMVA Summary'!D$75:D$76)*(MONTH($E131)-1)/12)*$H131</f>
        <v>61.751886064761557</v>
      </c>
      <c r="J131" s="230">
        <f>(SUM('1.  LRAMVA Summary'!E$54:E$74)+SUM('1.  LRAMVA Summary'!E$75:E$76)*(MONTH($E131)-1)/12)*$H131</f>
        <v>60.37577536241362</v>
      </c>
      <c r="K131" s="230">
        <f>(SUM('1.  LRAMVA Summary'!F$54:F$74)+SUM('1.  LRAMVA Summary'!F$75:F$76)*(MONTH($E131)-1)/12)*$H131</f>
        <v>99.172378799271613</v>
      </c>
      <c r="L131" s="230">
        <f>(SUM('1.  LRAMVA Summary'!G$54:G$74)+SUM('1.  LRAMVA Summary'!G$75:G$76)*(MONTH($E131)-1)/12)*$H131</f>
        <v>0</v>
      </c>
      <c r="M131" s="230">
        <f>(SUM('1.  LRAMVA Summary'!H$54:H$74)+SUM('1.  LRAMVA Summary'!H$75:H$76)*(MONTH($E131)-1)/12)*$H131</f>
        <v>86.659046277080563</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307.95908650352737</v>
      </c>
    </row>
    <row r="132" spans="2:23" s="9" customFormat="1" ht="15.75" thickBot="1">
      <c r="B132" s="66"/>
      <c r="E132" s="216" t="s">
        <v>468</v>
      </c>
      <c r="F132" s="216"/>
      <c r="G132" s="217"/>
      <c r="H132" s="218"/>
      <c r="I132" s="219">
        <f>SUM(I119:I131)</f>
        <v>1127.1477661287686</v>
      </c>
      <c r="J132" s="219">
        <f>SUM(J119:J131)</f>
        <v>1094.0467845540286</v>
      </c>
      <c r="K132" s="219">
        <f t="shared" ref="K132:O132" si="67">SUM(K119:K131)</f>
        <v>1847.2643699428165</v>
      </c>
      <c r="L132" s="219">
        <f t="shared" si="67"/>
        <v>0</v>
      </c>
      <c r="M132" s="219">
        <f t="shared" si="67"/>
        <v>1559.1854450841547</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5627.644365709767</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1127.1477661287686</v>
      </c>
      <c r="J134" s="228">
        <f t="shared" ref="J134" si="69">J132+J133</f>
        <v>1094.0467845540286</v>
      </c>
      <c r="K134" s="228">
        <f t="shared" ref="K134" si="70">K132+K133</f>
        <v>1847.2643699428165</v>
      </c>
      <c r="L134" s="228">
        <f t="shared" ref="L134" si="71">L132+L133</f>
        <v>0</v>
      </c>
      <c r="M134" s="228">
        <f t="shared" ref="M134" si="72">M132+M133</f>
        <v>1559.1854450841547</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5627.644365709767</v>
      </c>
    </row>
    <row r="135" spans="2:23" s="9" customFormat="1">
      <c r="B135" s="66"/>
      <c r="E135" s="214">
        <v>43466</v>
      </c>
      <c r="F135" s="214" t="s">
        <v>186</v>
      </c>
      <c r="G135" s="215" t="s">
        <v>65</v>
      </c>
      <c r="H135" s="240">
        <f>$C$47/12</f>
        <v>1.575E-3</v>
      </c>
      <c r="I135" s="230">
        <f>(SUM('1.  LRAMVA Summary'!D$54:D$77)+SUM('1.  LRAMVA Summary'!D$78:D$79)*(MONTH($E135)-1)/12)*$H135</f>
        <v>61.751886064761557</v>
      </c>
      <c r="J135" s="230">
        <f>(SUM('1.  LRAMVA Summary'!E$54:E$77)+SUM('1.  LRAMVA Summary'!E$78:E$79)*(MONTH($E135)-1)/12)*$H135</f>
        <v>60.37577536241362</v>
      </c>
      <c r="K135" s="230">
        <f>(SUM('1.  LRAMVA Summary'!F$54:F$77)+SUM('1.  LRAMVA Summary'!F$78:F$79)*(MONTH($E135)-1)/12)*$H135</f>
        <v>99.172378799271613</v>
      </c>
      <c r="L135" s="230">
        <f>(SUM('1.  LRAMVA Summary'!G$54:G$77)+SUM('1.  LRAMVA Summary'!G$78:G$79)*(MONTH($E135)-1)/12)*$H135</f>
        <v>0</v>
      </c>
      <c r="M135" s="230">
        <f>(SUM('1.  LRAMVA Summary'!H$54:H$77)+SUM('1.  LRAMVA Summary'!H$78:H$79)*(MONTH($E135)-1)/12)*$H135</f>
        <v>86.659046277080563</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307.95908650352737</v>
      </c>
    </row>
    <row r="136" spans="2:23" s="9" customFormat="1">
      <c r="B136" s="66"/>
      <c r="E136" s="214">
        <v>43497</v>
      </c>
      <c r="F136" s="214" t="s">
        <v>186</v>
      </c>
      <c r="G136" s="215" t="s">
        <v>65</v>
      </c>
      <c r="H136" s="240">
        <f t="shared" ref="H136:H137" si="75">$C$47/12</f>
        <v>1.575E-3</v>
      </c>
      <c r="I136" s="230">
        <f>(SUM('1.  LRAMVA Summary'!D$54:D$77)+SUM('1.  LRAMVA Summary'!D$78:D$79)*(MONTH($E136)-1)/12)*$H136</f>
        <v>61.751886064761557</v>
      </c>
      <c r="J136" s="230">
        <f>(SUM('1.  LRAMVA Summary'!E$54:E$77)+SUM('1.  LRAMVA Summary'!E$78:E$79)*(MONTH($E136)-1)/12)*$H136</f>
        <v>60.37577536241362</v>
      </c>
      <c r="K136" s="230">
        <f>(SUM('1.  LRAMVA Summary'!F$54:F$77)+SUM('1.  LRAMVA Summary'!F$78:F$79)*(MONTH($E136)-1)/12)*$H136</f>
        <v>99.172378799271613</v>
      </c>
      <c r="L136" s="230">
        <f>(SUM('1.  LRAMVA Summary'!G$54:G$77)+SUM('1.  LRAMVA Summary'!G$78:G$79)*(MONTH($E136)-1)/12)*$H136</f>
        <v>0</v>
      </c>
      <c r="M136" s="230">
        <f>(SUM('1.  LRAMVA Summary'!H$54:H$77)+SUM('1.  LRAMVA Summary'!H$78:H$79)*(MONTH($E136)-1)/12)*$H136</f>
        <v>86.659046277080563</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307.95908650352737</v>
      </c>
    </row>
    <row r="137" spans="2:23" s="9" customFormat="1">
      <c r="B137" s="66"/>
      <c r="E137" s="214">
        <v>43525</v>
      </c>
      <c r="F137" s="214" t="s">
        <v>186</v>
      </c>
      <c r="G137" s="215" t="s">
        <v>65</v>
      </c>
      <c r="H137" s="240">
        <f t="shared" si="75"/>
        <v>1.575E-3</v>
      </c>
      <c r="I137" s="230">
        <f>(SUM('1.  LRAMVA Summary'!D$54:D$77)+SUM('1.  LRAMVA Summary'!D$78:D$79)*(MONTH($E137)-1)/12)*$H137</f>
        <v>61.751886064761557</v>
      </c>
      <c r="J137" s="230">
        <f>(SUM('1.  LRAMVA Summary'!E$54:E$77)+SUM('1.  LRAMVA Summary'!E$78:E$79)*(MONTH($E137)-1)/12)*$H137</f>
        <v>60.37577536241362</v>
      </c>
      <c r="K137" s="230">
        <f>(SUM('1.  LRAMVA Summary'!F$54:F$77)+SUM('1.  LRAMVA Summary'!F$78:F$79)*(MONTH($E137)-1)/12)*$H137</f>
        <v>99.172378799271613</v>
      </c>
      <c r="L137" s="230">
        <f>(SUM('1.  LRAMVA Summary'!G$54:G$77)+SUM('1.  LRAMVA Summary'!G$78:G$79)*(MONTH($E137)-1)/12)*$H137</f>
        <v>0</v>
      </c>
      <c r="M137" s="230">
        <f>(SUM('1.  LRAMVA Summary'!H$54:H$77)+SUM('1.  LRAMVA Summary'!H$78:H$79)*(MONTH($E137)-1)/12)*$H137</f>
        <v>86.659046277080563</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307.95908650352737</v>
      </c>
    </row>
    <row r="138" spans="2:23" s="8" customFormat="1">
      <c r="B138" s="239"/>
      <c r="E138" s="214">
        <v>43556</v>
      </c>
      <c r="F138" s="214" t="s">
        <v>186</v>
      </c>
      <c r="G138" s="215" t="s">
        <v>66</v>
      </c>
      <c r="H138" s="240">
        <f>$C$48/12</f>
        <v>1.575E-3</v>
      </c>
      <c r="I138" s="230">
        <f>(SUM('1.  LRAMVA Summary'!D$54:D$77)+SUM('1.  LRAMVA Summary'!D$78:D$79)*(MONTH($E138)-1)/12)*$H138</f>
        <v>61.751886064761557</v>
      </c>
      <c r="J138" s="230">
        <f>(SUM('1.  LRAMVA Summary'!E$54:E$77)+SUM('1.  LRAMVA Summary'!E$78:E$79)*(MONTH($E138)-1)/12)*$H138</f>
        <v>60.37577536241362</v>
      </c>
      <c r="K138" s="230">
        <f>(SUM('1.  LRAMVA Summary'!F$54:F$77)+SUM('1.  LRAMVA Summary'!F$78:F$79)*(MONTH($E138)-1)/12)*$H138</f>
        <v>99.172378799271613</v>
      </c>
      <c r="L138" s="230">
        <f>(SUM('1.  LRAMVA Summary'!G$54:G$77)+SUM('1.  LRAMVA Summary'!G$78:G$79)*(MONTH($E138)-1)/12)*$H138</f>
        <v>0</v>
      </c>
      <c r="M138" s="230">
        <f>(SUM('1.  LRAMVA Summary'!H$54:H$77)+SUM('1.  LRAMVA Summary'!H$78:H$79)*(MONTH($E138)-1)/12)*$H138</f>
        <v>86.659046277080563</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307.95908650352737</v>
      </c>
    </row>
    <row r="139" spans="2:23" s="9" customFormat="1">
      <c r="B139" s="66"/>
      <c r="E139" s="214">
        <v>43586</v>
      </c>
      <c r="F139" s="214" t="s">
        <v>186</v>
      </c>
      <c r="G139" s="215" t="s">
        <v>66</v>
      </c>
      <c r="H139" s="749">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749">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7">$C$49/12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8">$C$50/12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8"/>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1374.1553103878146</v>
      </c>
      <c r="J147" s="219">
        <f>SUM(J134:J146)</f>
        <v>1335.549886003683</v>
      </c>
      <c r="K147" s="219">
        <f t="shared" ref="K147:O147" si="79">SUM(K134:K146)</f>
        <v>2243.9538851399029</v>
      </c>
      <c r="L147" s="219">
        <f t="shared" si="79"/>
        <v>0</v>
      </c>
      <c r="M147" s="219">
        <f t="shared" si="79"/>
        <v>1905.8216301924767</v>
      </c>
      <c r="N147" s="219">
        <f t="shared" si="79"/>
        <v>0</v>
      </c>
      <c r="O147" s="219">
        <f t="shared" si="79"/>
        <v>0</v>
      </c>
      <c r="P147" s="219">
        <f t="shared" ref="P147:V147" si="80">SUM(P134:P146)</f>
        <v>0</v>
      </c>
      <c r="Q147" s="219">
        <f t="shared" si="80"/>
        <v>0</v>
      </c>
      <c r="R147" s="219">
        <f t="shared" si="80"/>
        <v>0</v>
      </c>
      <c r="S147" s="219">
        <f t="shared" si="80"/>
        <v>0</v>
      </c>
      <c r="T147" s="219">
        <f t="shared" si="80"/>
        <v>0</v>
      </c>
      <c r="U147" s="219">
        <f t="shared" si="80"/>
        <v>0</v>
      </c>
      <c r="V147" s="219">
        <f t="shared" si="80"/>
        <v>0</v>
      </c>
      <c r="W147" s="219">
        <f>SUM(W134:W146)</f>
        <v>6859.4807117238752</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1374.1553103878146</v>
      </c>
      <c r="J149" s="228">
        <f t="shared" ref="J149" si="81">J147+J148</f>
        <v>1335.549886003683</v>
      </c>
      <c r="K149" s="228">
        <f t="shared" ref="K149" si="82">K147+K148</f>
        <v>2243.9538851399029</v>
      </c>
      <c r="L149" s="228">
        <f t="shared" ref="L149" si="83">L147+L148</f>
        <v>0</v>
      </c>
      <c r="M149" s="228">
        <f t="shared" ref="M149" si="84">M147+M148</f>
        <v>1905.8216301924767</v>
      </c>
      <c r="N149" s="228">
        <f t="shared" ref="N149" si="85">N147+N148</f>
        <v>0</v>
      </c>
      <c r="O149" s="228">
        <f t="shared" ref="O149:V149" si="86">O147+O148</f>
        <v>0</v>
      </c>
      <c r="P149" s="228">
        <f t="shared" si="86"/>
        <v>0</v>
      </c>
      <c r="Q149" s="228">
        <f t="shared" si="86"/>
        <v>0</v>
      </c>
      <c r="R149" s="228">
        <f t="shared" si="86"/>
        <v>0</v>
      </c>
      <c r="S149" s="228">
        <f t="shared" si="86"/>
        <v>0</v>
      </c>
      <c r="T149" s="228">
        <f t="shared" si="86"/>
        <v>0</v>
      </c>
      <c r="U149" s="228">
        <f t="shared" si="86"/>
        <v>0</v>
      </c>
      <c r="V149" s="228">
        <f t="shared" si="86"/>
        <v>0</v>
      </c>
      <c r="W149" s="228">
        <f>W147+W148</f>
        <v>6859.4807117238752</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7">$C$51/12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8">SUM(I151:V151)</f>
        <v>0</v>
      </c>
    </row>
    <row r="152" spans="2:23" s="9" customFormat="1">
      <c r="B152" s="66"/>
      <c r="E152" s="214">
        <v>43891</v>
      </c>
      <c r="F152" s="214" t="s">
        <v>187</v>
      </c>
      <c r="G152" s="215" t="s">
        <v>65</v>
      </c>
      <c r="H152" s="240">
        <f t="shared" si="87"/>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8"/>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8"/>
        <v>0</v>
      </c>
    </row>
    <row r="154" spans="2:23" s="9" customFormat="1">
      <c r="B154" s="66"/>
      <c r="E154" s="214">
        <v>43952</v>
      </c>
      <c r="F154" s="214" t="s">
        <v>187</v>
      </c>
      <c r="G154" s="215" t="s">
        <v>66</v>
      </c>
      <c r="H154" s="240">
        <f t="shared" ref="H154:H155" si="89">$C$52/12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8"/>
        <v>0</v>
      </c>
    </row>
    <row r="155" spans="2:23" s="9" customFormat="1">
      <c r="B155" s="66"/>
      <c r="E155" s="214">
        <v>43983</v>
      </c>
      <c r="F155" s="214" t="s">
        <v>187</v>
      </c>
      <c r="G155" s="215" t="s">
        <v>66</v>
      </c>
      <c r="H155" s="240">
        <f t="shared" si="89"/>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8"/>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8"/>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8"/>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8"/>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8"/>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8"/>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1374.1553103878146</v>
      </c>
      <c r="J162" s="219">
        <f>SUM(J149:J161)</f>
        <v>1335.549886003683</v>
      </c>
      <c r="K162" s="219">
        <f t="shared" ref="K162:O162" si="92">SUM(K149:K161)</f>
        <v>2243.9538851399029</v>
      </c>
      <c r="L162" s="219">
        <f t="shared" si="92"/>
        <v>0</v>
      </c>
      <c r="M162" s="219">
        <f t="shared" si="92"/>
        <v>1905.8216301924767</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6859.4807117238752</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526</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F15" sqref="F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613</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9" t="s">
        <v>607</v>
      </c>
      <c r="C17" s="90"/>
      <c r="D17" s="611" t="s">
        <v>585</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620</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619</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621</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2" t="s">
        <v>631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590</v>
      </c>
      <c r="H23" s="10"/>
      <c r="I23" s="10"/>
      <c r="J23" s="10"/>
    </row>
    <row r="24" spans="2:73" s="670" customFormat="1" ht="21" customHeight="1">
      <c r="B24" s="701" t="s">
        <v>594</v>
      </c>
      <c r="C24" s="816" t="s">
        <v>595</v>
      </c>
      <c r="D24" s="816"/>
      <c r="E24" s="816"/>
      <c r="F24" s="816"/>
      <c r="G24" s="816"/>
      <c r="H24" s="678" t="s">
        <v>592</v>
      </c>
      <c r="I24" s="678" t="s">
        <v>591</v>
      </c>
      <c r="J24" s="678" t="s">
        <v>593</v>
      </c>
      <c r="K24" s="669"/>
      <c r="L24" s="670" t="s">
        <v>595</v>
      </c>
      <c r="AQ24" s="670" t="s">
        <v>595</v>
      </c>
      <c r="BU24" s="669"/>
    </row>
    <row r="25" spans="2:73" s="250" customFormat="1" ht="49.5" customHeight="1">
      <c r="B25" s="245" t="s">
        <v>473</v>
      </c>
      <c r="C25" s="245" t="s">
        <v>211</v>
      </c>
      <c r="D25" s="628" t="s">
        <v>474</v>
      </c>
      <c r="E25" s="245" t="s">
        <v>208</v>
      </c>
      <c r="F25" s="245" t="s">
        <v>475</v>
      </c>
      <c r="G25" s="245" t="s">
        <v>476</v>
      </c>
      <c r="H25" s="628" t="s">
        <v>477</v>
      </c>
      <c r="I25" s="636" t="s">
        <v>583</v>
      </c>
      <c r="J25" s="643" t="s">
        <v>584</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4"/>
      <c r="J27" s="644"/>
      <c r="K27" s="633"/>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3"/>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4"/>
      <c r="J28" s="644"/>
      <c r="K28" s="633"/>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3"/>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4"/>
      <c r="J29" s="644"/>
      <c r="K29" s="633"/>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3"/>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4"/>
      <c r="J30" s="644"/>
      <c r="K30" s="633"/>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3"/>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4"/>
      <c r="J31" s="644"/>
      <c r="K31" s="633"/>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3"/>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4"/>
      <c r="J32" s="644"/>
      <c r="K32" s="633"/>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3"/>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4"/>
      <c r="J33" s="644"/>
      <c r="K33" s="633"/>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3"/>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4"/>
      <c r="J34" s="644"/>
      <c r="K34" s="633"/>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3"/>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4"/>
      <c r="J35" s="644"/>
      <c r="K35" s="633"/>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3"/>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4"/>
      <c r="J36" s="644"/>
      <c r="K36" s="633"/>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3"/>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4"/>
      <c r="J37" s="644"/>
      <c r="K37" s="633"/>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3"/>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4"/>
      <c r="J38" s="644"/>
      <c r="K38" s="633"/>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3"/>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4"/>
      <c r="J39" s="644"/>
      <c r="K39" s="633"/>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3"/>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4"/>
      <c r="J40" s="644"/>
      <c r="K40" s="633"/>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3"/>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4"/>
      <c r="J41" s="644"/>
      <c r="K41" s="633"/>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3"/>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4"/>
      <c r="J42" s="644"/>
      <c r="K42" s="633"/>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3"/>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4"/>
      <c r="J43" s="644"/>
      <c r="K43" s="633"/>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3"/>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4"/>
      <c r="J44" s="644"/>
      <c r="K44" s="633"/>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3"/>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4"/>
      <c r="J45" s="644"/>
      <c r="K45" s="633"/>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3"/>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4"/>
      <c r="J46" s="644"/>
      <c r="K46" s="633"/>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3"/>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4"/>
      <c r="J47" s="644"/>
      <c r="K47" s="633"/>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3"/>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4"/>
      <c r="J48" s="644"/>
      <c r="K48" s="633"/>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3"/>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4"/>
      <c r="J49" s="644"/>
      <c r="K49" s="633"/>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3"/>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4"/>
      <c r="J50" s="644"/>
      <c r="K50" s="633"/>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3"/>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4"/>
      <c r="J51" s="644"/>
      <c r="K51" s="633"/>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3"/>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4"/>
      <c r="J52" s="644"/>
      <c r="K52" s="633"/>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3"/>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4"/>
      <c r="J53" s="644"/>
      <c r="K53" s="633"/>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3"/>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4"/>
      <c r="J54" s="644"/>
      <c r="K54" s="633"/>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3"/>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4"/>
      <c r="J55" s="644"/>
      <c r="K55" s="633"/>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3"/>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4"/>
      <c r="J56" s="644"/>
      <c r="K56" s="633"/>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3"/>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4"/>
      <c r="J57" s="644"/>
      <c r="K57" s="633"/>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3"/>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4"/>
      <c r="J58" s="644"/>
      <c r="K58" s="633"/>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3"/>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4"/>
      <c r="J59" s="644"/>
      <c r="K59" s="633"/>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3"/>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4"/>
      <c r="J60" s="644"/>
      <c r="K60" s="633"/>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3"/>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4"/>
      <c r="J61" s="644"/>
      <c r="K61" s="633"/>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3"/>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4"/>
      <c r="J62" s="644"/>
      <c r="K62" s="633"/>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3"/>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4"/>
      <c r="J63" s="644"/>
      <c r="K63" s="633"/>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3"/>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4"/>
      <c r="J64" s="644"/>
      <c r="K64" s="633"/>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3"/>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4"/>
      <c r="J65" s="644"/>
      <c r="K65" s="633"/>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3"/>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4"/>
      <c r="J66" s="644"/>
      <c r="K66" s="633"/>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3"/>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4"/>
      <c r="J67" s="644"/>
      <c r="K67" s="633"/>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3"/>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4"/>
      <c r="J68" s="644"/>
      <c r="K68" s="633"/>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3"/>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4"/>
      <c r="J69" s="644"/>
      <c r="K69" s="633"/>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3"/>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4"/>
      <c r="J70" s="644"/>
      <c r="K70" s="633"/>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3"/>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4"/>
      <c r="J71" s="644"/>
      <c r="K71" s="633"/>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3"/>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4"/>
      <c r="J72" s="644"/>
      <c r="K72" s="633"/>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3"/>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4"/>
      <c r="J73" s="644"/>
      <c r="K73" s="633"/>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3"/>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4"/>
      <c r="J74" s="644"/>
      <c r="K74" s="633"/>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3"/>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4"/>
      <c r="J75" s="644"/>
      <c r="K75" s="633"/>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3"/>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4"/>
      <c r="J76" s="644"/>
      <c r="K76" s="633"/>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3"/>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4"/>
      <c r="J77" s="644"/>
      <c r="K77" s="633"/>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3"/>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4"/>
      <c r="J78" s="644"/>
      <c r="K78" s="633"/>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3"/>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4"/>
      <c r="J79" s="644"/>
      <c r="K79" s="633"/>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3"/>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4"/>
      <c r="J80" s="644"/>
      <c r="K80" s="633"/>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3"/>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4"/>
      <c r="J81" s="644"/>
      <c r="K81" s="633"/>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3"/>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4"/>
      <c r="J82" s="644"/>
      <c r="K82" s="633"/>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3"/>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4"/>
      <c r="J83" s="644"/>
      <c r="K83" s="633"/>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3"/>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4"/>
      <c r="J84" s="644"/>
      <c r="K84" s="633"/>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3"/>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4"/>
      <c r="J85" s="644"/>
      <c r="K85" s="633"/>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3"/>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4"/>
      <c r="J86" s="644"/>
      <c r="K86" s="633"/>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3"/>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4"/>
      <c r="J87" s="644"/>
      <c r="K87" s="633"/>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3"/>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4"/>
      <c r="J88" s="644"/>
      <c r="K88" s="633"/>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3"/>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4"/>
      <c r="J89" s="644"/>
      <c r="K89" s="633"/>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3"/>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4"/>
      <c r="J90" s="644"/>
      <c r="K90" s="633"/>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3"/>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4"/>
      <c r="J91" s="644"/>
      <c r="K91" s="633"/>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3"/>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4"/>
      <c r="J92" s="644"/>
      <c r="K92" s="633"/>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3"/>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4"/>
      <c r="J93" s="644"/>
      <c r="K93" s="633"/>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3"/>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4"/>
      <c r="J94" s="644"/>
      <c r="K94" s="633"/>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3"/>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4"/>
      <c r="J95" s="644"/>
      <c r="K95" s="633"/>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3"/>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4"/>
      <c r="J96" s="644"/>
      <c r="K96" s="633"/>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3"/>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4"/>
      <c r="J97" s="644"/>
      <c r="K97" s="633"/>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3"/>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4"/>
      <c r="J98" s="644"/>
      <c r="K98" s="633"/>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3"/>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4"/>
      <c r="J99" s="644"/>
      <c r="K99" s="633"/>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3"/>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4"/>
      <c r="J100" s="644"/>
      <c r="K100" s="633"/>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3"/>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4"/>
      <c r="J101" s="644"/>
      <c r="K101" s="633"/>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3"/>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4"/>
      <c r="J102" s="644"/>
      <c r="K102" s="633"/>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3"/>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4"/>
      <c r="J103" s="644"/>
      <c r="K103" s="633"/>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3"/>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4"/>
      <c r="J104" s="644"/>
      <c r="K104" s="633"/>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3"/>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4"/>
      <c r="J105" s="644"/>
      <c r="K105" s="633"/>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3"/>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4"/>
      <c r="J106" s="644"/>
      <c r="K106" s="633"/>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3"/>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4"/>
      <c r="J107" s="644"/>
      <c r="K107" s="633"/>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3"/>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4"/>
      <c r="J108" s="644"/>
      <c r="K108" s="633"/>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3"/>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4"/>
      <c r="J109" s="644"/>
      <c r="K109" s="633"/>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3"/>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4"/>
      <c r="J110" s="644"/>
      <c r="K110" s="633"/>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3"/>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4"/>
      <c r="J117" s="644"/>
      <c r="K117" s="633"/>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2:V15"/>
  <sheetViews>
    <sheetView zoomScale="90" zoomScaleNormal="90" workbookViewId="0">
      <selection sqref="A1:XFD1048576"/>
    </sheetView>
  </sheetViews>
  <sheetFormatPr defaultColWidth="9.140625" defaultRowHeight="15"/>
  <cols>
    <col min="1" max="16384" width="9.140625" style="12"/>
  </cols>
  <sheetData>
    <row r="12" spans="2:22" ht="24" customHeight="1"/>
    <row r="13" spans="2:22" ht="15.75">
      <c r="B13" s="588" t="s">
        <v>505</v>
      </c>
    </row>
    <row r="14" spans="2:22" ht="15.75">
      <c r="B14" s="588"/>
    </row>
    <row r="15" spans="2:22" s="668" customFormat="1" ht="27" customHeight="1">
      <c r="B15" s="666" t="s">
        <v>666</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17" activePane="bottomLeft" state="frozen"/>
      <selection pane="bottomLeft" sqref="A1:XFD1048576"/>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561</v>
      </c>
      <c r="C16" s="754" t="s">
        <v>505</v>
      </c>
      <c r="D16" s="755"/>
      <c r="E16" s="755"/>
      <c r="F16" s="755"/>
      <c r="G16" s="755"/>
      <c r="H16" s="755"/>
      <c r="I16" s="755"/>
      <c r="J16" s="755"/>
      <c r="K16" s="755"/>
      <c r="L16" s="755"/>
      <c r="M16" s="755"/>
      <c r="N16" s="755"/>
      <c r="O16" s="755"/>
      <c r="P16" s="755"/>
      <c r="Q16" s="755"/>
      <c r="R16" s="755"/>
      <c r="S16" s="755"/>
      <c r="T16" s="755"/>
      <c r="U16" s="755"/>
    </row>
    <row r="17" spans="2:21" ht="55.5" customHeight="1">
      <c r="B17" s="705" t="s">
        <v>634</v>
      </c>
      <c r="C17" s="756" t="s">
        <v>635</v>
      </c>
      <c r="D17" s="756"/>
      <c r="E17" s="756"/>
      <c r="F17" s="756"/>
      <c r="G17" s="756"/>
      <c r="H17" s="756"/>
      <c r="I17" s="756"/>
      <c r="J17" s="756"/>
      <c r="K17" s="756"/>
      <c r="L17" s="756"/>
      <c r="M17" s="756"/>
      <c r="N17" s="756"/>
      <c r="O17" s="756"/>
      <c r="P17" s="756"/>
      <c r="Q17" s="756"/>
      <c r="R17" s="756"/>
      <c r="S17" s="756"/>
      <c r="T17" s="756"/>
      <c r="U17" s="757"/>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639</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636</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53" t="s">
        <v>637</v>
      </c>
      <c r="D23" s="753"/>
      <c r="E23" s="753"/>
      <c r="F23" s="753"/>
      <c r="G23" s="753"/>
      <c r="H23" s="753"/>
      <c r="I23" s="753"/>
      <c r="J23" s="753"/>
      <c r="K23" s="753"/>
      <c r="L23" s="753"/>
      <c r="M23" s="753"/>
      <c r="N23" s="753"/>
      <c r="O23" s="753"/>
      <c r="P23" s="753"/>
      <c r="Q23" s="753"/>
      <c r="R23" s="753"/>
      <c r="S23" s="753"/>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640</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53" t="s">
        <v>638</v>
      </c>
      <c r="D27" s="753"/>
      <c r="E27" s="753"/>
      <c r="F27" s="753"/>
      <c r="G27" s="753"/>
      <c r="H27" s="753"/>
      <c r="I27" s="753"/>
      <c r="J27" s="753"/>
      <c r="K27" s="753"/>
      <c r="L27" s="753"/>
      <c r="M27" s="753"/>
      <c r="N27" s="753"/>
      <c r="O27" s="753"/>
      <c r="P27" s="753"/>
      <c r="Q27" s="753"/>
      <c r="R27" s="753"/>
      <c r="S27" s="753"/>
      <c r="T27" s="753"/>
      <c r="U27" s="758"/>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53" t="s">
        <v>641</v>
      </c>
      <c r="D29" s="753"/>
      <c r="E29" s="753"/>
      <c r="F29" s="753"/>
      <c r="G29" s="753"/>
      <c r="H29" s="753"/>
      <c r="I29" s="753"/>
      <c r="J29" s="753"/>
      <c r="K29" s="753"/>
      <c r="L29" s="753"/>
      <c r="M29" s="753"/>
      <c r="N29" s="753"/>
      <c r="O29" s="753"/>
      <c r="P29" s="753"/>
      <c r="Q29" s="753"/>
      <c r="R29" s="753"/>
      <c r="S29" s="753"/>
      <c r="T29" s="753"/>
      <c r="U29" s="758"/>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642</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643</v>
      </c>
      <c r="C33" s="759" t="s">
        <v>644</v>
      </c>
      <c r="D33" s="759"/>
      <c r="E33" s="759"/>
      <c r="F33" s="759"/>
      <c r="G33" s="759"/>
      <c r="H33" s="759"/>
      <c r="I33" s="759"/>
      <c r="J33" s="759"/>
      <c r="K33" s="759"/>
      <c r="L33" s="759"/>
      <c r="M33" s="759"/>
      <c r="N33" s="759"/>
      <c r="O33" s="759"/>
      <c r="P33" s="759"/>
      <c r="Q33" s="759"/>
      <c r="R33" s="759"/>
      <c r="S33" s="759"/>
      <c r="T33" s="759"/>
      <c r="U33" s="760"/>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645</v>
      </c>
      <c r="C35" s="719" t="s">
        <v>646</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647</v>
      </c>
      <c r="C37" s="761" t="s">
        <v>648</v>
      </c>
      <c r="D37" s="761"/>
      <c r="E37" s="761"/>
      <c r="F37" s="761"/>
      <c r="G37" s="761"/>
      <c r="H37" s="761"/>
      <c r="I37" s="761"/>
      <c r="J37" s="761"/>
      <c r="K37" s="761"/>
      <c r="L37" s="761"/>
      <c r="M37" s="761"/>
      <c r="N37" s="761"/>
      <c r="O37" s="761"/>
      <c r="P37" s="761"/>
      <c r="Q37" s="761"/>
      <c r="R37" s="761"/>
      <c r="S37" s="761"/>
      <c r="T37" s="761"/>
      <c r="U37" s="762"/>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649</v>
      </c>
      <c r="C39" s="721" t="s">
        <v>650</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651</v>
      </c>
      <c r="C41" s="763" t="s">
        <v>652</v>
      </c>
      <c r="D41" s="763"/>
      <c r="E41" s="763"/>
      <c r="F41" s="763"/>
      <c r="G41" s="763"/>
      <c r="H41" s="763"/>
      <c r="I41" s="763"/>
      <c r="J41" s="763"/>
      <c r="K41" s="763"/>
      <c r="L41" s="763"/>
      <c r="M41" s="763"/>
      <c r="N41" s="763"/>
      <c r="O41" s="763"/>
      <c r="P41" s="763"/>
      <c r="Q41" s="763"/>
      <c r="R41" s="763"/>
      <c r="S41" s="763"/>
      <c r="T41" s="763"/>
      <c r="U41" s="764"/>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653</v>
      </c>
      <c r="C43" s="719" t="s">
        <v>654</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51" t="s">
        <v>671</v>
      </c>
      <c r="D45" s="751"/>
      <c r="E45" s="751"/>
      <c r="F45" s="751"/>
      <c r="G45" s="751"/>
      <c r="H45" s="751"/>
      <c r="I45" s="751"/>
      <c r="J45" s="751"/>
      <c r="K45" s="751"/>
      <c r="L45" s="751"/>
      <c r="M45" s="751"/>
      <c r="N45" s="751"/>
      <c r="O45" s="751"/>
      <c r="P45" s="751"/>
      <c r="Q45" s="751"/>
      <c r="R45" s="751"/>
      <c r="S45" s="751"/>
      <c r="T45" s="751"/>
      <c r="U45" s="752"/>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51" t="s">
        <v>655</v>
      </c>
      <c r="D47" s="751"/>
      <c r="E47" s="751"/>
      <c r="F47" s="751"/>
      <c r="G47" s="751"/>
      <c r="H47" s="751"/>
      <c r="I47" s="751"/>
      <c r="J47" s="751"/>
      <c r="K47" s="751"/>
      <c r="L47" s="751"/>
      <c r="M47" s="751"/>
      <c r="N47" s="751"/>
      <c r="O47" s="751"/>
      <c r="P47" s="751"/>
      <c r="Q47" s="751"/>
      <c r="R47" s="751"/>
      <c r="S47" s="751"/>
      <c r="T47" s="751"/>
      <c r="U47" s="752"/>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51" t="s">
        <v>656</v>
      </c>
      <c r="D49" s="751"/>
      <c r="E49" s="751"/>
      <c r="F49" s="751"/>
      <c r="G49" s="751"/>
      <c r="H49" s="751"/>
      <c r="I49" s="751"/>
      <c r="J49" s="751"/>
      <c r="K49" s="751"/>
      <c r="L49" s="751"/>
      <c r="M49" s="751"/>
      <c r="N49" s="751"/>
      <c r="O49" s="751"/>
      <c r="P49" s="751"/>
      <c r="Q49" s="751"/>
      <c r="R49" s="751"/>
      <c r="S49" s="751"/>
      <c r="T49" s="751"/>
      <c r="U49" s="752"/>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51" t="s">
        <v>657</v>
      </c>
      <c r="D51" s="751"/>
      <c r="E51" s="751"/>
      <c r="F51" s="751"/>
      <c r="G51" s="751"/>
      <c r="H51" s="751"/>
      <c r="I51" s="751"/>
      <c r="J51" s="751"/>
      <c r="K51" s="751"/>
      <c r="L51" s="751"/>
      <c r="M51" s="751"/>
      <c r="N51" s="751"/>
      <c r="O51" s="751"/>
      <c r="P51" s="751"/>
      <c r="Q51" s="751"/>
      <c r="R51" s="751"/>
      <c r="S51" s="751"/>
      <c r="T51" s="751"/>
      <c r="U51" s="752"/>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53" t="s">
        <v>670</v>
      </c>
      <c r="D53" s="753"/>
      <c r="E53" s="753"/>
      <c r="F53" s="753"/>
      <c r="G53" s="753"/>
      <c r="H53" s="753"/>
      <c r="I53" s="753"/>
      <c r="J53" s="753"/>
      <c r="K53" s="753"/>
      <c r="L53" s="753"/>
      <c r="M53" s="753"/>
      <c r="N53" s="753"/>
      <c r="O53" s="753"/>
      <c r="P53" s="753"/>
      <c r="Q53" s="753"/>
      <c r="R53" s="753"/>
      <c r="S53" s="753"/>
      <c r="T53" s="753"/>
      <c r="U53" s="758"/>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658</v>
      </c>
      <c r="C55" s="761" t="s">
        <v>659</v>
      </c>
      <c r="D55" s="761"/>
      <c r="E55" s="761"/>
      <c r="F55" s="761"/>
      <c r="G55" s="761"/>
      <c r="H55" s="761"/>
      <c r="I55" s="761"/>
      <c r="J55" s="761"/>
      <c r="K55" s="761"/>
      <c r="L55" s="761"/>
      <c r="M55" s="761"/>
      <c r="N55" s="761"/>
      <c r="O55" s="761"/>
      <c r="P55" s="761"/>
      <c r="Q55" s="761"/>
      <c r="R55" s="761"/>
      <c r="S55" s="761"/>
      <c r="T55" s="761"/>
      <c r="U55" s="762"/>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660</v>
      </c>
      <c r="C57" s="761" t="s">
        <v>661</v>
      </c>
      <c r="D57" s="761"/>
      <c r="E57" s="761"/>
      <c r="F57" s="761"/>
      <c r="G57" s="761"/>
      <c r="H57" s="761"/>
      <c r="I57" s="761"/>
      <c r="J57" s="761"/>
      <c r="K57" s="761"/>
      <c r="L57" s="761"/>
      <c r="M57" s="761"/>
      <c r="N57" s="761"/>
      <c r="O57" s="761"/>
      <c r="P57" s="761"/>
      <c r="Q57" s="761"/>
      <c r="R57" s="761"/>
      <c r="S57" s="761"/>
      <c r="T57" s="761"/>
      <c r="U57" s="762"/>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662</v>
      </c>
      <c r="C59" s="726" t="s">
        <v>663</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6" zoomScale="80" zoomScaleNormal="80" workbookViewId="0">
      <selection activeCell="A16" sqref="A1:XFD1048576"/>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6" t="s">
        <v>673</v>
      </c>
      <c r="C3" s="767"/>
      <c r="D3" s="767"/>
      <c r="E3" s="767"/>
      <c r="F3" s="768"/>
      <c r="G3" s="122"/>
    </row>
    <row r="4" spans="2:20" ht="16.5" customHeight="1">
      <c r="B4" s="769"/>
      <c r="C4" s="770"/>
      <c r="D4" s="770"/>
      <c r="E4" s="770"/>
      <c r="F4" s="771"/>
      <c r="G4" s="122"/>
    </row>
    <row r="5" spans="2:20" ht="71.25" customHeight="1">
      <c r="B5" s="769"/>
      <c r="C5" s="770"/>
      <c r="D5" s="770"/>
      <c r="E5" s="770"/>
      <c r="F5" s="771"/>
      <c r="G5" s="122"/>
    </row>
    <row r="6" spans="2:20" ht="21.75" customHeight="1">
      <c r="B6" s="772"/>
      <c r="C6" s="773"/>
      <c r="D6" s="773"/>
      <c r="E6" s="773"/>
      <c r="F6" s="774"/>
      <c r="G6" s="122"/>
    </row>
    <row r="8" spans="2:20" ht="21">
      <c r="B8" s="765" t="s">
        <v>481</v>
      </c>
      <c r="C8" s="765"/>
      <c r="D8" s="765"/>
      <c r="E8" s="765"/>
      <c r="F8" s="765"/>
      <c r="G8" s="76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t="s">
        <v>416</v>
      </c>
      <c r="C13" s="124" t="s">
        <v>627</v>
      </c>
      <c r="G13" s="109"/>
      <c r="L13" s="33"/>
      <c r="M13" s="33"/>
      <c r="N13" s="33"/>
      <c r="O13" s="33"/>
      <c r="P13" s="33"/>
      <c r="Q13" s="68"/>
      <c r="S13" s="8"/>
      <c r="T13" s="8"/>
    </row>
    <row r="14" spans="2:20" s="9" customFormat="1" ht="26.25" customHeight="1" thickBot="1">
      <c r="B14" s="102" t="s">
        <v>416</v>
      </c>
      <c r="C14" s="172" t="s">
        <v>622</v>
      </c>
      <c r="G14" s="123"/>
      <c r="L14" s="33"/>
      <c r="M14" s="33"/>
      <c r="N14" s="33"/>
      <c r="O14" s="33"/>
      <c r="P14" s="33"/>
      <c r="Q14" s="68"/>
      <c r="S14" s="8"/>
      <c r="T14" s="8"/>
    </row>
    <row r="15" spans="2:20" s="9" customFormat="1" ht="26.25" customHeight="1" thickBot="1">
      <c r="B15" s="102" t="s">
        <v>416</v>
      </c>
      <c r="C15" s="172" t="s">
        <v>623</v>
      </c>
      <c r="G15" s="123"/>
      <c r="L15" s="33"/>
      <c r="M15" s="33"/>
      <c r="N15" s="33"/>
      <c r="O15" s="33"/>
      <c r="P15" s="33"/>
      <c r="Q15" s="68"/>
      <c r="S15" s="8"/>
      <c r="T15" s="8"/>
    </row>
    <row r="16" spans="2:20" s="9" customFormat="1" ht="26.25" customHeight="1" thickBot="1">
      <c r="B16" s="102" t="s">
        <v>417</v>
      </c>
      <c r="C16" s="172" t="s">
        <v>624</v>
      </c>
      <c r="G16" s="123"/>
      <c r="L16" s="33"/>
      <c r="M16" s="33"/>
      <c r="N16" s="33"/>
      <c r="O16" s="33"/>
      <c r="P16" s="33"/>
      <c r="Q16" s="68"/>
      <c r="S16" s="8"/>
      <c r="T16" s="8"/>
    </row>
    <row r="17" spans="2:20" s="9" customFormat="1" ht="26.25" customHeight="1" thickBot="1">
      <c r="B17" s="102" t="s">
        <v>416</v>
      </c>
      <c r="C17" s="124" t="s">
        <v>625</v>
      </c>
      <c r="G17" s="109"/>
      <c r="L17" s="33"/>
      <c r="M17" s="33"/>
      <c r="N17" s="33"/>
      <c r="O17" s="33"/>
      <c r="P17" s="33"/>
      <c r="Q17" s="68"/>
      <c r="S17" s="8"/>
      <c r="T17" s="8"/>
    </row>
    <row r="18" spans="2:20" s="9" customFormat="1" ht="26.25" customHeight="1" thickBot="1">
      <c r="B18" s="102" t="s">
        <v>418</v>
      </c>
      <c r="C18" s="124" t="s">
        <v>626</v>
      </c>
      <c r="G18" s="123"/>
      <c r="L18" s="33"/>
      <c r="M18" s="33"/>
      <c r="N18" s="33"/>
      <c r="O18" s="33"/>
      <c r="P18" s="33"/>
      <c r="Q18" s="68"/>
      <c r="S18" s="8"/>
      <c r="T18" s="8"/>
    </row>
    <row r="19" spans="2:20" s="9" customFormat="1" ht="26.25" customHeight="1" thickBot="1">
      <c r="B19" s="102" t="s">
        <v>418</v>
      </c>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587</v>
      </c>
      <c r="F22" s="656" t="s">
        <v>448</v>
      </c>
      <c r="G22" s="174"/>
      <c r="M22" s="645"/>
      <c r="T22" s="645"/>
    </row>
    <row r="23" spans="2:20" s="103" customFormat="1" ht="35.25" customHeight="1">
      <c r="B23" s="648" t="s">
        <v>458</v>
      </c>
      <c r="C23" s="654" t="s">
        <v>438</v>
      </c>
      <c r="D23" s="657" t="s">
        <v>444</v>
      </c>
      <c r="E23" s="661" t="s">
        <v>587</v>
      </c>
      <c r="F23" s="657" t="s">
        <v>448</v>
      </c>
      <c r="G23" s="174"/>
      <c r="M23" s="645"/>
      <c r="T23" s="645"/>
    </row>
    <row r="24" spans="2:20" s="103" customFormat="1" ht="34.5" customHeight="1">
      <c r="B24" s="648" t="s">
        <v>455</v>
      </c>
      <c r="C24" s="654" t="s">
        <v>438</v>
      </c>
      <c r="D24" s="657" t="s">
        <v>445</v>
      </c>
      <c r="E24" s="661" t="s">
        <v>587</v>
      </c>
      <c r="F24" s="657" t="s">
        <v>448</v>
      </c>
      <c r="G24" s="174"/>
      <c r="M24" s="645"/>
      <c r="T24" s="645"/>
    </row>
    <row r="25" spans="2:20" s="103" customFormat="1" ht="32.25" customHeight="1">
      <c r="B25" s="649" t="s">
        <v>456</v>
      </c>
      <c r="C25" s="654" t="s">
        <v>437</v>
      </c>
      <c r="D25" s="657" t="s">
        <v>446</v>
      </c>
      <c r="E25" s="662" t="s">
        <v>606</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scale="4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sqref="A1:XFD1048576"/>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2014</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opLeftCell="A10" zoomScale="85" zoomScaleNormal="85" workbookViewId="0">
      <selection activeCell="B50" sqref="B50:L50"/>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683</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684</v>
      </c>
      <c r="E14" s="130"/>
      <c r="F14" s="124" t="s">
        <v>548</v>
      </c>
      <c r="H14" s="542" t="s">
        <v>686</v>
      </c>
      <c r="J14" s="124" t="s">
        <v>515</v>
      </c>
      <c r="L14" s="132"/>
      <c r="N14" s="103"/>
      <c r="Q14" s="99"/>
      <c r="R14" s="96"/>
    </row>
    <row r="15" spans="2:22" ht="26.25" customHeight="1" thickBot="1">
      <c r="B15" s="124" t="s">
        <v>424</v>
      </c>
      <c r="C15" s="106"/>
      <c r="D15" s="542" t="s">
        <v>685</v>
      </c>
      <c r="F15" s="124" t="s">
        <v>414</v>
      </c>
      <c r="G15" s="127"/>
      <c r="H15" s="542" t="s">
        <v>687</v>
      </c>
      <c r="I15" s="17"/>
      <c r="J15" s="124" t="s">
        <v>516</v>
      </c>
      <c r="L15" s="132"/>
      <c r="M15" s="103"/>
      <c r="Q15" s="108"/>
      <c r="R15" s="96"/>
    </row>
    <row r="16" spans="2:22" ht="28.5" customHeight="1" thickBot="1">
      <c r="B16" s="124" t="s">
        <v>454</v>
      </c>
      <c r="C16" s="106"/>
      <c r="D16" s="542" t="s">
        <v>685</v>
      </c>
      <c r="E16" s="103"/>
      <c r="F16" s="124" t="s">
        <v>434</v>
      </c>
      <c r="G16" s="125"/>
      <c r="H16" s="543" t="s">
        <v>688</v>
      </c>
      <c r="I16" s="103"/>
      <c r="K16" s="195"/>
      <c r="L16" s="195"/>
      <c r="M16" s="195"/>
      <c r="N16" s="195"/>
      <c r="Q16" s="115"/>
      <c r="R16" s="96"/>
    </row>
    <row r="17" spans="1:21" ht="29.25" customHeight="1" thickBot="1">
      <c r="B17" s="124" t="s">
        <v>421</v>
      </c>
      <c r="C17" s="106"/>
      <c r="D17" s="132">
        <v>58824</v>
      </c>
      <c r="E17" s="121"/>
      <c r="F17" s="738" t="s">
        <v>675</v>
      </c>
      <c r="G17" s="195"/>
      <c r="H17" s="732">
        <v>1</v>
      </c>
      <c r="I17" s="17"/>
      <c r="M17" s="195"/>
      <c r="N17" s="195"/>
      <c r="P17" s="99"/>
      <c r="Q17" s="99"/>
      <c r="R17" s="96"/>
    </row>
    <row r="18" spans="1:21" s="28" customFormat="1" ht="29.25" customHeight="1">
      <c r="B18" s="124"/>
      <c r="C18" s="733"/>
      <c r="D18" s="731"/>
      <c r="E18" s="734"/>
      <c r="F18" s="730"/>
      <c r="G18" s="735"/>
      <c r="H18" s="736"/>
      <c r="I18" s="163"/>
      <c r="M18" s="735"/>
      <c r="N18" s="735"/>
      <c r="P18" s="735"/>
      <c r="Q18" s="735"/>
      <c r="R18" s="737"/>
      <c r="T18" s="37"/>
      <c r="U18" s="37"/>
    </row>
    <row r="19" spans="1:21" ht="27.75" customHeight="1" thickBot="1">
      <c r="E19" s="9"/>
      <c r="F19" s="124" t="s">
        <v>435</v>
      </c>
      <c r="G19" s="603" t="s">
        <v>363</v>
      </c>
      <c r="H19" s="242">
        <f>SUM(R54,R57,R60,R63,R66,R69,R72)</f>
        <v>237171.56923239829</v>
      </c>
      <c r="I19" s="17"/>
      <c r="J19" s="115"/>
      <c r="K19" s="115"/>
      <c r="L19" s="115"/>
      <c r="M19" s="115"/>
      <c r="N19" s="115"/>
      <c r="P19" s="115"/>
      <c r="Q19" s="115"/>
      <c r="R19" s="96"/>
    </row>
    <row r="20" spans="1:21" ht="27.75" customHeight="1" thickBot="1">
      <c r="E20" s="9"/>
      <c r="F20" s="124" t="s">
        <v>436</v>
      </c>
      <c r="G20" s="603" t="s">
        <v>364</v>
      </c>
      <c r="H20" s="131">
        <f>-SUM(R55,R58,R61,R64,R67,R70,R73)</f>
        <v>41641.9905</v>
      </c>
      <c r="I20" s="17"/>
      <c r="J20" s="115"/>
      <c r="P20" s="115"/>
      <c r="Q20" s="115"/>
      <c r="R20" s="96"/>
    </row>
    <row r="21" spans="1:21" ht="27.75" customHeight="1" thickBot="1">
      <c r="C21" s="32"/>
      <c r="D21" s="32"/>
      <c r="E21" s="32"/>
      <c r="F21" s="124" t="s">
        <v>408</v>
      </c>
      <c r="G21" s="603" t="s">
        <v>365</v>
      </c>
      <c r="H21" s="188">
        <f>R84</f>
        <v>6859.480711723877</v>
      </c>
      <c r="I21" s="103"/>
      <c r="P21" s="115"/>
      <c r="Q21" s="115"/>
      <c r="R21" s="96"/>
    </row>
    <row r="22" spans="1:21" ht="27.75" customHeight="1">
      <c r="C22" s="32"/>
      <c r="D22" s="32"/>
      <c r="E22" s="32"/>
      <c r="F22" s="124" t="s">
        <v>510</v>
      </c>
      <c r="G22" s="603" t="s">
        <v>449</v>
      </c>
      <c r="H22" s="188">
        <f>H19-H20+H21</f>
        <v>202389.05944412216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77" t="s">
        <v>682</v>
      </c>
      <c r="C26" s="777"/>
      <c r="D26" s="777"/>
      <c r="E26" s="777"/>
      <c r="F26" s="777"/>
      <c r="G26" s="777"/>
    </row>
    <row r="27" spans="1:21" ht="14.25" customHeight="1">
      <c r="A27" s="28"/>
      <c r="B27" s="548"/>
      <c r="C27" s="548"/>
      <c r="D27" s="538"/>
      <c r="E27" s="538"/>
      <c r="F27" s="538"/>
      <c r="G27" s="548"/>
    </row>
    <row r="28" spans="1:21" s="17" customFormat="1" ht="27" customHeight="1">
      <c r="B28" s="778" t="s">
        <v>507</v>
      </c>
      <c r="C28" s="779"/>
      <c r="D28" s="133" t="s">
        <v>41</v>
      </c>
      <c r="E28" s="134" t="s">
        <v>672</v>
      </c>
      <c r="F28" s="134" t="s">
        <v>408</v>
      </c>
      <c r="G28" s="135" t="s">
        <v>409</v>
      </c>
      <c r="T28" s="136"/>
      <c r="U28" s="136"/>
    </row>
    <row r="29" spans="1:21" ht="20.25" customHeight="1">
      <c r="B29" s="775" t="s">
        <v>29</v>
      </c>
      <c r="C29" s="776"/>
      <c r="D29" s="638" t="s">
        <v>27</v>
      </c>
      <c r="E29" s="138">
        <f>SUM(D54:D83)</f>
        <v>39207.546707785114</v>
      </c>
      <c r="F29" s="139">
        <f>D84</f>
        <v>1374.1553103878146</v>
      </c>
      <c r="G29" s="138">
        <f>E29+F29</f>
        <v>40581.702018172931</v>
      </c>
    </row>
    <row r="30" spans="1:21" ht="20.25" customHeight="1">
      <c r="B30" s="775" t="s">
        <v>371</v>
      </c>
      <c r="C30" s="776"/>
      <c r="D30" s="638" t="s">
        <v>27</v>
      </c>
      <c r="E30" s="140">
        <f>SUM(E54:E83)</f>
        <v>38333.825626929283</v>
      </c>
      <c r="F30" s="141">
        <f>E84</f>
        <v>1335.549886003683</v>
      </c>
      <c r="G30" s="140">
        <f>E30+F30</f>
        <v>39669.375512932966</v>
      </c>
    </row>
    <row r="31" spans="1:21" ht="20.25" customHeight="1">
      <c r="B31" s="775" t="s">
        <v>31</v>
      </c>
      <c r="C31" s="776"/>
      <c r="D31" s="638" t="s">
        <v>28</v>
      </c>
      <c r="E31" s="140">
        <f>SUM(F54:F83)</f>
        <v>62966.589713823247</v>
      </c>
      <c r="F31" s="141">
        <f>F84</f>
        <v>2243.9538851399029</v>
      </c>
      <c r="G31" s="140">
        <f t="shared" ref="G31:G34" si="0">E31+F31</f>
        <v>65210.543598963151</v>
      </c>
    </row>
    <row r="32" spans="1:21" ht="20.25" customHeight="1">
      <c r="B32" s="775" t="s">
        <v>32</v>
      </c>
      <c r="C32" s="776"/>
      <c r="D32" s="638" t="s">
        <v>27</v>
      </c>
      <c r="E32" s="140">
        <f>SUM(G54:G83)</f>
        <v>0</v>
      </c>
      <c r="F32" s="141">
        <f>G84</f>
        <v>0</v>
      </c>
      <c r="G32" s="140">
        <f t="shared" si="0"/>
        <v>0</v>
      </c>
    </row>
    <row r="33" spans="2:22" ht="20.25" customHeight="1">
      <c r="B33" s="775" t="s">
        <v>689</v>
      </c>
      <c r="C33" s="776"/>
      <c r="D33" s="638" t="s">
        <v>28</v>
      </c>
      <c r="E33" s="140">
        <f>SUM(H54:H83)</f>
        <v>55021.616683860673</v>
      </c>
      <c r="F33" s="141">
        <f>H84</f>
        <v>1905.8216301924767</v>
      </c>
      <c r="G33" s="140">
        <f>E33+F33</f>
        <v>56927.43831405315</v>
      </c>
    </row>
    <row r="34" spans="2:22" ht="20.25" customHeight="1">
      <c r="B34" s="775"/>
      <c r="C34" s="776"/>
      <c r="D34" s="638"/>
      <c r="E34" s="140">
        <f>SUM(I54:I83)</f>
        <v>0</v>
      </c>
      <c r="F34" s="141">
        <f>I84</f>
        <v>0</v>
      </c>
      <c r="G34" s="140">
        <f t="shared" si="0"/>
        <v>0</v>
      </c>
    </row>
    <row r="35" spans="2:22" ht="20.25" customHeight="1">
      <c r="B35" s="775"/>
      <c r="C35" s="776"/>
      <c r="D35" s="638"/>
      <c r="E35" s="140">
        <f>SUM(J54:J83)</f>
        <v>0</v>
      </c>
      <c r="F35" s="141">
        <f>J84</f>
        <v>0</v>
      </c>
      <c r="G35" s="140">
        <f>E35+F35</f>
        <v>0</v>
      </c>
    </row>
    <row r="36" spans="2:22" ht="20.25" customHeight="1">
      <c r="B36" s="775"/>
      <c r="C36" s="776"/>
      <c r="D36" s="638"/>
      <c r="E36" s="140">
        <f>SUM(K54:K83)</f>
        <v>0</v>
      </c>
      <c r="F36" s="141">
        <f>K84</f>
        <v>0</v>
      </c>
      <c r="G36" s="140">
        <f t="shared" ref="G36:G42" si="1">E36+F36</f>
        <v>0</v>
      </c>
    </row>
    <row r="37" spans="2:22" ht="20.25" customHeight="1">
      <c r="B37" s="775"/>
      <c r="C37" s="776"/>
      <c r="D37" s="638"/>
      <c r="E37" s="140">
        <f>SUM(L54:L83)</f>
        <v>0</v>
      </c>
      <c r="F37" s="141">
        <f>L84</f>
        <v>0</v>
      </c>
      <c r="G37" s="140">
        <f t="shared" si="1"/>
        <v>0</v>
      </c>
    </row>
    <row r="38" spans="2:22" ht="20.25" customHeight="1">
      <c r="B38" s="775"/>
      <c r="C38" s="776"/>
      <c r="D38" s="638"/>
      <c r="E38" s="140">
        <f>SUM(M54:M83)</f>
        <v>0</v>
      </c>
      <c r="F38" s="141">
        <f>M84</f>
        <v>0</v>
      </c>
      <c r="G38" s="140">
        <f t="shared" si="1"/>
        <v>0</v>
      </c>
    </row>
    <row r="39" spans="2:22" ht="20.25" customHeight="1">
      <c r="B39" s="775"/>
      <c r="C39" s="776"/>
      <c r="D39" s="638"/>
      <c r="E39" s="140">
        <f>SUM(N54:N83)</f>
        <v>0</v>
      </c>
      <c r="F39" s="141">
        <f>N84</f>
        <v>0</v>
      </c>
      <c r="G39" s="140">
        <f t="shared" si="1"/>
        <v>0</v>
      </c>
    </row>
    <row r="40" spans="2:22" ht="20.25" customHeight="1">
      <c r="B40" s="775"/>
      <c r="C40" s="776"/>
      <c r="D40" s="638"/>
      <c r="E40" s="140">
        <f>SUM(O54:O83)</f>
        <v>0</v>
      </c>
      <c r="F40" s="141">
        <f>O84</f>
        <v>0</v>
      </c>
      <c r="G40" s="140">
        <f t="shared" si="1"/>
        <v>0</v>
      </c>
    </row>
    <row r="41" spans="2:22" ht="20.25" customHeight="1">
      <c r="B41" s="775"/>
      <c r="C41" s="776"/>
      <c r="D41" s="638"/>
      <c r="E41" s="140">
        <f>SUM(P54:P83)</f>
        <v>0</v>
      </c>
      <c r="F41" s="141">
        <f>P84</f>
        <v>0</v>
      </c>
      <c r="G41" s="140">
        <f t="shared" si="1"/>
        <v>0</v>
      </c>
    </row>
    <row r="42" spans="2:22" ht="20.25" customHeight="1">
      <c r="B42" s="775"/>
      <c r="C42" s="776"/>
      <c r="D42" s="639"/>
      <c r="E42" s="142">
        <f>SUM(Q54:Q83)</f>
        <v>0</v>
      </c>
      <c r="F42" s="143">
        <f>Q84</f>
        <v>0</v>
      </c>
      <c r="G42" s="142">
        <f t="shared" si="1"/>
        <v>0</v>
      </c>
    </row>
    <row r="43" spans="2:22" s="8" customFormat="1" ht="21" customHeight="1">
      <c r="B43" s="780" t="s">
        <v>26</v>
      </c>
      <c r="C43" s="781"/>
      <c r="D43" s="137"/>
      <c r="E43" s="144">
        <f>SUM(E29:E42)</f>
        <v>195529.57873239834</v>
      </c>
      <c r="F43" s="144">
        <f>SUM(F29:F42)</f>
        <v>6859.480711723877</v>
      </c>
      <c r="G43" s="144">
        <f>SUM(G29:G42)</f>
        <v>202389.05944412219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7" t="s">
        <v>609</v>
      </c>
      <c r="C48" s="777"/>
      <c r="D48" s="777"/>
      <c r="E48" s="777"/>
      <c r="F48" s="777"/>
      <c r="G48" s="777"/>
      <c r="H48" s="777"/>
      <c r="I48" s="777"/>
      <c r="J48" s="777"/>
      <c r="K48" s="777"/>
      <c r="L48" s="777"/>
      <c r="M48" s="617"/>
      <c r="N48" s="105"/>
      <c r="O48" s="105"/>
      <c r="P48" s="105"/>
      <c r="Q48" s="105"/>
      <c r="R48" s="105"/>
      <c r="T48" s="37"/>
      <c r="U48" s="19"/>
      <c r="V48" s="38"/>
    </row>
    <row r="49" spans="2:22" s="28" customFormat="1" ht="40.9" customHeight="1">
      <c r="B49" s="777" t="s">
        <v>564</v>
      </c>
      <c r="C49" s="777"/>
      <c r="D49" s="777"/>
      <c r="E49" s="777"/>
      <c r="F49" s="777"/>
      <c r="G49" s="777"/>
      <c r="H49" s="777"/>
      <c r="I49" s="777"/>
      <c r="J49" s="777"/>
      <c r="K49" s="777"/>
      <c r="L49" s="777"/>
      <c r="M49" s="617"/>
      <c r="N49" s="105"/>
      <c r="O49" s="105"/>
      <c r="P49" s="105"/>
      <c r="Q49" s="105"/>
      <c r="R49" s="105"/>
      <c r="T49" s="37"/>
      <c r="U49" s="19"/>
      <c r="V49" s="38"/>
    </row>
    <row r="50" spans="2:22" s="28" customFormat="1" ht="18" customHeight="1">
      <c r="B50" s="777" t="s">
        <v>681</v>
      </c>
      <c r="C50" s="777"/>
      <c r="D50" s="777"/>
      <c r="E50" s="777"/>
      <c r="F50" s="777"/>
      <c r="G50" s="777"/>
      <c r="H50" s="777"/>
      <c r="I50" s="777"/>
      <c r="J50" s="777"/>
      <c r="K50" s="777"/>
      <c r="L50" s="77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Street Lighting</v>
      </c>
      <c r="G52" s="135" t="str">
        <f>IF($B32&lt;&gt;"",$B32,"")</f>
        <v>Unmetered Scattered Load</v>
      </c>
      <c r="H52" s="135" t="str">
        <f>IF($B33&lt;&gt;"",$B33,"")</f>
        <v>General Service 50 - 4,999 kW</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22353.604180610379</v>
      </c>
      <c r="E69" s="156">
        <f>'5.  2015-2020 LRAM'!Z388</f>
        <v>30305.368131323441</v>
      </c>
      <c r="F69" s="156">
        <f>'5.  2015-2020 LRAM'!AA388</f>
        <v>31223.241918252806</v>
      </c>
      <c r="G69" s="156">
        <f>'5.  2015-2020 LRAM'!AB388</f>
        <v>0</v>
      </c>
      <c r="H69" s="156">
        <f>'5.  2015-2020 LRAM'!AC388</f>
        <v>24738.04534999442</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108620.25958018104</v>
      </c>
      <c r="U69" s="152"/>
      <c r="V69" s="153"/>
    </row>
    <row r="70" spans="2:22" s="163" customFormat="1">
      <c r="B70" s="154" t="s">
        <v>224</v>
      </c>
      <c r="C70" s="155"/>
      <c r="D70" s="156">
        <f>-'5.  2015-2020 LRAM'!Y389</f>
        <v>-4979.7395999999999</v>
      </c>
      <c r="E70" s="156">
        <f>-'5.  2015-2020 LRAM'!Z389</f>
        <v>-14033.571</v>
      </c>
      <c r="F70" s="156">
        <f>-'5.  2015-2020 LRAM'!AA389</f>
        <v>0</v>
      </c>
      <c r="G70" s="156">
        <f>-'5.  2015-2020 LRAM'!AB389</f>
        <v>0</v>
      </c>
      <c r="H70" s="156">
        <f>-'5.  2015-2020 LRAM'!AC389</f>
        <v>-2379.4512</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-21392.7618</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25384.05202717473</v>
      </c>
      <c r="E72" s="156">
        <f>'5.  2015-2020 LRAM'!Z572</f>
        <v>36341.802495605836</v>
      </c>
      <c r="F72" s="156">
        <f>'5.  2015-2020 LRAM'!AA572</f>
        <v>31743.34779557044</v>
      </c>
      <c r="G72" s="156">
        <f>'5.  2015-2020 LRAM'!AB572</f>
        <v>0</v>
      </c>
      <c r="H72" s="156">
        <f>'5.  2015-2020 LRAM'!AC572</f>
        <v>35082.107333866254</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128551.30965221726</v>
      </c>
      <c r="U72" s="152"/>
      <c r="V72" s="153"/>
    </row>
    <row r="73" spans="2:22" s="163" customFormat="1">
      <c r="B73" s="154" t="s">
        <v>226</v>
      </c>
      <c r="C73" s="155"/>
      <c r="D73" s="156">
        <f>-'5.  2015-2020 LRAM'!Y573</f>
        <v>-3550.3699000000001</v>
      </c>
      <c r="E73" s="156">
        <f>-'5.  2015-2020 LRAM'!Z573</f>
        <v>-14279.773999999999</v>
      </c>
      <c r="F73" s="156">
        <f>-'5.  2015-2020 LRAM'!AA573</f>
        <v>0</v>
      </c>
      <c r="G73" s="156">
        <f>-'5.  2015-2020 LRAM'!AB573</f>
        <v>0</v>
      </c>
      <c r="H73" s="156">
        <f>-'5.  2015-2020 LRAM'!AC573</f>
        <v>-2419.0847999999996</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-20249.2287</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1374.1553103878146</v>
      </c>
      <c r="E84" s="679">
        <f>'6.  Carrying Charges'!J162</f>
        <v>1335.549886003683</v>
      </c>
      <c r="F84" s="679">
        <f>'6.  Carrying Charges'!K162</f>
        <v>2243.9538851399029</v>
      </c>
      <c r="G84" s="679">
        <f>'6.  Carrying Charges'!L162</f>
        <v>0</v>
      </c>
      <c r="H84" s="679">
        <f>'6.  Carrying Charges'!M162</f>
        <v>1905.8216301924767</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6859.480711723877</v>
      </c>
      <c r="U84" s="152"/>
      <c r="V84" s="153"/>
    </row>
    <row r="85" spans="2:22" s="163" customFormat="1" ht="21.75" customHeight="1">
      <c r="B85" s="623" t="s">
        <v>240</v>
      </c>
      <c r="C85" s="624"/>
      <c r="D85" s="623">
        <f>SUM(D54:D74)+D84</f>
        <v>40581.702018172931</v>
      </c>
      <c r="E85" s="623">
        <f>SUM(E54:E74)+E84</f>
        <v>39669.375512932966</v>
      </c>
      <c r="F85" s="623">
        <f>SUM(F54:F74)+F84</f>
        <v>65210.543598963151</v>
      </c>
      <c r="G85" s="623">
        <f>SUM(G54:G74)+G84</f>
        <v>0</v>
      </c>
      <c r="H85" s="623">
        <f>SUM(H54:H74)+H84</f>
        <v>56927.43831405315</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202389.05944412216</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6640.1536530054655</v>
      </c>
      <c r="I93" s="557">
        <f>SUM('5.  2015-2020 LRAM'!Y565:AL565)</f>
        <v>4430.3857192346741</v>
      </c>
      <c r="J93" s="556">
        <f>SUM('5.  2015-2020 LRAM'!Y748:AL748)</f>
        <v>0</v>
      </c>
      <c r="K93" s="556">
        <f>SUM('5.  2015-2020 LRAM'!Y931:AL931)</f>
        <v>0</v>
      </c>
      <c r="L93" s="556">
        <f>SUM('5.  2015-2020 LRAM'!Y1114:AL1114)</f>
        <v>0</v>
      </c>
      <c r="M93" s="556">
        <f>SUM(C93:L93)</f>
        <v>11070.539372240139</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6925.6534932450595</v>
      </c>
      <c r="I94" s="557">
        <f>SUM('5.  2015-2020 LRAM'!Y566:AL566)</f>
        <v>5298.9835830308366</v>
      </c>
      <c r="J94" s="556">
        <f>SUM('5.  2015-2020 LRAM'!Y749:AL749)</f>
        <v>0</v>
      </c>
      <c r="K94" s="556">
        <f>SUM('5.  2015-2020 LRAM'!Y932:AL932)</f>
        <v>0</v>
      </c>
      <c r="L94" s="556">
        <f>SUM('5.  2015-2020 LRAM'!Y1115:AL1115)</f>
        <v>0</v>
      </c>
      <c r="M94" s="556">
        <f>SUM(D94:L94)</f>
        <v>12224.637076275896</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7735.2370434903223</v>
      </c>
      <c r="I95" s="557">
        <f>SUM('5.  2015-2020 LRAM'!Y567:AL567)</f>
        <v>6806.6261153672667</v>
      </c>
      <c r="J95" s="556">
        <f>SUM('5.  2015-2020 LRAM'!Y750:AL750)</f>
        <v>0</v>
      </c>
      <c r="K95" s="556">
        <f>SUM('5.  2015-2020 LRAM'!Y933:AL933)</f>
        <v>0</v>
      </c>
      <c r="L95" s="556">
        <f>SUM('5.  2015-2020 LRAM'!Y1116:AL1116)</f>
        <v>0</v>
      </c>
      <c r="M95" s="556">
        <f>SUM(C95:L95)</f>
        <v>14541.863158857588</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11532.496136720005</v>
      </c>
      <c r="I96" s="557">
        <f>SUM('5.  2015-2020 LRAM'!Y568:AL568)</f>
        <v>10399.464405128308</v>
      </c>
      <c r="J96" s="556">
        <f>SUM('5.  2015-2020 LRAM'!Y751:AL751)</f>
        <v>0</v>
      </c>
      <c r="K96" s="556">
        <f>SUM('5.  2015-2020 LRAM'!Y934:AL934)</f>
        <v>0</v>
      </c>
      <c r="L96" s="556">
        <f>SUM('5.  2015-2020 LRAM'!Y1117:AL1117)</f>
        <v>0</v>
      </c>
      <c r="M96" s="556">
        <f>SUM(F96:L96)</f>
        <v>21931.960541848312</v>
      </c>
      <c r="T96" s="197"/>
      <c r="U96" s="197"/>
    </row>
    <row r="97" spans="2:21" s="90" customFormat="1" ht="23.25" hidden="1" customHeight="1">
      <c r="B97" s="198">
        <v>2015</v>
      </c>
      <c r="C97" s="559"/>
      <c r="D97" s="559"/>
      <c r="E97" s="559"/>
      <c r="F97" s="559"/>
      <c r="G97" s="557">
        <f>SUM('5.  2015-2020 LRAM'!Y203:AL203)</f>
        <v>0</v>
      </c>
      <c r="H97" s="556">
        <f>SUM('5.  2015-2020 LRAM'!Y386:AL386)</f>
        <v>43396.276309602123</v>
      </c>
      <c r="I97" s="557">
        <f>SUM('5.  2015-2020 LRAM'!Y569:AL569)</f>
        <v>43055.781170933347</v>
      </c>
      <c r="J97" s="556">
        <f>SUM('5.  2015-2020 LRAM'!Y752:AL752)</f>
        <v>0</v>
      </c>
      <c r="K97" s="556">
        <f>SUM('5.  2015-2020 LRAM'!Y935:AL935)</f>
        <v>0</v>
      </c>
      <c r="L97" s="556">
        <f>SUM('5.  2015-2020 LRAM'!Y1118:AL1118)</f>
        <v>0</v>
      </c>
      <c r="M97" s="556">
        <f>SUM(G97:L97)</f>
        <v>86452.05748053547</v>
      </c>
      <c r="T97" s="197"/>
      <c r="U97" s="197"/>
    </row>
    <row r="98" spans="2:21" s="90" customFormat="1" ht="23.25" hidden="1" customHeight="1">
      <c r="B98" s="198">
        <v>2016</v>
      </c>
      <c r="C98" s="559"/>
      <c r="D98" s="559"/>
      <c r="E98" s="559"/>
      <c r="F98" s="559"/>
      <c r="G98" s="559"/>
      <c r="H98" s="556">
        <f>SUM('5.  2015-2020 LRAM'!Y387:AL387)</f>
        <v>32390.442944118076</v>
      </c>
      <c r="I98" s="557">
        <f>SUM('5.  2015-2020 LRAM'!Y570:AL570)</f>
        <v>29299.203868509816</v>
      </c>
      <c r="J98" s="556">
        <f>SUM('5.  2015-2020 LRAM'!Y753:AL753)</f>
        <v>0</v>
      </c>
      <c r="K98" s="556">
        <f>SUM('5.  2015-2020 LRAM'!Y936:AL936)</f>
        <v>0</v>
      </c>
      <c r="L98" s="556">
        <f>SUM('5.  2015-2020 LRAM'!Y1119:AL1119)</f>
        <v>0</v>
      </c>
      <c r="M98" s="556">
        <f>SUM(H98:L98)</f>
        <v>61689.646812627892</v>
      </c>
      <c r="T98" s="197"/>
      <c r="U98" s="197"/>
    </row>
    <row r="99" spans="2:21" s="90" customFormat="1" ht="23.25" hidden="1" customHeight="1">
      <c r="B99" s="198">
        <v>2017</v>
      </c>
      <c r="C99" s="559"/>
      <c r="D99" s="559"/>
      <c r="E99" s="559"/>
      <c r="F99" s="559"/>
      <c r="G99" s="559"/>
      <c r="H99" s="559"/>
      <c r="I99" s="556">
        <f>SUM('5.  2015-2020 LRAM'!Y571:AL571)</f>
        <v>29260.864790013016</v>
      </c>
      <c r="J99" s="556">
        <f>SUM('5.  2015-2020 LRAM'!Y754:AL754)</f>
        <v>0</v>
      </c>
      <c r="K99" s="556">
        <f>SUM('5.  2015-2020 LRAM'!Y937:AL937)</f>
        <v>0</v>
      </c>
      <c r="L99" s="556">
        <f>SUM('5.  2015-2020 LRAM'!Y1120:AL1120)</f>
        <v>0</v>
      </c>
      <c r="M99" s="556">
        <f>SUM(I99:L99)</f>
        <v>29260.864790013016</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108620.25958018104</v>
      </c>
      <c r="I103" s="556">
        <f>I93+I94+I95+I96+I97+I98+I99</f>
        <v>128551.30965221727</v>
      </c>
      <c r="J103" s="556">
        <f>J93+J94+J95+J96+J97+J98+J99+J100</f>
        <v>0</v>
      </c>
      <c r="K103" s="556">
        <f>K93+K94+K95+K96+K97+K98+K99+K100+K101</f>
        <v>0</v>
      </c>
      <c r="L103" s="556">
        <f>SUM(L93:L102)</f>
        <v>0</v>
      </c>
      <c r="M103" s="556">
        <f>SUM(M93:M102)</f>
        <v>237171.56923239829</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21392.7618</v>
      </c>
      <c r="I104" s="554">
        <f>'5.  2015-2020 LRAM'!AM573</f>
        <v>20249.2287</v>
      </c>
      <c r="J104" s="554">
        <f>'5.  2015-2020 LRAM'!AM757</f>
        <v>0</v>
      </c>
      <c r="K104" s="554">
        <f>'5.  2015-2020 LRAM'!AM941</f>
        <v>0</v>
      </c>
      <c r="L104" s="554">
        <f>'5.  2015-2020 LRAM'!AM1125</f>
        <v>0</v>
      </c>
      <c r="M104" s="556">
        <f>SUM(C104:L104)</f>
        <v>41641.9905</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439.77196797507941</v>
      </c>
      <c r="I105" s="554">
        <f>'6.  Carrying Charges'!W117</f>
        <v>2122.7766669315283</v>
      </c>
      <c r="J105" s="554">
        <f>'6.  Carrying Charges'!W132</f>
        <v>5627.644365709767</v>
      </c>
      <c r="K105" s="554">
        <f>'6.  Carrying Charges'!W147</f>
        <v>6859.4807117238752</v>
      </c>
      <c r="L105" s="554">
        <f>'6.  Carrying Charges'!W162</f>
        <v>6859.4807117238752</v>
      </c>
      <c r="M105" s="556">
        <f>SUM(C105:L105)</f>
        <v>21909.154424064123</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87667.269748156104</v>
      </c>
      <c r="I106" s="554">
        <f t="shared" si="3"/>
        <v>110424.85761914881</v>
      </c>
      <c r="J106" s="554">
        <f t="shared" si="3"/>
        <v>5627.644365709767</v>
      </c>
      <c r="K106" s="554">
        <f>K103-K104+K105</f>
        <v>6859.4807117238752</v>
      </c>
      <c r="L106" s="554">
        <f>L103-L104+L105</f>
        <v>6859.4807117238752</v>
      </c>
      <c r="M106" s="554">
        <f>M103-M104+M105</f>
        <v>217438.7331564624</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scale="25"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0" zoomScaleNormal="80" workbookViewId="0">
      <selection sqref="A1:XFD104857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614</v>
      </c>
    </row>
    <row r="20" spans="2:8" ht="13.5" customHeight="1"/>
    <row r="21" spans="2:8" ht="40.9" customHeight="1">
      <c r="B21" s="777" t="s">
        <v>680</v>
      </c>
      <c r="C21" s="777"/>
      <c r="D21" s="777"/>
      <c r="E21" s="777"/>
      <c r="F21" s="777"/>
      <c r="G21" s="777"/>
      <c r="H21" s="777"/>
    </row>
    <row r="23" spans="2:8" s="609" customFormat="1" ht="15.75">
      <c r="B23" s="619" t="s">
        <v>546</v>
      </c>
      <c r="C23" s="619" t="s">
        <v>561</v>
      </c>
      <c r="D23" s="619" t="s">
        <v>545</v>
      </c>
      <c r="E23" s="784" t="s">
        <v>34</v>
      </c>
      <c r="F23" s="785"/>
      <c r="G23" s="784" t="s">
        <v>544</v>
      </c>
      <c r="H23" s="785"/>
    </row>
    <row r="24" spans="2:8">
      <c r="B24" s="608">
        <v>1</v>
      </c>
      <c r="C24" s="644" t="s">
        <v>368</v>
      </c>
      <c r="D24" s="739" t="s">
        <v>690</v>
      </c>
      <c r="E24" s="782" t="s">
        <v>691</v>
      </c>
      <c r="F24" s="783"/>
      <c r="G24" s="786"/>
      <c r="H24" s="787"/>
    </row>
    <row r="25" spans="2:8">
      <c r="B25" s="608">
        <v>2</v>
      </c>
      <c r="C25" s="644" t="s">
        <v>368</v>
      </c>
      <c r="D25" s="739" t="s">
        <v>692</v>
      </c>
      <c r="E25" s="782" t="s">
        <v>693</v>
      </c>
      <c r="F25" s="783"/>
      <c r="G25" s="786"/>
      <c r="H25" s="787"/>
    </row>
    <row r="26" spans="2:8">
      <c r="B26" s="608">
        <v>3</v>
      </c>
      <c r="C26" s="644" t="s">
        <v>368</v>
      </c>
      <c r="D26" s="739" t="s">
        <v>694</v>
      </c>
      <c r="E26" s="782" t="s">
        <v>695</v>
      </c>
      <c r="F26" s="783"/>
      <c r="G26" s="786"/>
      <c r="H26" s="787"/>
    </row>
    <row r="27" spans="2:8">
      <c r="B27" s="608">
        <v>4</v>
      </c>
      <c r="C27" s="644" t="s">
        <v>369</v>
      </c>
      <c r="D27" s="739" t="s">
        <v>696</v>
      </c>
      <c r="E27" s="782" t="s">
        <v>697</v>
      </c>
      <c r="F27" s="783"/>
      <c r="G27" s="786"/>
      <c r="H27" s="787"/>
    </row>
    <row r="28" spans="2:8">
      <c r="B28" s="608">
        <v>5</v>
      </c>
      <c r="C28" s="644"/>
      <c r="D28" s="607"/>
      <c r="E28" s="782"/>
      <c r="F28" s="783"/>
      <c r="G28" s="786"/>
      <c r="H28" s="787"/>
    </row>
    <row r="29" spans="2:8">
      <c r="B29" s="608">
        <v>6</v>
      </c>
      <c r="C29" s="644"/>
      <c r="D29" s="607"/>
      <c r="E29" s="782"/>
      <c r="F29" s="783"/>
      <c r="G29" s="786"/>
      <c r="H29" s="787"/>
    </row>
    <row r="30" spans="2:8">
      <c r="B30" s="608">
        <v>7</v>
      </c>
      <c r="C30" s="644"/>
      <c r="D30" s="607"/>
      <c r="E30" s="782"/>
      <c r="F30" s="783"/>
      <c r="G30" s="786"/>
      <c r="H30" s="787"/>
    </row>
    <row r="31" spans="2:8">
      <c r="B31" s="608">
        <v>8</v>
      </c>
      <c r="C31" s="644"/>
      <c r="D31" s="607"/>
      <c r="E31" s="782"/>
      <c r="F31" s="783"/>
      <c r="G31" s="786"/>
      <c r="H31" s="787"/>
    </row>
    <row r="32" spans="2:8">
      <c r="B32" s="608">
        <v>9</v>
      </c>
      <c r="C32" s="644"/>
      <c r="D32" s="607"/>
      <c r="E32" s="782"/>
      <c r="F32" s="783"/>
      <c r="G32" s="786"/>
      <c r="H32" s="787"/>
    </row>
    <row r="33" spans="2:8">
      <c r="B33" s="608">
        <v>10</v>
      </c>
      <c r="C33" s="644"/>
      <c r="D33" s="607"/>
      <c r="E33" s="782"/>
      <c r="F33" s="783"/>
      <c r="G33" s="786"/>
      <c r="H33" s="787"/>
    </row>
    <row r="34" spans="2:8">
      <c r="B34" s="608" t="s">
        <v>480</v>
      </c>
      <c r="C34" s="644"/>
      <c r="D34" s="607"/>
      <c r="E34" s="782"/>
      <c r="F34" s="783"/>
      <c r="G34" s="786"/>
      <c r="H34" s="787"/>
    </row>
    <row r="36" spans="2:8" ht="30.75" customHeight="1">
      <c r="B36" s="537" t="s">
        <v>610</v>
      </c>
    </row>
    <row r="37" spans="2:8" ht="23.25" customHeight="1">
      <c r="B37" s="568" t="s">
        <v>615</v>
      </c>
      <c r="C37" s="605"/>
      <c r="D37" s="605"/>
      <c r="E37" s="605"/>
      <c r="F37" s="605"/>
      <c r="G37" s="605"/>
      <c r="H37" s="605"/>
    </row>
    <row r="39" spans="2:8" s="90" customFormat="1" ht="15.75">
      <c r="B39" s="619" t="s">
        <v>546</v>
      </c>
      <c r="C39" s="619" t="s">
        <v>561</v>
      </c>
      <c r="D39" s="619" t="s">
        <v>545</v>
      </c>
      <c r="E39" s="784" t="s">
        <v>34</v>
      </c>
      <c r="F39" s="785"/>
      <c r="G39" s="784" t="s">
        <v>544</v>
      </c>
      <c r="H39" s="785"/>
    </row>
    <row r="40" spans="2:8">
      <c r="B40" s="608">
        <v>1</v>
      </c>
      <c r="C40" s="644"/>
      <c r="D40" s="607"/>
      <c r="E40" s="782"/>
      <c r="F40" s="783"/>
      <c r="G40" s="786"/>
      <c r="H40" s="787"/>
    </row>
    <row r="41" spans="2:8">
      <c r="B41" s="608">
        <v>2</v>
      </c>
      <c r="C41" s="644"/>
      <c r="D41" s="607"/>
      <c r="E41" s="782"/>
      <c r="F41" s="783"/>
      <c r="G41" s="786"/>
      <c r="H41" s="787"/>
    </row>
    <row r="42" spans="2:8">
      <c r="B42" s="608">
        <v>3</v>
      </c>
      <c r="C42" s="644"/>
      <c r="D42" s="607"/>
      <c r="E42" s="782"/>
      <c r="F42" s="783"/>
      <c r="G42" s="786"/>
      <c r="H42" s="787"/>
    </row>
    <row r="43" spans="2:8">
      <c r="B43" s="608">
        <v>4</v>
      </c>
      <c r="C43" s="644"/>
      <c r="D43" s="607"/>
      <c r="E43" s="782"/>
      <c r="F43" s="783"/>
      <c r="G43" s="786"/>
      <c r="H43" s="787"/>
    </row>
    <row r="44" spans="2:8">
      <c r="B44" s="608">
        <v>5</v>
      </c>
      <c r="C44" s="644"/>
      <c r="D44" s="607"/>
      <c r="E44" s="782"/>
      <c r="F44" s="783"/>
      <c r="G44" s="786"/>
      <c r="H44" s="787"/>
    </row>
    <row r="45" spans="2:8">
      <c r="B45" s="608">
        <v>6</v>
      </c>
      <c r="C45" s="644"/>
      <c r="D45" s="607"/>
      <c r="E45" s="782"/>
      <c r="F45" s="783"/>
      <c r="G45" s="786"/>
      <c r="H45" s="787"/>
    </row>
    <row r="46" spans="2:8">
      <c r="B46" s="608">
        <v>7</v>
      </c>
      <c r="C46" s="644"/>
      <c r="D46" s="607"/>
      <c r="E46" s="782"/>
      <c r="F46" s="783"/>
      <c r="G46" s="786"/>
      <c r="H46" s="787"/>
    </row>
    <row r="47" spans="2:8">
      <c r="B47" s="608">
        <v>8</v>
      </c>
      <c r="C47" s="644"/>
      <c r="D47" s="607"/>
      <c r="E47" s="782"/>
      <c r="F47" s="783"/>
      <c r="G47" s="786"/>
      <c r="H47" s="787"/>
    </row>
    <row r="48" spans="2:8">
      <c r="B48" s="608">
        <v>9</v>
      </c>
      <c r="C48" s="644"/>
      <c r="D48" s="607"/>
      <c r="E48" s="782"/>
      <c r="F48" s="783"/>
      <c r="G48" s="786"/>
      <c r="H48" s="787"/>
    </row>
    <row r="49" spans="2:8">
      <c r="B49" s="608">
        <v>10</v>
      </c>
      <c r="C49" s="644"/>
      <c r="D49" s="607"/>
      <c r="E49" s="782"/>
      <c r="F49" s="783"/>
      <c r="G49" s="786"/>
      <c r="H49" s="787"/>
    </row>
    <row r="50" spans="2:8">
      <c r="B50" s="608" t="s">
        <v>480</v>
      </c>
      <c r="C50" s="644"/>
      <c r="D50" s="607"/>
      <c r="E50" s="782"/>
      <c r="F50" s="783"/>
      <c r="G50" s="786"/>
      <c r="H50" s="78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C28:C34</xm:sqref>
        </x14:dataValidation>
        <x14:dataValidation type="list" allowBlank="1" showInputMessage="1" showErrorMessage="1" xr:uid="{563214D4-E4C3-436E-BD6C-DA49BC5AC53E}">
          <x14:formula1>
            <xm:f>'[NOTL_LRAMVA_Work_Form_v 2_ July 10 2018.xlsx]DropDownList'!#REF!</xm:f>
          </x14:formula1>
          <xm:sqref>C24:C27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7" zoomScale="80" zoomScaleNormal="80" workbookViewId="0">
      <selection activeCell="F7" sqref="F7"/>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788" t="s">
        <v>563</v>
      </c>
      <c r="C11" s="788"/>
      <c r="D11" s="788"/>
      <c r="E11" s="788"/>
      <c r="F11" s="788"/>
      <c r="G11" s="788"/>
      <c r="H11" s="788"/>
      <c r="I11" s="788"/>
      <c r="J11" s="788"/>
      <c r="K11" s="788"/>
      <c r="L11" s="788"/>
      <c r="M11" s="78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Street Lighting</v>
      </c>
      <c r="G13" s="243" t="str">
        <f>'1.  LRAMVA Summary'!G52</f>
        <v>Unmetered Scattered Load</v>
      </c>
      <c r="H13" s="243" t="str">
        <f>'1.  LRAMVA Summary'!H52</f>
        <v>General Service 50 - 4,999 kW</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2879184</v>
      </c>
      <c r="D15" s="740">
        <v>461087</v>
      </c>
      <c r="E15" s="740">
        <v>1231015</v>
      </c>
      <c r="F15" s="740">
        <v>0</v>
      </c>
      <c r="G15" s="740">
        <v>0</v>
      </c>
      <c r="H15" s="740">
        <v>1187082</v>
      </c>
      <c r="I15" s="451"/>
      <c r="J15" s="451"/>
      <c r="K15" s="451"/>
      <c r="L15" s="451"/>
      <c r="M15" s="451"/>
      <c r="N15" s="451"/>
      <c r="O15" s="451"/>
      <c r="P15" s="452"/>
      <c r="Q15" s="452"/>
    </row>
    <row r="16" spans="2:17" s="456" customFormat="1" ht="15.75" customHeight="1">
      <c r="B16" s="461" t="s">
        <v>28</v>
      </c>
      <c r="C16" s="626">
        <f>SUM(D16:Q16)</f>
        <v>1104</v>
      </c>
      <c r="D16" s="452"/>
      <c r="E16" s="452"/>
      <c r="F16" s="452"/>
      <c r="G16" s="452"/>
      <c r="H16" s="452">
        <v>1104</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461087</v>
      </c>
      <c r="E18" s="192">
        <f t="shared" si="0"/>
        <v>1231015</v>
      </c>
      <c r="F18" s="192">
        <f>IF(F14="kw",HLOOKUP(F14,F14:F16,3,FALSE),HLOOKUP(F14,F14:F16,2,FALSE))</f>
        <v>0</v>
      </c>
      <c r="G18" s="192">
        <f t="shared" ref="G18:Q18" si="1">IF(G14="kw",HLOOKUP(G14,G14:G16,3,FALSE),HLOOKUP(G14,G14:G16,2,FALSE))</f>
        <v>0</v>
      </c>
      <c r="H18" s="192">
        <f t="shared" si="1"/>
        <v>1104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t="s">
        <v>698</v>
      </c>
      <c r="D20" s="454"/>
    </row>
    <row r="21" spans="2:17" s="438" customFormat="1" ht="21" customHeight="1">
      <c r="B21" s="460" t="s">
        <v>366</v>
      </c>
      <c r="C21" s="453" t="s">
        <v>699</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88" t="s">
        <v>562</v>
      </c>
      <c r="C26" s="788"/>
      <c r="D26" s="788"/>
      <c r="E26" s="788"/>
      <c r="F26" s="788"/>
      <c r="G26" s="788"/>
      <c r="H26" s="788"/>
      <c r="I26" s="788"/>
      <c r="J26" s="788"/>
      <c r="K26" s="788"/>
      <c r="L26" s="788"/>
      <c r="M26" s="78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Street Lighting</v>
      </c>
      <c r="G28" s="243" t="str">
        <f>'1.  LRAMVA Summary'!G52</f>
        <v>Unmetered Scattered Load</v>
      </c>
      <c r="H28" s="243" t="str">
        <f>'1.  LRAMVA Summary'!H52</f>
        <v>General Service 50 - 4,999 kW</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88" t="s">
        <v>608</v>
      </c>
      <c r="C40" s="788"/>
      <c r="D40" s="788"/>
      <c r="E40" s="788"/>
      <c r="F40" s="788"/>
      <c r="G40" s="788"/>
      <c r="H40" s="788"/>
      <c r="I40" s="788"/>
      <c r="J40" s="788"/>
      <c r="K40" s="788"/>
      <c r="L40" s="788"/>
      <c r="M40" s="78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Street Lighting</v>
      </c>
      <c r="G42" s="243" t="str">
        <f>'1.  LRAMVA Summary'!G52</f>
        <v>Unmetered Scattered Load</v>
      </c>
      <c r="H42" s="243" t="str">
        <f>'1.  LRAMVA Summary'!H52</f>
        <v>General Service 50 - 4,999 kW</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2014</v>
      </c>
      <c r="D49" s="190">
        <f t="shared" ref="D49:Q49" si="8">IF(ISBLANK($C$49),0,IF($C$49=$D$9,HLOOKUP(D43,D14:D18,5,FALSE),HLOOKUP(D43,D29:D33,5,FALSE)))</f>
        <v>461087</v>
      </c>
      <c r="E49" s="190">
        <f t="shared" si="8"/>
        <v>1231015</v>
      </c>
      <c r="F49" s="190">
        <f t="shared" si="8"/>
        <v>0</v>
      </c>
      <c r="G49" s="190">
        <f t="shared" si="8"/>
        <v>0</v>
      </c>
      <c r="H49" s="190">
        <f t="shared" si="8"/>
        <v>1104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2014</v>
      </c>
      <c r="D50" s="190">
        <f t="shared" ref="D50:I50" si="9">IF(ISBLANK($C$50),0,IF($C$50=$D$9,HLOOKUP(D43,D14:D18,5,FALSE),HLOOKUP(D43,D29:D33,5,FALSE)))</f>
        <v>461087</v>
      </c>
      <c r="E50" s="190">
        <f t="shared" si="9"/>
        <v>1231015</v>
      </c>
      <c r="F50" s="190">
        <f t="shared" si="9"/>
        <v>0</v>
      </c>
      <c r="G50" s="190">
        <f t="shared" si="9"/>
        <v>0</v>
      </c>
      <c r="H50" s="190">
        <f t="shared" si="9"/>
        <v>1104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sqref="A1:XFD1048576"/>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89" t="s">
        <v>171</v>
      </c>
      <c r="C4" s="85" t="s">
        <v>175</v>
      </c>
      <c r="D4" s="85"/>
      <c r="E4" s="49"/>
    </row>
    <row r="5" spans="1:26" s="18" customFormat="1" ht="26.25" hidden="1" customHeight="1" outlineLevel="1" thickBot="1">
      <c r="A5" s="4"/>
      <c r="B5" s="789"/>
      <c r="C5" s="86" t="s">
        <v>172</v>
      </c>
      <c r="D5" s="86"/>
      <c r="E5" s="49"/>
    </row>
    <row r="6" spans="1:26" ht="26.25" hidden="1" customHeight="1" outlineLevel="1" thickBot="1">
      <c r="B6" s="789"/>
      <c r="C6" s="795" t="s">
        <v>551</v>
      </c>
      <c r="D6" s="79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797" t="s">
        <v>616</v>
      </c>
      <c r="C12" s="797"/>
      <c r="D12" s="797"/>
      <c r="E12" s="797"/>
      <c r="F12" s="797"/>
      <c r="G12" s="797"/>
      <c r="H12" s="797"/>
      <c r="I12" s="797"/>
      <c r="J12" s="797"/>
      <c r="K12" s="797"/>
      <c r="L12" s="797"/>
      <c r="M12" s="797"/>
      <c r="N12" s="797"/>
      <c r="O12" s="79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700</v>
      </c>
      <c r="E14" s="472" t="s">
        <v>701</v>
      </c>
      <c r="F14" s="472" t="s">
        <v>702</v>
      </c>
      <c r="G14" s="472" t="s">
        <v>703</v>
      </c>
      <c r="H14" s="472" t="s">
        <v>704</v>
      </c>
      <c r="I14" s="472" t="s">
        <v>705</v>
      </c>
      <c r="J14" s="472" t="s">
        <v>706</v>
      </c>
      <c r="K14" s="472" t="s">
        <v>684</v>
      </c>
      <c r="L14" s="472" t="s">
        <v>707</v>
      </c>
      <c r="M14" s="472" t="s">
        <v>686</v>
      </c>
      <c r="N14" s="472" t="s">
        <v>565</v>
      </c>
      <c r="O14" s="472" t="s">
        <v>566</v>
      </c>
      <c r="P14" s="7"/>
    </row>
    <row r="15" spans="1:26" s="7" customFormat="1" ht="18.75" customHeight="1">
      <c r="B15" s="473" t="s">
        <v>188</v>
      </c>
      <c r="C15" s="79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791"/>
      <c r="D16" s="477">
        <v>4</v>
      </c>
      <c r="E16" s="477">
        <v>4</v>
      </c>
      <c r="F16" s="477">
        <v>4</v>
      </c>
      <c r="G16" s="477">
        <v>4</v>
      </c>
      <c r="H16" s="477">
        <v>4</v>
      </c>
      <c r="I16" s="477">
        <v>4</v>
      </c>
      <c r="J16" s="477">
        <v>4</v>
      </c>
      <c r="K16" s="477">
        <v>4</v>
      </c>
      <c r="L16" s="477"/>
      <c r="M16" s="477"/>
      <c r="N16" s="477"/>
      <c r="O16" s="478"/>
    </row>
    <row r="17" spans="1:15" s="111" customFormat="1" ht="17.25" customHeight="1">
      <c r="B17" s="479" t="s">
        <v>560</v>
      </c>
      <c r="C17" s="792"/>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12</v>
      </c>
      <c r="M17" s="112">
        <f t="shared" si="1"/>
        <v>12</v>
      </c>
      <c r="N17" s="112">
        <f t="shared" si="1"/>
        <v>12</v>
      </c>
      <c r="O17" s="113">
        <f t="shared" si="1"/>
        <v>12</v>
      </c>
    </row>
    <row r="18" spans="1:15" s="7" customFormat="1" ht="17.25" customHeight="1">
      <c r="B18" s="480" t="str">
        <f>'1.  LRAMVA Summary'!B29</f>
        <v>Residential</v>
      </c>
      <c r="C18" s="793" t="str">
        <f>'2. LRAMVA Threshold'!D43</f>
        <v>kWh</v>
      </c>
      <c r="D18" s="46">
        <v>1.2699999999999999E-2</v>
      </c>
      <c r="E18" s="46">
        <v>1.2699999999999999E-2</v>
      </c>
      <c r="F18" s="46">
        <v>1.2800000000000001E-2</v>
      </c>
      <c r="G18" s="46">
        <v>1.29E-2</v>
      </c>
      <c r="H18" s="46">
        <v>1.26E-2</v>
      </c>
      <c r="I18" s="46">
        <v>1.2800000000000001E-2</v>
      </c>
      <c r="J18" s="46">
        <v>9.7999999999999997E-3</v>
      </c>
      <c r="K18" s="46">
        <v>6.6E-3</v>
      </c>
      <c r="L18" s="46"/>
      <c r="M18" s="46"/>
      <c r="N18" s="46"/>
      <c r="O18" s="69"/>
    </row>
    <row r="19" spans="1:15" s="7" customFormat="1" ht="15" customHeight="1" outlineLevel="1">
      <c r="B19" s="536" t="s">
        <v>511</v>
      </c>
      <c r="C19" s="791"/>
      <c r="D19" s="46"/>
      <c r="E19" s="46"/>
      <c r="F19" s="46"/>
      <c r="G19" s="46"/>
      <c r="H19" s="46"/>
      <c r="I19" s="46"/>
      <c r="J19" s="46"/>
      <c r="K19" s="46"/>
      <c r="L19" s="46"/>
      <c r="M19" s="46"/>
      <c r="N19" s="46"/>
      <c r="O19" s="69"/>
    </row>
    <row r="20" spans="1:15" s="7" customFormat="1" ht="15" customHeight="1" outlineLevel="1">
      <c r="B20" s="536" t="s">
        <v>512</v>
      </c>
      <c r="C20" s="791"/>
      <c r="D20" s="46"/>
      <c r="E20" s="46"/>
      <c r="F20" s="46"/>
      <c r="G20" s="46"/>
      <c r="H20" s="46"/>
      <c r="I20" s="46"/>
      <c r="J20" s="46"/>
      <c r="K20" s="46"/>
      <c r="L20" s="46"/>
      <c r="M20" s="46"/>
      <c r="N20" s="46"/>
      <c r="O20" s="69"/>
    </row>
    <row r="21" spans="1:15" s="7" customFormat="1" ht="15" customHeight="1" outlineLevel="1">
      <c r="B21" s="536" t="s">
        <v>490</v>
      </c>
      <c r="C21" s="791"/>
      <c r="D21" s="46"/>
      <c r="E21" s="46"/>
      <c r="F21" s="46"/>
      <c r="G21" s="46"/>
      <c r="H21" s="46"/>
      <c r="I21" s="46"/>
      <c r="J21" s="46"/>
      <c r="K21" s="46"/>
      <c r="L21" s="46"/>
      <c r="M21" s="46"/>
      <c r="N21" s="46"/>
      <c r="O21" s="69"/>
    </row>
    <row r="22" spans="1:15" s="7" customFormat="1" ht="14.25" customHeight="1">
      <c r="B22" s="536" t="s">
        <v>513</v>
      </c>
      <c r="C22" s="794"/>
      <c r="D22" s="65">
        <f>SUM(D18:D21)</f>
        <v>1.2699999999999999E-2</v>
      </c>
      <c r="E22" s="65">
        <f>SUM(E18:E21)</f>
        <v>1.2699999999999999E-2</v>
      </c>
      <c r="F22" s="65">
        <f>SUM(F18:F21)</f>
        <v>1.2800000000000001E-2</v>
      </c>
      <c r="G22" s="65">
        <f t="shared" ref="G22:N22" si="2">SUM(G18:G21)</f>
        <v>1.29E-2</v>
      </c>
      <c r="H22" s="65">
        <f t="shared" si="2"/>
        <v>1.26E-2</v>
      </c>
      <c r="I22" s="65">
        <f t="shared" si="2"/>
        <v>1.2800000000000001E-2</v>
      </c>
      <c r="J22" s="65">
        <f t="shared" si="2"/>
        <v>9.7999999999999997E-3</v>
      </c>
      <c r="K22" s="65">
        <f t="shared" si="2"/>
        <v>6.6E-3</v>
      </c>
      <c r="L22" s="65">
        <f t="shared" si="2"/>
        <v>0</v>
      </c>
      <c r="M22" s="65">
        <f t="shared" si="2"/>
        <v>0</v>
      </c>
      <c r="N22" s="65">
        <f t="shared" si="2"/>
        <v>0</v>
      </c>
      <c r="O22" s="76"/>
    </row>
    <row r="23" spans="1:15" s="63" customFormat="1">
      <c r="A23" s="62"/>
      <c r="B23" s="492" t="s">
        <v>514</v>
      </c>
      <c r="C23" s="482"/>
      <c r="D23" s="483"/>
      <c r="E23" s="484">
        <f>ROUND(SUM(D22*E16+E22*E17)/12,4)</f>
        <v>1.2699999999999999E-2</v>
      </c>
      <c r="F23" s="484">
        <f>ROUND(SUM(E22*F16+F22*F17)/12,4)</f>
        <v>1.2800000000000001E-2</v>
      </c>
      <c r="G23" s="484">
        <f>ROUND(SUM(F22*G16+G22*G17)/12,4)</f>
        <v>1.29E-2</v>
      </c>
      <c r="H23" s="484">
        <f>ROUND(SUM(G22*H16+H22*H17)/12,4)</f>
        <v>1.2699999999999999E-2</v>
      </c>
      <c r="I23" s="484">
        <f>ROUND(SUM(H22*I16+I22*I17)/12,4)</f>
        <v>1.2699999999999999E-2</v>
      </c>
      <c r="J23" s="484">
        <f t="shared" ref="J23:N23" si="3">ROUND(SUM(I22*J16+J22*J17)/12,4)</f>
        <v>1.0800000000000001E-2</v>
      </c>
      <c r="K23" s="484">
        <f t="shared" si="3"/>
        <v>7.7000000000000002E-3</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793" t="str">
        <f>'2. LRAMVA Threshold'!E43</f>
        <v>kWh</v>
      </c>
      <c r="D25" s="46">
        <v>1.3599999999999999E-2</v>
      </c>
      <c r="E25" s="46">
        <v>1.3599999999999999E-2</v>
      </c>
      <c r="F25" s="46">
        <v>1.37E-2</v>
      </c>
      <c r="G25" s="46">
        <v>1.38E-2</v>
      </c>
      <c r="H25" s="46">
        <v>1.12E-2</v>
      </c>
      <c r="I25" s="46">
        <v>1.1299999999999999E-2</v>
      </c>
      <c r="J25" s="46">
        <v>1.15E-2</v>
      </c>
      <c r="K25" s="46">
        <v>1.17E-2</v>
      </c>
      <c r="L25" s="46"/>
      <c r="M25" s="46"/>
      <c r="N25" s="46"/>
      <c r="O25" s="69"/>
    </row>
    <row r="26" spans="1:15" s="18" customFormat="1" outlineLevel="1">
      <c r="A26" s="4"/>
      <c r="B26" s="536" t="s">
        <v>511</v>
      </c>
      <c r="C26" s="791"/>
      <c r="D26" s="46"/>
      <c r="E26" s="46"/>
      <c r="F26" s="46"/>
      <c r="G26" s="46"/>
      <c r="H26" s="46"/>
      <c r="I26" s="46"/>
      <c r="J26" s="46"/>
      <c r="K26" s="46"/>
      <c r="L26" s="46"/>
      <c r="M26" s="46"/>
      <c r="N26" s="46"/>
      <c r="O26" s="69"/>
    </row>
    <row r="27" spans="1:15" s="18" customFormat="1" outlineLevel="1">
      <c r="A27" s="4"/>
      <c r="B27" s="536" t="s">
        <v>512</v>
      </c>
      <c r="C27" s="791"/>
      <c r="D27" s="46"/>
      <c r="E27" s="46"/>
      <c r="F27" s="46"/>
      <c r="G27" s="46"/>
      <c r="H27" s="46"/>
      <c r="I27" s="46"/>
      <c r="J27" s="46"/>
      <c r="K27" s="46"/>
      <c r="L27" s="46"/>
      <c r="M27" s="46"/>
      <c r="N27" s="46"/>
      <c r="O27" s="69"/>
    </row>
    <row r="28" spans="1:15" s="18" customFormat="1" outlineLevel="1">
      <c r="A28" s="4"/>
      <c r="B28" s="536" t="s">
        <v>490</v>
      </c>
      <c r="C28" s="791"/>
      <c r="D28" s="46"/>
      <c r="E28" s="46"/>
      <c r="F28" s="46"/>
      <c r="G28" s="46"/>
      <c r="H28" s="46"/>
      <c r="I28" s="46"/>
      <c r="J28" s="46"/>
      <c r="K28" s="46"/>
      <c r="L28" s="46"/>
      <c r="M28" s="46"/>
      <c r="N28" s="46"/>
      <c r="O28" s="69"/>
    </row>
    <row r="29" spans="1:15" s="18" customFormat="1">
      <c r="A29" s="4"/>
      <c r="B29" s="536" t="s">
        <v>513</v>
      </c>
      <c r="C29" s="794"/>
      <c r="D29" s="65">
        <f>SUM(D25:D28)</f>
        <v>1.3599999999999999E-2</v>
      </c>
      <c r="E29" s="65">
        <f t="shared" ref="E29:N29" si="4">SUM(E25:E28)</f>
        <v>1.3599999999999999E-2</v>
      </c>
      <c r="F29" s="65">
        <f t="shared" si="4"/>
        <v>1.37E-2</v>
      </c>
      <c r="G29" s="65">
        <f t="shared" si="4"/>
        <v>1.38E-2</v>
      </c>
      <c r="H29" s="65">
        <f t="shared" si="4"/>
        <v>1.12E-2</v>
      </c>
      <c r="I29" s="65">
        <f t="shared" si="4"/>
        <v>1.1299999999999999E-2</v>
      </c>
      <c r="J29" s="65">
        <f t="shared" si="4"/>
        <v>1.15E-2</v>
      </c>
      <c r="K29" s="65">
        <f t="shared" si="4"/>
        <v>1.17E-2</v>
      </c>
      <c r="L29" s="65">
        <f t="shared" si="4"/>
        <v>0</v>
      </c>
      <c r="M29" s="65">
        <f t="shared" si="4"/>
        <v>0</v>
      </c>
      <c r="N29" s="65">
        <f t="shared" si="4"/>
        <v>0</v>
      </c>
      <c r="O29" s="76"/>
    </row>
    <row r="30" spans="1:15" s="18" customFormat="1">
      <c r="A30" s="4"/>
      <c r="B30" s="492" t="s">
        <v>514</v>
      </c>
      <c r="C30" s="488"/>
      <c r="D30" s="71"/>
      <c r="E30" s="484">
        <f>ROUND(SUM(D29*E16+E29*E17)/12,4)</f>
        <v>1.3599999999999999E-2</v>
      </c>
      <c r="F30" s="484">
        <f t="shared" ref="F30:N30" si="5">ROUND(SUM(E29*F16+F29*F17)/12,4)</f>
        <v>1.37E-2</v>
      </c>
      <c r="G30" s="484">
        <f t="shared" si="5"/>
        <v>1.38E-2</v>
      </c>
      <c r="H30" s="484">
        <f t="shared" si="5"/>
        <v>1.21E-2</v>
      </c>
      <c r="I30" s="484">
        <f t="shared" si="5"/>
        <v>1.1299999999999999E-2</v>
      </c>
      <c r="J30" s="484">
        <f>ROUND(SUM(I29*J16+J29*J17)/12,4)</f>
        <v>1.14E-2</v>
      </c>
      <c r="K30" s="484">
        <f t="shared" si="5"/>
        <v>1.1599999999999999E-2</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Street Lighting</v>
      </c>
      <c r="C32" s="793" t="str">
        <f>'2. LRAMVA Threshold'!F43</f>
        <v>kW</v>
      </c>
      <c r="D32" s="46">
        <v>15.2803</v>
      </c>
      <c r="E32" s="46">
        <v>19.217300000000002</v>
      </c>
      <c r="F32" s="46">
        <v>19.386399999999998</v>
      </c>
      <c r="G32" s="46">
        <v>19.479500000000002</v>
      </c>
      <c r="H32" s="46">
        <v>29.033799999999999</v>
      </c>
      <c r="I32" s="46">
        <v>29.411200000000001</v>
      </c>
      <c r="J32" s="46">
        <v>29.9406</v>
      </c>
      <c r="K32" s="46">
        <v>30.419599999999999</v>
      </c>
      <c r="L32" s="46"/>
      <c r="M32" s="46"/>
      <c r="N32" s="46"/>
      <c r="O32" s="69"/>
    </row>
    <row r="33" spans="1:15" s="18" customFormat="1" outlineLevel="1">
      <c r="A33" s="4"/>
      <c r="B33" s="536" t="s">
        <v>511</v>
      </c>
      <c r="C33" s="791"/>
      <c r="D33" s="46"/>
      <c r="E33" s="46"/>
      <c r="F33" s="46"/>
      <c r="G33" s="46"/>
      <c r="H33" s="46"/>
      <c r="I33" s="46"/>
      <c r="J33" s="46"/>
      <c r="K33" s="46"/>
      <c r="L33" s="46"/>
      <c r="M33" s="46"/>
      <c r="N33" s="46"/>
      <c r="O33" s="69"/>
    </row>
    <row r="34" spans="1:15" s="18" customFormat="1" outlineLevel="1">
      <c r="A34" s="4"/>
      <c r="B34" s="536" t="s">
        <v>512</v>
      </c>
      <c r="C34" s="791"/>
      <c r="D34" s="46"/>
      <c r="E34" s="46"/>
      <c r="F34" s="46"/>
      <c r="G34" s="46"/>
      <c r="H34" s="46"/>
      <c r="I34" s="46"/>
      <c r="J34" s="46"/>
      <c r="K34" s="46"/>
      <c r="L34" s="46"/>
      <c r="M34" s="46"/>
      <c r="N34" s="46"/>
      <c r="O34" s="69"/>
    </row>
    <row r="35" spans="1:15" s="18" customFormat="1" outlineLevel="1">
      <c r="A35" s="4"/>
      <c r="B35" s="536" t="s">
        <v>490</v>
      </c>
      <c r="C35" s="791"/>
      <c r="D35" s="46"/>
      <c r="E35" s="46"/>
      <c r="F35" s="46"/>
      <c r="G35" s="46"/>
      <c r="H35" s="46"/>
      <c r="I35" s="46"/>
      <c r="J35" s="46"/>
      <c r="K35" s="46"/>
      <c r="L35" s="46"/>
      <c r="M35" s="46"/>
      <c r="N35" s="46"/>
      <c r="O35" s="69"/>
    </row>
    <row r="36" spans="1:15" s="18" customFormat="1">
      <c r="A36" s="4"/>
      <c r="B36" s="536" t="s">
        <v>513</v>
      </c>
      <c r="C36" s="794"/>
      <c r="D36" s="65">
        <f>SUM(D32:D35)</f>
        <v>15.2803</v>
      </c>
      <c r="E36" s="65">
        <f>SUM(E32:E35)</f>
        <v>19.217300000000002</v>
      </c>
      <c r="F36" s="65">
        <f t="shared" ref="F36:M36" si="6">SUM(F32:F35)</f>
        <v>19.386399999999998</v>
      </c>
      <c r="G36" s="65">
        <f t="shared" si="6"/>
        <v>19.479500000000002</v>
      </c>
      <c r="H36" s="65">
        <f t="shared" si="6"/>
        <v>29.033799999999999</v>
      </c>
      <c r="I36" s="65">
        <f t="shared" si="6"/>
        <v>29.411200000000001</v>
      </c>
      <c r="J36" s="65">
        <f t="shared" si="6"/>
        <v>29.9406</v>
      </c>
      <c r="K36" s="65">
        <f t="shared" si="6"/>
        <v>30.419599999999999</v>
      </c>
      <c r="L36" s="65">
        <f t="shared" si="6"/>
        <v>0</v>
      </c>
      <c r="M36" s="65">
        <f t="shared" si="6"/>
        <v>0</v>
      </c>
      <c r="N36" s="65">
        <f>SUM(N32:N35)</f>
        <v>0</v>
      </c>
      <c r="O36" s="76"/>
    </row>
    <row r="37" spans="1:15" s="18" customFormat="1">
      <c r="A37" s="4"/>
      <c r="B37" s="492" t="s">
        <v>514</v>
      </c>
      <c r="C37" s="488"/>
      <c r="D37" s="71"/>
      <c r="E37" s="484">
        <f t="shared" ref="E37:N37" si="7">ROUND(SUM(D36*E16+E36*E17)/12,4)</f>
        <v>17.905000000000001</v>
      </c>
      <c r="F37" s="484">
        <f t="shared" si="7"/>
        <v>19.329999999999998</v>
      </c>
      <c r="G37" s="484">
        <f t="shared" si="7"/>
        <v>19.448499999999999</v>
      </c>
      <c r="H37" s="484">
        <f t="shared" si="7"/>
        <v>25.849</v>
      </c>
      <c r="I37" s="484">
        <f t="shared" si="7"/>
        <v>29.285399999999999</v>
      </c>
      <c r="J37" s="484">
        <f t="shared" si="7"/>
        <v>29.764099999999999</v>
      </c>
      <c r="K37" s="484">
        <f t="shared" si="7"/>
        <v>30.259899999999998</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Unmetered Scattered Load</v>
      </c>
      <c r="C39" s="793" t="str">
        <f>'2. LRAMVA Threshold'!G43</f>
        <v>kWh</v>
      </c>
      <c r="D39" s="46">
        <v>1.61E-2</v>
      </c>
      <c r="E39" s="46">
        <v>1.61E-2</v>
      </c>
      <c r="F39" s="46">
        <v>1.6199999999999999E-2</v>
      </c>
      <c r="G39" s="46">
        <v>1.6299999999999999E-2</v>
      </c>
      <c r="H39" s="46">
        <v>6.0000000000000001E-3</v>
      </c>
      <c r="I39" s="46">
        <v>6.1000000000000004E-3</v>
      </c>
      <c r="J39" s="46">
        <v>6.1999999999999998E-3</v>
      </c>
      <c r="K39" s="46">
        <v>6.3E-3</v>
      </c>
      <c r="L39" s="46"/>
      <c r="M39" s="46"/>
      <c r="N39" s="46"/>
      <c r="O39" s="69"/>
    </row>
    <row r="40" spans="1:15" s="18" customFormat="1" outlineLevel="1">
      <c r="A40" s="4"/>
      <c r="B40" s="536" t="s">
        <v>511</v>
      </c>
      <c r="C40" s="791"/>
      <c r="D40" s="46"/>
      <c r="E40" s="46"/>
      <c r="F40" s="46"/>
      <c r="G40" s="46"/>
      <c r="H40" s="46"/>
      <c r="I40" s="46"/>
      <c r="J40" s="46"/>
      <c r="K40" s="46"/>
      <c r="L40" s="46"/>
      <c r="M40" s="46"/>
      <c r="N40" s="46"/>
      <c r="O40" s="69"/>
    </row>
    <row r="41" spans="1:15" s="18" customFormat="1" outlineLevel="1">
      <c r="A41" s="4"/>
      <c r="B41" s="536" t="s">
        <v>512</v>
      </c>
      <c r="C41" s="791"/>
      <c r="D41" s="46"/>
      <c r="E41" s="46"/>
      <c r="F41" s="46"/>
      <c r="G41" s="46"/>
      <c r="H41" s="46"/>
      <c r="I41" s="46"/>
      <c r="J41" s="46"/>
      <c r="K41" s="46"/>
      <c r="L41" s="46"/>
      <c r="M41" s="46"/>
      <c r="N41" s="46"/>
      <c r="O41" s="69"/>
    </row>
    <row r="42" spans="1:15" s="18" customFormat="1" outlineLevel="1">
      <c r="A42" s="4"/>
      <c r="B42" s="536" t="s">
        <v>490</v>
      </c>
      <c r="C42" s="791"/>
      <c r="D42" s="46"/>
      <c r="E42" s="46"/>
      <c r="F42" s="46"/>
      <c r="G42" s="46"/>
      <c r="H42" s="46"/>
      <c r="I42" s="46"/>
      <c r="J42" s="46"/>
      <c r="K42" s="46"/>
      <c r="L42" s="46"/>
      <c r="M42" s="46"/>
      <c r="N42" s="46"/>
      <c r="O42" s="69"/>
    </row>
    <row r="43" spans="1:15" s="18" customFormat="1">
      <c r="A43" s="4"/>
      <c r="B43" s="536" t="s">
        <v>513</v>
      </c>
      <c r="C43" s="794"/>
      <c r="D43" s="65">
        <f>SUM(D39:D42)</f>
        <v>1.61E-2</v>
      </c>
      <c r="E43" s="65">
        <f t="shared" ref="E43:N43" si="8">SUM(E39:E42)</f>
        <v>1.61E-2</v>
      </c>
      <c r="F43" s="65">
        <f t="shared" si="8"/>
        <v>1.6199999999999999E-2</v>
      </c>
      <c r="G43" s="65">
        <f t="shared" si="8"/>
        <v>1.6299999999999999E-2</v>
      </c>
      <c r="H43" s="65">
        <f t="shared" si="8"/>
        <v>6.0000000000000001E-3</v>
      </c>
      <c r="I43" s="65">
        <f t="shared" si="8"/>
        <v>6.1000000000000004E-3</v>
      </c>
      <c r="J43" s="65">
        <f t="shared" si="8"/>
        <v>6.1999999999999998E-3</v>
      </c>
      <c r="K43" s="65">
        <f t="shared" si="8"/>
        <v>6.3E-3</v>
      </c>
      <c r="L43" s="65">
        <f t="shared" si="8"/>
        <v>0</v>
      </c>
      <c r="M43" s="65">
        <f t="shared" si="8"/>
        <v>0</v>
      </c>
      <c r="N43" s="65">
        <f t="shared" si="8"/>
        <v>0</v>
      </c>
      <c r="O43" s="76"/>
    </row>
    <row r="44" spans="1:15" s="14" customFormat="1">
      <c r="A44" s="72"/>
      <c r="B44" s="492" t="s">
        <v>514</v>
      </c>
      <c r="C44" s="488"/>
      <c r="D44" s="71"/>
      <c r="E44" s="484">
        <f t="shared" ref="E44:N44" si="9">ROUND(SUM(D43*E16+E43*E17)/12,4)</f>
        <v>1.61E-2</v>
      </c>
      <c r="F44" s="484">
        <f t="shared" si="9"/>
        <v>1.6199999999999999E-2</v>
      </c>
      <c r="G44" s="484">
        <f t="shared" si="9"/>
        <v>1.6299999999999999E-2</v>
      </c>
      <c r="H44" s="484">
        <f t="shared" si="9"/>
        <v>9.4000000000000004E-3</v>
      </c>
      <c r="I44" s="484">
        <f t="shared" si="9"/>
        <v>6.1000000000000004E-3</v>
      </c>
      <c r="J44" s="484">
        <f t="shared" si="9"/>
        <v>6.1999999999999998E-3</v>
      </c>
      <c r="K44" s="484">
        <f t="shared" si="9"/>
        <v>6.3E-3</v>
      </c>
      <c r="L44" s="484">
        <f t="shared" si="9"/>
        <v>0</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General Service 50 - 4,999 kW</v>
      </c>
      <c r="C46" s="793" t="str">
        <f>'2. LRAMVA Threshold'!H43</f>
        <v>kW</v>
      </c>
      <c r="D46" s="46">
        <v>2.6147999999999998</v>
      </c>
      <c r="E46" s="46">
        <v>2.5318000000000001</v>
      </c>
      <c r="F46" s="46">
        <v>2.5541</v>
      </c>
      <c r="G46" s="46">
        <v>2.5663999999999998</v>
      </c>
      <c r="H46" s="46">
        <v>2.1025</v>
      </c>
      <c r="I46" s="46">
        <v>2.1297999999999999</v>
      </c>
      <c r="J46" s="46">
        <v>2.1680999999999999</v>
      </c>
      <c r="K46" s="46">
        <v>2.2027999999999999</v>
      </c>
      <c r="L46" s="46"/>
      <c r="M46" s="46"/>
      <c r="N46" s="46"/>
      <c r="O46" s="69"/>
    </row>
    <row r="47" spans="1:15" s="18" customFormat="1" outlineLevel="1">
      <c r="A47" s="4"/>
      <c r="B47" s="536" t="s">
        <v>511</v>
      </c>
      <c r="C47" s="791"/>
      <c r="D47" s="46"/>
      <c r="E47" s="46"/>
      <c r="F47" s="46"/>
      <c r="G47" s="46"/>
      <c r="H47" s="46"/>
      <c r="I47" s="46"/>
      <c r="J47" s="46"/>
      <c r="K47" s="46"/>
      <c r="L47" s="46"/>
      <c r="M47" s="46"/>
      <c r="N47" s="46"/>
      <c r="O47" s="69"/>
    </row>
    <row r="48" spans="1:15" s="18" customFormat="1" outlineLevel="1">
      <c r="A48" s="4"/>
      <c r="B48" s="536" t="s">
        <v>512</v>
      </c>
      <c r="C48" s="791"/>
      <c r="D48" s="46"/>
      <c r="E48" s="46"/>
      <c r="F48" s="46"/>
      <c r="G48" s="46"/>
      <c r="H48" s="46"/>
      <c r="I48" s="46"/>
      <c r="J48" s="46"/>
      <c r="K48" s="46"/>
      <c r="L48" s="46"/>
      <c r="M48" s="46"/>
      <c r="N48" s="46"/>
      <c r="O48" s="69"/>
    </row>
    <row r="49" spans="1:15" s="18" customFormat="1" outlineLevel="1">
      <c r="A49" s="4"/>
      <c r="B49" s="536" t="s">
        <v>490</v>
      </c>
      <c r="C49" s="791"/>
      <c r="D49" s="46"/>
      <c r="E49" s="46"/>
      <c r="F49" s="46"/>
      <c r="G49" s="46"/>
      <c r="H49" s="46"/>
      <c r="I49" s="46"/>
      <c r="J49" s="46"/>
      <c r="K49" s="46"/>
      <c r="L49" s="46"/>
      <c r="M49" s="46"/>
      <c r="N49" s="46"/>
      <c r="O49" s="69"/>
    </row>
    <row r="50" spans="1:15" s="18" customFormat="1">
      <c r="A50" s="4"/>
      <c r="B50" s="536" t="s">
        <v>513</v>
      </c>
      <c r="C50" s="794"/>
      <c r="D50" s="65">
        <f>SUM(D46:D49)</f>
        <v>2.6147999999999998</v>
      </c>
      <c r="E50" s="65">
        <f t="shared" ref="E50:N50" si="10">SUM(E46:E49)</f>
        <v>2.5318000000000001</v>
      </c>
      <c r="F50" s="65">
        <f t="shared" si="10"/>
        <v>2.5541</v>
      </c>
      <c r="G50" s="65">
        <f t="shared" si="10"/>
        <v>2.5663999999999998</v>
      </c>
      <c r="H50" s="65">
        <f t="shared" si="10"/>
        <v>2.1025</v>
      </c>
      <c r="I50" s="65">
        <f t="shared" si="10"/>
        <v>2.1297999999999999</v>
      </c>
      <c r="J50" s="65">
        <f t="shared" si="10"/>
        <v>2.1680999999999999</v>
      </c>
      <c r="K50" s="65">
        <f t="shared" si="10"/>
        <v>2.2027999999999999</v>
      </c>
      <c r="L50" s="65">
        <f t="shared" si="10"/>
        <v>0</v>
      </c>
      <c r="M50" s="65">
        <f t="shared" si="10"/>
        <v>0</v>
      </c>
      <c r="N50" s="65">
        <f t="shared" si="10"/>
        <v>0</v>
      </c>
      <c r="O50" s="76"/>
    </row>
    <row r="51" spans="1:15" s="14" customFormat="1">
      <c r="A51" s="72"/>
      <c r="B51" s="492" t="s">
        <v>514</v>
      </c>
      <c r="C51" s="488"/>
      <c r="D51" s="71"/>
      <c r="E51" s="484">
        <f t="shared" ref="E51:N51" si="11">ROUND(SUM(D50*E16+E50*E17)/12,4)</f>
        <v>2.5594999999999999</v>
      </c>
      <c r="F51" s="484">
        <f t="shared" si="11"/>
        <v>2.5467</v>
      </c>
      <c r="G51" s="484">
        <f t="shared" si="11"/>
        <v>2.5623</v>
      </c>
      <c r="H51" s="484">
        <f t="shared" si="11"/>
        <v>2.2570999999999999</v>
      </c>
      <c r="I51" s="484">
        <f t="shared" si="11"/>
        <v>2.1206999999999998</v>
      </c>
      <c r="J51" s="484">
        <f t="shared" si="11"/>
        <v>2.1553</v>
      </c>
      <c r="K51" s="484">
        <f t="shared" si="11"/>
        <v>2.1911999999999998</v>
      </c>
      <c r="L51" s="484">
        <f t="shared" si="11"/>
        <v>0</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793">
        <f>'2. LRAMVA Threshold'!I43</f>
        <v>0</v>
      </c>
      <c r="D53" s="46"/>
      <c r="E53" s="46"/>
      <c r="F53" s="46"/>
      <c r="G53" s="46"/>
      <c r="H53" s="46"/>
      <c r="I53" s="46"/>
      <c r="J53" s="46"/>
      <c r="K53" s="46"/>
      <c r="L53" s="46"/>
      <c r="M53" s="46"/>
      <c r="N53" s="46"/>
      <c r="O53" s="69"/>
    </row>
    <row r="54" spans="1:15" s="18" customFormat="1" outlineLevel="1">
      <c r="A54" s="4"/>
      <c r="B54" s="536" t="s">
        <v>511</v>
      </c>
      <c r="C54" s="791"/>
      <c r="D54" s="46"/>
      <c r="E54" s="46"/>
      <c r="F54" s="46"/>
      <c r="G54" s="46"/>
      <c r="H54" s="46"/>
      <c r="I54" s="46"/>
      <c r="J54" s="46"/>
      <c r="K54" s="46"/>
      <c r="L54" s="46"/>
      <c r="M54" s="46"/>
      <c r="N54" s="46"/>
      <c r="O54" s="69"/>
    </row>
    <row r="55" spans="1:15" s="18" customFormat="1" outlineLevel="1">
      <c r="A55" s="4"/>
      <c r="B55" s="536" t="s">
        <v>512</v>
      </c>
      <c r="C55" s="791"/>
      <c r="D55" s="46"/>
      <c r="E55" s="46"/>
      <c r="F55" s="46"/>
      <c r="G55" s="46"/>
      <c r="H55" s="46"/>
      <c r="I55" s="46"/>
      <c r="J55" s="46"/>
      <c r="K55" s="46"/>
      <c r="L55" s="46"/>
      <c r="M55" s="46"/>
      <c r="N55" s="46"/>
      <c r="O55" s="69"/>
    </row>
    <row r="56" spans="1:15" s="18" customFormat="1" outlineLevel="1">
      <c r="A56" s="4"/>
      <c r="B56" s="536" t="s">
        <v>490</v>
      </c>
      <c r="C56" s="791"/>
      <c r="D56" s="46"/>
      <c r="E56" s="46"/>
      <c r="F56" s="46"/>
      <c r="G56" s="46"/>
      <c r="H56" s="46"/>
      <c r="I56" s="46"/>
      <c r="J56" s="46"/>
      <c r="K56" s="46"/>
      <c r="L56" s="46"/>
      <c r="M56" s="46"/>
      <c r="N56" s="46"/>
      <c r="O56" s="69"/>
    </row>
    <row r="57" spans="1:15" s="18" customFormat="1">
      <c r="A57" s="4"/>
      <c r="B57" s="536" t="s">
        <v>513</v>
      </c>
      <c r="C57" s="794"/>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793">
        <f>'2. LRAMVA Threshold'!J43</f>
        <v>0</v>
      </c>
      <c r="D60" s="46"/>
      <c r="E60" s="46"/>
      <c r="F60" s="46"/>
      <c r="G60" s="46"/>
      <c r="H60" s="46"/>
      <c r="I60" s="46"/>
      <c r="J60" s="46"/>
      <c r="K60" s="46"/>
      <c r="L60" s="46"/>
      <c r="M60" s="46"/>
      <c r="N60" s="46"/>
      <c r="O60" s="69"/>
    </row>
    <row r="61" spans="1:15" s="18" customFormat="1" outlineLevel="1">
      <c r="A61" s="4"/>
      <c r="B61" s="536" t="s">
        <v>511</v>
      </c>
      <c r="C61" s="791"/>
      <c r="D61" s="46"/>
      <c r="E61" s="46"/>
      <c r="F61" s="46"/>
      <c r="G61" s="46"/>
      <c r="H61" s="46"/>
      <c r="I61" s="46"/>
      <c r="J61" s="46"/>
      <c r="K61" s="46"/>
      <c r="L61" s="46"/>
      <c r="M61" s="46"/>
      <c r="N61" s="46"/>
      <c r="O61" s="69"/>
    </row>
    <row r="62" spans="1:15" s="18" customFormat="1" outlineLevel="1">
      <c r="A62" s="4"/>
      <c r="B62" s="536" t="s">
        <v>512</v>
      </c>
      <c r="C62" s="791"/>
      <c r="D62" s="46"/>
      <c r="E62" s="46"/>
      <c r="F62" s="46"/>
      <c r="G62" s="46"/>
      <c r="H62" s="46"/>
      <c r="I62" s="46"/>
      <c r="J62" s="46"/>
      <c r="K62" s="46"/>
      <c r="L62" s="46"/>
      <c r="M62" s="46"/>
      <c r="N62" s="46"/>
      <c r="O62" s="69"/>
    </row>
    <row r="63" spans="1:15" s="18" customFormat="1" outlineLevel="1">
      <c r="A63" s="4"/>
      <c r="B63" s="536" t="s">
        <v>490</v>
      </c>
      <c r="C63" s="791"/>
      <c r="D63" s="46"/>
      <c r="E63" s="46"/>
      <c r="F63" s="46"/>
      <c r="G63" s="46"/>
      <c r="H63" s="46"/>
      <c r="I63" s="46"/>
      <c r="J63" s="46"/>
      <c r="K63" s="46"/>
      <c r="L63" s="46"/>
      <c r="M63" s="46"/>
      <c r="N63" s="46"/>
      <c r="O63" s="69"/>
    </row>
    <row r="64" spans="1:15" s="18" customFormat="1">
      <c r="A64" s="4"/>
      <c r="B64" s="536" t="s">
        <v>513</v>
      </c>
      <c r="C64" s="794"/>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793">
        <f>'2. LRAMVA Threshold'!K43</f>
        <v>0</v>
      </c>
      <c r="D67" s="46"/>
      <c r="E67" s="46"/>
      <c r="F67" s="46"/>
      <c r="G67" s="46"/>
      <c r="H67" s="46"/>
      <c r="I67" s="46"/>
      <c r="J67" s="46"/>
      <c r="K67" s="46"/>
      <c r="L67" s="46"/>
      <c r="M67" s="46"/>
      <c r="N67" s="46"/>
      <c r="O67" s="69"/>
    </row>
    <row r="68" spans="1:15" s="18" customFormat="1" outlineLevel="1">
      <c r="A68" s="4"/>
      <c r="B68" s="536" t="s">
        <v>511</v>
      </c>
      <c r="C68" s="791"/>
      <c r="D68" s="46"/>
      <c r="E68" s="46"/>
      <c r="F68" s="46"/>
      <c r="G68" s="46"/>
      <c r="H68" s="46"/>
      <c r="I68" s="46"/>
      <c r="J68" s="46"/>
      <c r="K68" s="46"/>
      <c r="L68" s="46"/>
      <c r="M68" s="46"/>
      <c r="N68" s="46"/>
      <c r="O68" s="69"/>
    </row>
    <row r="69" spans="1:15" s="18" customFormat="1" outlineLevel="1">
      <c r="A69" s="4"/>
      <c r="B69" s="536" t="s">
        <v>512</v>
      </c>
      <c r="C69" s="791"/>
      <c r="D69" s="46"/>
      <c r="E69" s="46"/>
      <c r="F69" s="46"/>
      <c r="G69" s="46"/>
      <c r="H69" s="46"/>
      <c r="I69" s="46"/>
      <c r="J69" s="46"/>
      <c r="K69" s="46"/>
      <c r="L69" s="46"/>
      <c r="M69" s="46"/>
      <c r="N69" s="46"/>
      <c r="O69" s="69"/>
    </row>
    <row r="70" spans="1:15" s="18" customFormat="1" outlineLevel="1">
      <c r="A70" s="4"/>
      <c r="B70" s="536" t="s">
        <v>490</v>
      </c>
      <c r="C70" s="791"/>
      <c r="D70" s="46"/>
      <c r="E70" s="46"/>
      <c r="F70" s="46"/>
      <c r="G70" s="46"/>
      <c r="H70" s="46"/>
      <c r="I70" s="46"/>
      <c r="J70" s="46"/>
      <c r="K70" s="46"/>
      <c r="L70" s="46"/>
      <c r="M70" s="46"/>
      <c r="N70" s="46"/>
      <c r="O70" s="69"/>
    </row>
    <row r="71" spans="1:15" s="18" customFormat="1">
      <c r="A71" s="4"/>
      <c r="B71" s="536" t="s">
        <v>513</v>
      </c>
      <c r="C71" s="794"/>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793">
        <f>'2. LRAMVA Threshold'!L43</f>
        <v>0</v>
      </c>
      <c r="D74" s="46"/>
      <c r="E74" s="46"/>
      <c r="F74" s="46"/>
      <c r="G74" s="46"/>
      <c r="H74" s="46"/>
      <c r="I74" s="46"/>
      <c r="J74" s="46"/>
      <c r="K74" s="46"/>
      <c r="L74" s="46"/>
      <c r="M74" s="46"/>
      <c r="N74" s="46"/>
      <c r="O74" s="69"/>
    </row>
    <row r="75" spans="1:15" s="18" customFormat="1" outlineLevel="1">
      <c r="A75" s="4"/>
      <c r="B75" s="536" t="s">
        <v>511</v>
      </c>
      <c r="C75" s="791"/>
      <c r="D75" s="46"/>
      <c r="E75" s="46"/>
      <c r="F75" s="46"/>
      <c r="G75" s="46"/>
      <c r="H75" s="46"/>
      <c r="I75" s="46"/>
      <c r="J75" s="46"/>
      <c r="K75" s="46"/>
      <c r="L75" s="46"/>
      <c r="M75" s="46"/>
      <c r="N75" s="46"/>
      <c r="O75" s="69"/>
    </row>
    <row r="76" spans="1:15" s="18" customFormat="1" outlineLevel="1">
      <c r="A76" s="4"/>
      <c r="B76" s="536" t="s">
        <v>512</v>
      </c>
      <c r="C76" s="791"/>
      <c r="D76" s="46"/>
      <c r="E76" s="46"/>
      <c r="F76" s="46"/>
      <c r="G76" s="46"/>
      <c r="H76" s="46"/>
      <c r="I76" s="46"/>
      <c r="J76" s="46"/>
      <c r="K76" s="46"/>
      <c r="L76" s="46"/>
      <c r="M76" s="46"/>
      <c r="N76" s="46"/>
      <c r="O76" s="69"/>
    </row>
    <row r="77" spans="1:15" s="18" customFormat="1" outlineLevel="1">
      <c r="A77" s="4"/>
      <c r="B77" s="536" t="s">
        <v>490</v>
      </c>
      <c r="C77" s="791"/>
      <c r="D77" s="46"/>
      <c r="E77" s="46"/>
      <c r="F77" s="46"/>
      <c r="G77" s="46"/>
      <c r="H77" s="46"/>
      <c r="I77" s="46"/>
      <c r="J77" s="46"/>
      <c r="K77" s="46"/>
      <c r="L77" s="46"/>
      <c r="M77" s="46"/>
      <c r="N77" s="46"/>
      <c r="O77" s="69"/>
    </row>
    <row r="78" spans="1:15" s="18" customFormat="1">
      <c r="A78" s="4"/>
      <c r="B78" s="536" t="s">
        <v>513</v>
      </c>
      <c r="C78" s="79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793">
        <f>'2. LRAMVA Threshold'!M43</f>
        <v>0</v>
      </c>
      <c r="D81" s="46"/>
      <c r="E81" s="46"/>
      <c r="F81" s="46"/>
      <c r="G81" s="46"/>
      <c r="H81" s="46"/>
      <c r="I81" s="46"/>
      <c r="J81" s="46"/>
      <c r="K81" s="46"/>
      <c r="L81" s="46"/>
      <c r="M81" s="46"/>
      <c r="N81" s="46"/>
      <c r="O81" s="69"/>
    </row>
    <row r="82" spans="1:15" s="18" customFormat="1" outlineLevel="1">
      <c r="A82" s="4"/>
      <c r="B82" s="536" t="s">
        <v>511</v>
      </c>
      <c r="C82" s="791"/>
      <c r="D82" s="46"/>
      <c r="E82" s="46"/>
      <c r="F82" s="46"/>
      <c r="G82" s="46"/>
      <c r="H82" s="46"/>
      <c r="I82" s="46"/>
      <c r="J82" s="46"/>
      <c r="K82" s="46"/>
      <c r="L82" s="46"/>
      <c r="M82" s="46"/>
      <c r="N82" s="46"/>
      <c r="O82" s="69"/>
    </row>
    <row r="83" spans="1:15" s="18" customFormat="1" outlineLevel="1">
      <c r="A83" s="4"/>
      <c r="B83" s="536" t="s">
        <v>512</v>
      </c>
      <c r="C83" s="791"/>
      <c r="D83" s="46"/>
      <c r="E83" s="46"/>
      <c r="F83" s="46"/>
      <c r="G83" s="46"/>
      <c r="H83" s="46"/>
      <c r="I83" s="46"/>
      <c r="J83" s="46"/>
      <c r="K83" s="46"/>
      <c r="L83" s="46"/>
      <c r="M83" s="46"/>
      <c r="N83" s="46"/>
      <c r="O83" s="69"/>
    </row>
    <row r="84" spans="1:15" s="18" customFormat="1" outlineLevel="1">
      <c r="A84" s="4"/>
      <c r="B84" s="536" t="s">
        <v>490</v>
      </c>
      <c r="C84" s="791"/>
      <c r="D84" s="46"/>
      <c r="E84" s="46"/>
      <c r="F84" s="46"/>
      <c r="G84" s="46"/>
      <c r="H84" s="46"/>
      <c r="I84" s="46"/>
      <c r="J84" s="46"/>
      <c r="K84" s="46"/>
      <c r="L84" s="46"/>
      <c r="M84" s="46"/>
      <c r="N84" s="46"/>
      <c r="O84" s="69"/>
    </row>
    <row r="85" spans="1:15" s="18" customFormat="1">
      <c r="A85" s="4"/>
      <c r="B85" s="536" t="s">
        <v>513</v>
      </c>
      <c r="C85" s="79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793">
        <f>'2. LRAMVA Threshold'!N43</f>
        <v>0</v>
      </c>
      <c r="D88" s="46"/>
      <c r="E88" s="46"/>
      <c r="F88" s="46"/>
      <c r="G88" s="46"/>
      <c r="H88" s="46"/>
      <c r="I88" s="46"/>
      <c r="J88" s="46"/>
      <c r="K88" s="46"/>
      <c r="L88" s="46"/>
      <c r="M88" s="46"/>
      <c r="N88" s="46"/>
      <c r="O88" s="69"/>
    </row>
    <row r="89" spans="1:15" s="18" customFormat="1" outlineLevel="1">
      <c r="A89" s="4"/>
      <c r="B89" s="536" t="s">
        <v>511</v>
      </c>
      <c r="C89" s="791"/>
      <c r="D89" s="46"/>
      <c r="E89" s="46"/>
      <c r="F89" s="46"/>
      <c r="G89" s="46"/>
      <c r="H89" s="46"/>
      <c r="I89" s="46"/>
      <c r="J89" s="46"/>
      <c r="K89" s="46"/>
      <c r="L89" s="46"/>
      <c r="M89" s="46"/>
      <c r="N89" s="46"/>
      <c r="O89" s="69"/>
    </row>
    <row r="90" spans="1:15" s="18" customFormat="1" outlineLevel="1">
      <c r="A90" s="4"/>
      <c r="B90" s="536" t="s">
        <v>512</v>
      </c>
      <c r="C90" s="791"/>
      <c r="D90" s="46"/>
      <c r="E90" s="46"/>
      <c r="F90" s="46"/>
      <c r="G90" s="46"/>
      <c r="H90" s="46"/>
      <c r="I90" s="46"/>
      <c r="J90" s="46"/>
      <c r="K90" s="46"/>
      <c r="L90" s="46"/>
      <c r="M90" s="46"/>
      <c r="N90" s="46"/>
      <c r="O90" s="69"/>
    </row>
    <row r="91" spans="1:15" s="18" customFormat="1" outlineLevel="1">
      <c r="A91" s="4"/>
      <c r="B91" s="536" t="s">
        <v>490</v>
      </c>
      <c r="C91" s="791"/>
      <c r="D91" s="46"/>
      <c r="E91" s="46"/>
      <c r="F91" s="46"/>
      <c r="G91" s="46"/>
      <c r="H91" s="46"/>
      <c r="I91" s="46"/>
      <c r="J91" s="46"/>
      <c r="K91" s="46"/>
      <c r="L91" s="46"/>
      <c r="M91" s="46"/>
      <c r="N91" s="46"/>
      <c r="O91" s="69"/>
    </row>
    <row r="92" spans="1:15" s="18" customFormat="1">
      <c r="A92" s="4"/>
      <c r="B92" s="536" t="s">
        <v>513</v>
      </c>
      <c r="C92" s="79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793">
        <f>'2. LRAMVA Threshold'!O43</f>
        <v>0</v>
      </c>
      <c r="D95" s="46"/>
      <c r="E95" s="46"/>
      <c r="F95" s="46"/>
      <c r="G95" s="46"/>
      <c r="H95" s="46"/>
      <c r="I95" s="46"/>
      <c r="J95" s="46"/>
      <c r="K95" s="46"/>
      <c r="L95" s="46"/>
      <c r="M95" s="46"/>
      <c r="N95" s="46"/>
      <c r="O95" s="69"/>
    </row>
    <row r="96" spans="1:15" s="18" customFormat="1" outlineLevel="1">
      <c r="A96" s="4"/>
      <c r="B96" s="536" t="s">
        <v>511</v>
      </c>
      <c r="C96" s="791"/>
      <c r="D96" s="46"/>
      <c r="E96" s="46"/>
      <c r="F96" s="46"/>
      <c r="G96" s="46"/>
      <c r="H96" s="46"/>
      <c r="I96" s="46"/>
      <c r="J96" s="46"/>
      <c r="K96" s="46"/>
      <c r="L96" s="46"/>
      <c r="M96" s="46"/>
      <c r="N96" s="46"/>
      <c r="O96" s="69"/>
    </row>
    <row r="97" spans="1:15" s="18" customFormat="1" outlineLevel="1">
      <c r="A97" s="4"/>
      <c r="B97" s="536" t="s">
        <v>512</v>
      </c>
      <c r="C97" s="791"/>
      <c r="D97" s="46"/>
      <c r="E97" s="46"/>
      <c r="F97" s="46"/>
      <c r="G97" s="46"/>
      <c r="H97" s="46"/>
      <c r="I97" s="46"/>
      <c r="J97" s="46"/>
      <c r="K97" s="46"/>
      <c r="L97" s="46"/>
      <c r="M97" s="46"/>
      <c r="N97" s="46"/>
      <c r="O97" s="69"/>
    </row>
    <row r="98" spans="1:15" s="18" customFormat="1" outlineLevel="1">
      <c r="A98" s="4"/>
      <c r="B98" s="536" t="s">
        <v>490</v>
      </c>
      <c r="C98" s="791"/>
      <c r="D98" s="46"/>
      <c r="E98" s="46"/>
      <c r="F98" s="46"/>
      <c r="G98" s="46"/>
      <c r="H98" s="46"/>
      <c r="I98" s="46"/>
      <c r="J98" s="46"/>
      <c r="K98" s="46"/>
      <c r="L98" s="46"/>
      <c r="M98" s="46"/>
      <c r="N98" s="46"/>
      <c r="O98" s="69"/>
    </row>
    <row r="99" spans="1:15" s="18" customFormat="1">
      <c r="A99" s="4"/>
      <c r="B99" s="536" t="s">
        <v>513</v>
      </c>
      <c r="C99" s="79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793">
        <f>'2. LRAMVA Threshold'!P43</f>
        <v>0</v>
      </c>
      <c r="D102" s="46"/>
      <c r="E102" s="46"/>
      <c r="F102" s="46"/>
      <c r="G102" s="46"/>
      <c r="H102" s="46"/>
      <c r="I102" s="46"/>
      <c r="J102" s="46"/>
      <c r="K102" s="46"/>
      <c r="L102" s="46"/>
      <c r="M102" s="46"/>
      <c r="N102" s="46"/>
      <c r="O102" s="69"/>
    </row>
    <row r="103" spans="1:15" s="18" customFormat="1" outlineLevel="1">
      <c r="A103" s="4"/>
      <c r="B103" s="536" t="s">
        <v>511</v>
      </c>
      <c r="C103" s="791"/>
      <c r="D103" s="46"/>
      <c r="E103" s="46"/>
      <c r="F103" s="46"/>
      <c r="G103" s="46"/>
      <c r="H103" s="46"/>
      <c r="I103" s="46"/>
      <c r="J103" s="46"/>
      <c r="K103" s="46"/>
      <c r="L103" s="46"/>
      <c r="M103" s="46"/>
      <c r="N103" s="46"/>
      <c r="O103" s="69"/>
    </row>
    <row r="104" spans="1:15" s="18" customFormat="1" outlineLevel="1">
      <c r="A104" s="4"/>
      <c r="B104" s="536" t="s">
        <v>512</v>
      </c>
      <c r="C104" s="791"/>
      <c r="D104" s="46"/>
      <c r="E104" s="46"/>
      <c r="F104" s="46"/>
      <c r="G104" s="46"/>
      <c r="H104" s="46"/>
      <c r="I104" s="46"/>
      <c r="J104" s="46"/>
      <c r="K104" s="46"/>
      <c r="L104" s="46"/>
      <c r="M104" s="46"/>
      <c r="N104" s="46"/>
      <c r="O104" s="69"/>
    </row>
    <row r="105" spans="1:15" s="18" customFormat="1" outlineLevel="1">
      <c r="A105" s="4"/>
      <c r="B105" s="536" t="s">
        <v>490</v>
      </c>
      <c r="C105" s="791"/>
      <c r="D105" s="46"/>
      <c r="E105" s="46"/>
      <c r="F105" s="46"/>
      <c r="G105" s="46"/>
      <c r="H105" s="46"/>
      <c r="I105" s="46"/>
      <c r="J105" s="46"/>
      <c r="K105" s="46"/>
      <c r="L105" s="46"/>
      <c r="M105" s="46"/>
      <c r="N105" s="46"/>
      <c r="O105" s="69"/>
    </row>
    <row r="106" spans="1:15" s="18" customFormat="1">
      <c r="A106" s="4"/>
      <c r="B106" s="536" t="s">
        <v>513</v>
      </c>
      <c r="C106" s="79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793">
        <f>'2. LRAMVA Threshold'!Q43</f>
        <v>0</v>
      </c>
      <c r="D109" s="46"/>
      <c r="E109" s="46"/>
      <c r="F109" s="46"/>
      <c r="G109" s="46"/>
      <c r="H109" s="46"/>
      <c r="I109" s="46"/>
      <c r="J109" s="46"/>
      <c r="K109" s="46"/>
      <c r="L109" s="46"/>
      <c r="M109" s="46"/>
      <c r="N109" s="46"/>
      <c r="O109" s="69"/>
    </row>
    <row r="110" spans="1:15" s="18" customFormat="1" outlineLevel="1">
      <c r="A110" s="4"/>
      <c r="B110" s="536" t="s">
        <v>511</v>
      </c>
      <c r="C110" s="791"/>
      <c r="D110" s="46"/>
      <c r="E110" s="46"/>
      <c r="F110" s="46"/>
      <c r="G110" s="46"/>
      <c r="H110" s="46"/>
      <c r="I110" s="46"/>
      <c r="J110" s="46"/>
      <c r="K110" s="46"/>
      <c r="L110" s="46"/>
      <c r="M110" s="46"/>
      <c r="N110" s="46"/>
      <c r="O110" s="69"/>
    </row>
    <row r="111" spans="1:15" s="18" customFormat="1" outlineLevel="1">
      <c r="A111" s="4"/>
      <c r="B111" s="536" t="s">
        <v>512</v>
      </c>
      <c r="C111" s="791"/>
      <c r="D111" s="46"/>
      <c r="E111" s="46"/>
      <c r="F111" s="46"/>
      <c r="G111" s="46"/>
      <c r="H111" s="46"/>
      <c r="I111" s="46"/>
      <c r="J111" s="46"/>
      <c r="K111" s="46"/>
      <c r="L111" s="46"/>
      <c r="M111" s="46"/>
      <c r="N111" s="46"/>
      <c r="O111" s="69"/>
    </row>
    <row r="112" spans="1:15" s="18" customFormat="1" outlineLevel="1">
      <c r="A112" s="4"/>
      <c r="B112" s="536" t="s">
        <v>490</v>
      </c>
      <c r="C112" s="791"/>
      <c r="D112" s="46"/>
      <c r="E112" s="46"/>
      <c r="F112" s="46"/>
      <c r="G112" s="46"/>
      <c r="H112" s="46"/>
      <c r="I112" s="46"/>
      <c r="J112" s="46"/>
      <c r="K112" s="46"/>
      <c r="L112" s="46"/>
      <c r="M112" s="46"/>
      <c r="N112" s="46"/>
      <c r="O112" s="69"/>
    </row>
    <row r="113" spans="1:17" s="18" customFormat="1">
      <c r="A113" s="4"/>
      <c r="B113" s="536" t="s">
        <v>513</v>
      </c>
      <c r="C113" s="79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612</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798" t="s">
        <v>676</v>
      </c>
      <c r="C120" s="798"/>
      <c r="D120" s="798"/>
      <c r="E120" s="798"/>
      <c r="F120" s="798"/>
      <c r="G120" s="798"/>
      <c r="H120" s="798"/>
      <c r="I120" s="798"/>
      <c r="J120" s="798"/>
      <c r="K120" s="798"/>
      <c r="L120" s="798"/>
      <c r="M120" s="798"/>
      <c r="N120" s="798"/>
      <c r="O120" s="798"/>
      <c r="P120" s="79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Street Lighting</v>
      </c>
      <c r="F122" s="244" t="str">
        <f>'1.  LRAMVA Summary'!G52</f>
        <v>Unmetered Scattered Load</v>
      </c>
      <c r="G122" s="244" t="str">
        <f>'1.  LRAMVA Summary'!H52</f>
        <v>General Service 50 - 4,999 kW</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741"/>
      <c r="D124" s="742"/>
      <c r="E124" s="743"/>
      <c r="F124" s="742"/>
      <c r="G124" s="743"/>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744"/>
      <c r="D125" s="745"/>
      <c r="E125" s="746"/>
      <c r="F125" s="745"/>
      <c r="G125" s="746"/>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0">HLOOKUP(B125,$E$15:$O$114,100,FALSE)</f>
        <v>0</v>
      </c>
    </row>
    <row r="126" spans="1:17">
      <c r="B126" s="501">
        <v>2013</v>
      </c>
      <c r="C126" s="744"/>
      <c r="D126" s="745"/>
      <c r="E126" s="746"/>
      <c r="F126" s="745"/>
      <c r="G126" s="746"/>
      <c r="H126" s="684">
        <f t="shared" ref="H126:H133" si="31">HLOOKUP(B126,$E$15:$O$114,44,FALSE)</f>
        <v>0</v>
      </c>
      <c r="I126" s="685">
        <f t="shared" ref="I126:I133" si="32">HLOOKUP(B126,$E$15:$O$114,51,FALSE)</f>
        <v>0</v>
      </c>
      <c r="J126" s="685">
        <f t="shared" ref="J126:J133" si="33">HLOOKUP(B126,$E$15:$O$114,58,FALSE)</f>
        <v>0</v>
      </c>
      <c r="K126" s="685">
        <f t="shared" ref="K126:K133" si="34">HLOOKUP(B126,$E$15:$O$114,65,FALSE)</f>
        <v>0</v>
      </c>
      <c r="L126" s="685">
        <f>HLOOKUP(B126,$E$15:$O$114,72,FALSE)</f>
        <v>0</v>
      </c>
      <c r="M126" s="685">
        <f t="shared" ref="M126:M133" si="35">HLOOKUP(B126,$E$15:$O$114,79,FALSE)</f>
        <v>0</v>
      </c>
      <c r="N126" s="685">
        <f t="shared" ref="N126:N133" si="36">HLOOKUP(B126,$E$15:$O$114,86,FALSE)</f>
        <v>0</v>
      </c>
      <c r="O126" s="685">
        <f t="shared" ref="O126:O133" si="37">HLOOKUP(B126,$E$15:$O$114,93,FALSE)</f>
        <v>0</v>
      </c>
      <c r="P126" s="685">
        <f t="shared" si="30"/>
        <v>0</v>
      </c>
    </row>
    <row r="127" spans="1:17">
      <c r="B127" s="501">
        <v>2014</v>
      </c>
      <c r="C127" s="744"/>
      <c r="D127" s="745"/>
      <c r="E127" s="746"/>
      <c r="F127" s="745"/>
      <c r="G127" s="746"/>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744"/>
      <c r="D128" s="745"/>
      <c r="E128" s="746"/>
      <c r="F128" s="745"/>
      <c r="G128" s="746"/>
      <c r="H128" s="684">
        <f t="shared" si="31"/>
        <v>0</v>
      </c>
      <c r="I128" s="685">
        <f t="shared" si="32"/>
        <v>0</v>
      </c>
      <c r="J128" s="685">
        <f t="shared" si="33"/>
        <v>0</v>
      </c>
      <c r="K128" s="685">
        <f t="shared" si="34"/>
        <v>0</v>
      </c>
      <c r="L128" s="685">
        <f t="shared" ref="L128:L133" si="38">HLOOKUP(B128,$E$15:$O$114,72,FALSE)</f>
        <v>0</v>
      </c>
      <c r="M128" s="685">
        <f t="shared" si="35"/>
        <v>0</v>
      </c>
      <c r="N128" s="685">
        <f t="shared" si="36"/>
        <v>0</v>
      </c>
      <c r="O128" s="685">
        <f t="shared" si="37"/>
        <v>0</v>
      </c>
      <c r="P128" s="685">
        <f t="shared" si="30"/>
        <v>0</v>
      </c>
    </row>
    <row r="129" spans="2:16">
      <c r="B129" s="501">
        <v>2016</v>
      </c>
      <c r="C129" s="683">
        <f t="shared" ref="C129" si="39">HLOOKUP(B129,$E$15:$O$114,9,FALSE)</f>
        <v>1.0800000000000001E-2</v>
      </c>
      <c r="D129" s="684">
        <f t="shared" ref="D129:D133" si="40">HLOOKUP(B129,$E$15:$O$114,16,FALSE)</f>
        <v>1.14E-2</v>
      </c>
      <c r="E129" s="685">
        <f t="shared" ref="E129:E133" si="41">HLOOKUP(B129,$E$15:$O$114,23,FALSE)</f>
        <v>29.764099999999999</v>
      </c>
      <c r="F129" s="684">
        <f t="shared" ref="F129:F133" si="42">HLOOKUP(B129,$E$15:$O$114,30,FALSE)</f>
        <v>6.1999999999999998E-3</v>
      </c>
      <c r="G129" s="685">
        <f t="shared" ref="G129:G132" si="43">HLOOKUP(B129,$E$15:$O$114,37,FALSE)</f>
        <v>2.1553</v>
      </c>
      <c r="H129" s="684">
        <f t="shared" si="31"/>
        <v>0</v>
      </c>
      <c r="I129" s="685">
        <f t="shared" si="32"/>
        <v>0</v>
      </c>
      <c r="J129" s="685">
        <f t="shared" si="33"/>
        <v>0</v>
      </c>
      <c r="K129" s="685">
        <f t="shared" si="34"/>
        <v>0</v>
      </c>
      <c r="L129" s="685">
        <f t="shared" si="38"/>
        <v>0</v>
      </c>
      <c r="M129" s="685">
        <f t="shared" si="35"/>
        <v>0</v>
      </c>
      <c r="N129" s="685">
        <f t="shared" si="36"/>
        <v>0</v>
      </c>
      <c r="O129" s="685">
        <f t="shared" si="37"/>
        <v>0</v>
      </c>
      <c r="P129" s="685">
        <f t="shared" si="30"/>
        <v>0</v>
      </c>
    </row>
    <row r="130" spans="2:16">
      <c r="B130" s="501">
        <v>2017</v>
      </c>
      <c r="C130" s="683">
        <f>HLOOKUP(B130,$E$15:$O$114,9,FALSE)</f>
        <v>7.7000000000000002E-3</v>
      </c>
      <c r="D130" s="684">
        <f t="shared" si="40"/>
        <v>1.1599999999999999E-2</v>
      </c>
      <c r="E130" s="685">
        <f t="shared" si="41"/>
        <v>30.259899999999998</v>
      </c>
      <c r="F130" s="684">
        <f t="shared" si="42"/>
        <v>6.3E-3</v>
      </c>
      <c r="G130" s="685">
        <f t="shared" si="43"/>
        <v>2.1911999999999998</v>
      </c>
      <c r="H130" s="684">
        <f t="shared" si="31"/>
        <v>0</v>
      </c>
      <c r="I130" s="685">
        <f t="shared" si="32"/>
        <v>0</v>
      </c>
      <c r="J130" s="685">
        <f t="shared" si="33"/>
        <v>0</v>
      </c>
      <c r="K130" s="685">
        <f t="shared" si="34"/>
        <v>0</v>
      </c>
      <c r="L130" s="685">
        <f t="shared" si="38"/>
        <v>0</v>
      </c>
      <c r="M130" s="685">
        <f t="shared" si="35"/>
        <v>0</v>
      </c>
      <c r="N130" s="685">
        <f t="shared" si="36"/>
        <v>0</v>
      </c>
      <c r="O130" s="685">
        <f t="shared" si="37"/>
        <v>0</v>
      </c>
      <c r="P130" s="685">
        <f t="shared" si="30"/>
        <v>0</v>
      </c>
    </row>
    <row r="131" spans="2:16" hidden="1">
      <c r="B131" s="501">
        <v>2018</v>
      </c>
      <c r="C131" s="683">
        <f t="shared" ref="C131:C133" si="44">HLOOKUP(B131,$E$15:$O$114,9,FALSE)</f>
        <v>0</v>
      </c>
      <c r="D131" s="684">
        <f t="shared" si="40"/>
        <v>0</v>
      </c>
      <c r="E131" s="685">
        <f t="shared" si="41"/>
        <v>0</v>
      </c>
      <c r="F131" s="684">
        <f t="shared" si="42"/>
        <v>0</v>
      </c>
      <c r="G131" s="685">
        <f t="shared" si="43"/>
        <v>0</v>
      </c>
      <c r="H131" s="684">
        <f t="shared" si="31"/>
        <v>0</v>
      </c>
      <c r="I131" s="685">
        <f t="shared" si="32"/>
        <v>0</v>
      </c>
      <c r="J131" s="685">
        <f t="shared" si="33"/>
        <v>0</v>
      </c>
      <c r="K131" s="685">
        <f t="shared" si="34"/>
        <v>0</v>
      </c>
      <c r="L131" s="685">
        <f t="shared" si="38"/>
        <v>0</v>
      </c>
      <c r="M131" s="685">
        <f t="shared" si="35"/>
        <v>0</v>
      </c>
      <c r="N131" s="685">
        <f t="shared" si="36"/>
        <v>0</v>
      </c>
      <c r="O131" s="685">
        <f t="shared" si="37"/>
        <v>0</v>
      </c>
      <c r="P131" s="685">
        <f t="shared" si="30"/>
        <v>0</v>
      </c>
    </row>
    <row r="132" spans="2:16" hidden="1">
      <c r="B132" s="501">
        <v>2019</v>
      </c>
      <c r="C132" s="683">
        <f t="shared" si="44"/>
        <v>0</v>
      </c>
      <c r="D132" s="684">
        <f t="shared" si="40"/>
        <v>0</v>
      </c>
      <c r="E132" s="685">
        <f t="shared" si="41"/>
        <v>0</v>
      </c>
      <c r="F132" s="684">
        <f t="shared" si="42"/>
        <v>0</v>
      </c>
      <c r="G132" s="685">
        <f t="shared" si="43"/>
        <v>0</v>
      </c>
      <c r="H132" s="684">
        <f t="shared" si="31"/>
        <v>0</v>
      </c>
      <c r="I132" s="685">
        <f t="shared" si="32"/>
        <v>0</v>
      </c>
      <c r="J132" s="685">
        <f t="shared" si="33"/>
        <v>0</v>
      </c>
      <c r="K132" s="685">
        <f t="shared" si="34"/>
        <v>0</v>
      </c>
      <c r="L132" s="685">
        <f t="shared" si="38"/>
        <v>0</v>
      </c>
      <c r="M132" s="685">
        <f t="shared" si="35"/>
        <v>0</v>
      </c>
      <c r="N132" s="685">
        <f t="shared" si="36"/>
        <v>0</v>
      </c>
      <c r="O132" s="685">
        <f t="shared" si="37"/>
        <v>0</v>
      </c>
      <c r="P132" s="685">
        <f t="shared" si="30"/>
        <v>0</v>
      </c>
    </row>
    <row r="133" spans="2:16" hidden="1">
      <c r="B133" s="502">
        <v>2020</v>
      </c>
      <c r="C133" s="686">
        <f t="shared" si="44"/>
        <v>0</v>
      </c>
      <c r="D133" s="687">
        <f t="shared" si="40"/>
        <v>0</v>
      </c>
      <c r="E133" s="688">
        <f t="shared" si="41"/>
        <v>0</v>
      </c>
      <c r="F133" s="687">
        <f t="shared" si="42"/>
        <v>0</v>
      </c>
      <c r="G133" s="688">
        <f>HLOOKUP(B133,$E$15:$O$114,37,FALSE)</f>
        <v>0</v>
      </c>
      <c r="H133" s="687">
        <f t="shared" si="31"/>
        <v>0</v>
      </c>
      <c r="I133" s="688">
        <f t="shared" si="32"/>
        <v>0</v>
      </c>
      <c r="J133" s="688">
        <f t="shared" si="33"/>
        <v>0</v>
      </c>
      <c r="K133" s="688">
        <f t="shared" si="34"/>
        <v>0</v>
      </c>
      <c r="L133" s="688">
        <f t="shared" si="38"/>
        <v>0</v>
      </c>
      <c r="M133" s="688">
        <f t="shared" si="35"/>
        <v>0</v>
      </c>
      <c r="N133" s="688">
        <f t="shared" si="36"/>
        <v>0</v>
      </c>
      <c r="O133" s="688">
        <f t="shared" si="37"/>
        <v>0</v>
      </c>
      <c r="P133" s="688">
        <f t="shared" si="30"/>
        <v>0</v>
      </c>
    </row>
    <row r="134" spans="2:16" ht="18.75" customHeight="1">
      <c r="B134" s="498" t="s">
        <v>629</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scale="43"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16"/>
  <sheetViews>
    <sheetView zoomScale="90" zoomScaleNormal="90" workbookViewId="0">
      <selection sqref="A1:XFD1048576"/>
    </sheetView>
  </sheetViews>
  <sheetFormatPr defaultColWidth="9.140625" defaultRowHeight="15"/>
  <cols>
    <col min="1" max="16384" width="9.140625" style="12"/>
  </cols>
  <sheetData>
    <row r="14" spans="2:24" ht="15.75">
      <c r="B14" s="588" t="s">
        <v>505</v>
      </c>
    </row>
    <row r="15" spans="2:24" ht="15.75">
      <c r="B15" s="588"/>
    </row>
    <row r="16" spans="2:24" s="668" customFormat="1" ht="28.5" customHeight="1">
      <c r="B16" s="799" t="s">
        <v>632</v>
      </c>
      <c r="C16" s="799"/>
      <c r="D16" s="799"/>
      <c r="E16" s="799"/>
      <c r="F16" s="799"/>
      <c r="G16" s="799"/>
      <c r="H16" s="799"/>
      <c r="I16" s="799"/>
      <c r="J16" s="799"/>
      <c r="K16" s="799"/>
      <c r="L16" s="799"/>
      <c r="M16" s="799"/>
      <c r="N16" s="799"/>
      <c r="O16" s="799"/>
      <c r="P16" s="799"/>
      <c r="Q16" s="799"/>
      <c r="R16" s="799"/>
      <c r="S16" s="799"/>
      <c r="T16" s="799"/>
      <c r="U16" s="799"/>
      <c r="V16" s="799"/>
      <c r="W16" s="799"/>
      <c r="X16" s="799"/>
    </row>
  </sheetData>
  <mergeCells count="1">
    <mergeCell ref="B16:X16"/>
  </mergeCells>
  <pageMargins left="0.7" right="0.7" top="0.75" bottom="0.75" header="0.3" footer="0.3"/>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Jeff Klassen</cp:lastModifiedBy>
  <cp:lastPrinted>2018-08-20T14:51:25Z</cp:lastPrinted>
  <dcterms:created xsi:type="dcterms:W3CDTF">2012-03-05T18:56:04Z</dcterms:created>
  <dcterms:modified xsi:type="dcterms:W3CDTF">2018-08-20T14:51:32Z</dcterms:modified>
</cp:coreProperties>
</file>