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12" yWindow="1632" windowWidth="28740" windowHeight="12456"/>
  </bookViews>
  <sheets>
    <sheet name="Revised 2-BA" sheetId="1" r:id="rId1"/>
    <sheet name="Revised 2-EC" sheetId="2" r:id="rId2"/>
    <sheet name="Sheet3" sheetId="3" r:id="rId3"/>
  </sheets>
  <externalReferences>
    <externalReference r:id="rId4"/>
  </externalReferences>
  <definedNames>
    <definedName name="EBNUMBER">'[1]LDC Info'!$E$16</definedName>
  </definedNames>
  <calcPr calcId="145621"/>
</workbook>
</file>

<file path=xl/calcChain.xml><?xml version="1.0" encoding="utf-8"?>
<calcChain xmlns="http://schemas.openxmlformats.org/spreadsheetml/2006/main">
  <c r="M734" i="1" l="1"/>
  <c r="G734" i="1"/>
  <c r="M732" i="1"/>
  <c r="M731" i="1"/>
  <c r="G732" i="1"/>
  <c r="G731" i="1"/>
  <c r="C22" i="2" l="1"/>
  <c r="C28" i="2" s="1"/>
  <c r="K1" i="2"/>
  <c r="C31" i="2" l="1"/>
  <c r="D28" i="2" s="1"/>
  <c r="C25" i="2"/>
  <c r="K726" i="1"/>
  <c r="K723" i="1"/>
  <c r="F723" i="1"/>
  <c r="F726" i="1" s="1"/>
  <c r="J721" i="1"/>
  <c r="J717" i="1"/>
  <c r="J716" i="1"/>
  <c r="J715" i="1"/>
  <c r="J714" i="1"/>
  <c r="J713" i="1"/>
  <c r="J712" i="1"/>
  <c r="J711" i="1"/>
  <c r="J710" i="1"/>
  <c r="J709" i="1"/>
  <c r="J708" i="1"/>
  <c r="J707" i="1"/>
  <c r="J706" i="1"/>
  <c r="J705" i="1"/>
  <c r="J704" i="1"/>
  <c r="J703" i="1"/>
  <c r="J702" i="1"/>
  <c r="J701" i="1"/>
  <c r="J700" i="1"/>
  <c r="J699" i="1"/>
  <c r="J698" i="1"/>
  <c r="J697" i="1"/>
  <c r="E696" i="1"/>
  <c r="E723" i="1" s="1"/>
  <c r="E726" i="1" s="1"/>
  <c r="J695" i="1"/>
  <c r="J694" i="1"/>
  <c r="J693" i="1"/>
  <c r="J692" i="1"/>
  <c r="J691" i="1"/>
  <c r="J690" i="1"/>
  <c r="J689" i="1"/>
  <c r="J688" i="1"/>
  <c r="J687" i="1"/>
  <c r="J686" i="1"/>
  <c r="J685" i="1"/>
  <c r="J684" i="1"/>
  <c r="J683" i="1"/>
  <c r="J682" i="1"/>
  <c r="J635" i="1"/>
  <c r="J637" i="1" s="1"/>
  <c r="K642" i="1" s="1"/>
  <c r="J632" i="1"/>
  <c r="H632" i="1"/>
  <c r="H635" i="1" s="1"/>
  <c r="K616" i="1"/>
  <c r="E616" i="1"/>
  <c r="K604" i="1"/>
  <c r="K632" i="1" s="1"/>
  <c r="K635" i="1" s="1"/>
  <c r="F604" i="1"/>
  <c r="E603" i="1"/>
  <c r="E632" i="1" s="1"/>
  <c r="E635" i="1" s="1"/>
  <c r="F601" i="1"/>
  <c r="F632" i="1" s="1"/>
  <c r="F635" i="1" s="1"/>
  <c r="G593" i="1"/>
  <c r="K544" i="1"/>
  <c r="K541" i="1"/>
  <c r="H541" i="1"/>
  <c r="H544" i="1" s="1"/>
  <c r="F541" i="1"/>
  <c r="F544" i="1" s="1"/>
  <c r="E541" i="1"/>
  <c r="E544" i="1" s="1"/>
  <c r="J539" i="1"/>
  <c r="J541" i="1" s="1"/>
  <c r="J544" i="1" s="1"/>
  <c r="J546" i="1" s="1"/>
  <c r="K551" i="1" s="1"/>
  <c r="L502" i="1"/>
  <c r="I593" i="1" s="1"/>
  <c r="L593" i="1" s="1"/>
  <c r="I684" i="1" s="1"/>
  <c r="L684" i="1" s="1"/>
  <c r="G502" i="1"/>
  <c r="D593" i="1" s="1"/>
  <c r="F455" i="1"/>
  <c r="H452" i="1"/>
  <c r="H455" i="1" s="1"/>
  <c r="F452" i="1"/>
  <c r="J449" i="1"/>
  <c r="J440" i="1"/>
  <c r="E440" i="1"/>
  <c r="E438" i="1"/>
  <c r="K436" i="1"/>
  <c r="K452" i="1" s="1"/>
  <c r="K455" i="1" s="1"/>
  <c r="J436" i="1"/>
  <c r="J452" i="1" s="1"/>
  <c r="J455" i="1" s="1"/>
  <c r="J457" i="1" s="1"/>
  <c r="F436" i="1"/>
  <c r="E436" i="1"/>
  <c r="I435" i="1"/>
  <c r="L435" i="1" s="1"/>
  <c r="I524" i="1" s="1"/>
  <c r="L524" i="1" s="1"/>
  <c r="I615" i="1" s="1"/>
  <c r="L615" i="1" s="1"/>
  <c r="I706" i="1" s="1"/>
  <c r="L706" i="1" s="1"/>
  <c r="L434" i="1"/>
  <c r="I523" i="1" s="1"/>
  <c r="L523" i="1" s="1"/>
  <c r="I614" i="1" s="1"/>
  <c r="L614" i="1" s="1"/>
  <c r="I705" i="1" s="1"/>
  <c r="L705" i="1" s="1"/>
  <c r="I431" i="1"/>
  <c r="L431" i="1" s="1"/>
  <c r="I520" i="1" s="1"/>
  <c r="L520" i="1" s="1"/>
  <c r="I611" i="1" s="1"/>
  <c r="L611" i="1" s="1"/>
  <c r="I702" i="1" s="1"/>
  <c r="L702" i="1" s="1"/>
  <c r="L430" i="1"/>
  <c r="I519" i="1" s="1"/>
  <c r="L519" i="1" s="1"/>
  <c r="I610" i="1" s="1"/>
  <c r="L610" i="1" s="1"/>
  <c r="I701" i="1" s="1"/>
  <c r="L701" i="1" s="1"/>
  <c r="I427" i="1"/>
  <c r="L427" i="1" s="1"/>
  <c r="I516" i="1" s="1"/>
  <c r="L516" i="1" s="1"/>
  <c r="I607" i="1" s="1"/>
  <c r="L607" i="1" s="1"/>
  <c r="I698" i="1" s="1"/>
  <c r="L698" i="1" s="1"/>
  <c r="L426" i="1"/>
  <c r="I515" i="1" s="1"/>
  <c r="L515" i="1" s="1"/>
  <c r="I606" i="1" s="1"/>
  <c r="L606" i="1" s="1"/>
  <c r="I697" i="1" s="1"/>
  <c r="L697" i="1" s="1"/>
  <c r="L422" i="1"/>
  <c r="I511" i="1" s="1"/>
  <c r="L511" i="1" s="1"/>
  <c r="I602" i="1" s="1"/>
  <c r="L602" i="1" s="1"/>
  <c r="I693" i="1" s="1"/>
  <c r="L693" i="1" s="1"/>
  <c r="E412" i="1"/>
  <c r="I367" i="1"/>
  <c r="F367" i="1"/>
  <c r="K364" i="1"/>
  <c r="K367" i="1" s="1"/>
  <c r="I364" i="1"/>
  <c r="H364" i="1"/>
  <c r="H367" i="1" s="1"/>
  <c r="F364" i="1"/>
  <c r="L363" i="1"/>
  <c r="L362" i="1"/>
  <c r="I450" i="1" s="1"/>
  <c r="L450" i="1" s="1"/>
  <c r="I539" i="1" s="1"/>
  <c r="L539" i="1" s="1"/>
  <c r="I630" i="1" s="1"/>
  <c r="L630" i="1" s="1"/>
  <c r="I721" i="1" s="1"/>
  <c r="L721" i="1" s="1"/>
  <c r="L361" i="1"/>
  <c r="I449" i="1" s="1"/>
  <c r="L449" i="1" s="1"/>
  <c r="I538" i="1" s="1"/>
  <c r="L538" i="1" s="1"/>
  <c r="I629" i="1" s="1"/>
  <c r="L629" i="1" s="1"/>
  <c r="I720" i="1" s="1"/>
  <c r="L720" i="1" s="1"/>
  <c r="L360" i="1"/>
  <c r="I448" i="1" s="1"/>
  <c r="L448" i="1" s="1"/>
  <c r="I537" i="1" s="1"/>
  <c r="L537" i="1" s="1"/>
  <c r="I628" i="1" s="1"/>
  <c r="L628" i="1" s="1"/>
  <c r="I719" i="1" s="1"/>
  <c r="L719" i="1" s="1"/>
  <c r="L359" i="1"/>
  <c r="I447" i="1" s="1"/>
  <c r="L447" i="1" s="1"/>
  <c r="I536" i="1" s="1"/>
  <c r="L536" i="1" s="1"/>
  <c r="I627" i="1" s="1"/>
  <c r="L627" i="1" s="1"/>
  <c r="I718" i="1" s="1"/>
  <c r="L718" i="1" s="1"/>
  <c r="L358" i="1"/>
  <c r="I446" i="1" s="1"/>
  <c r="L446" i="1" s="1"/>
  <c r="I535" i="1" s="1"/>
  <c r="L535" i="1" s="1"/>
  <c r="I626" i="1" s="1"/>
  <c r="L626" i="1" s="1"/>
  <c r="I717" i="1" s="1"/>
  <c r="L717" i="1" s="1"/>
  <c r="L357" i="1"/>
  <c r="I445" i="1" s="1"/>
  <c r="L445" i="1" s="1"/>
  <c r="I534" i="1" s="1"/>
  <c r="L534" i="1" s="1"/>
  <c r="I625" i="1" s="1"/>
  <c r="L625" i="1" s="1"/>
  <c r="I716" i="1" s="1"/>
  <c r="L716" i="1" s="1"/>
  <c r="L356" i="1"/>
  <c r="I444" i="1" s="1"/>
  <c r="L444" i="1" s="1"/>
  <c r="I533" i="1" s="1"/>
  <c r="L533" i="1" s="1"/>
  <c r="I624" i="1" s="1"/>
  <c r="L624" i="1" s="1"/>
  <c r="I715" i="1" s="1"/>
  <c r="L715" i="1" s="1"/>
  <c r="L355" i="1"/>
  <c r="I443" i="1" s="1"/>
  <c r="L443" i="1" s="1"/>
  <c r="I532" i="1" s="1"/>
  <c r="L532" i="1" s="1"/>
  <c r="I623" i="1" s="1"/>
  <c r="L623" i="1" s="1"/>
  <c r="I714" i="1" s="1"/>
  <c r="L714" i="1" s="1"/>
  <c r="L354" i="1"/>
  <c r="I442" i="1" s="1"/>
  <c r="L442" i="1" s="1"/>
  <c r="I531" i="1" s="1"/>
  <c r="L531" i="1" s="1"/>
  <c r="I622" i="1" s="1"/>
  <c r="L622" i="1" s="1"/>
  <c r="I713" i="1" s="1"/>
  <c r="L713" i="1" s="1"/>
  <c r="L353" i="1"/>
  <c r="I441" i="1" s="1"/>
  <c r="L441" i="1" s="1"/>
  <c r="I530" i="1" s="1"/>
  <c r="L530" i="1" s="1"/>
  <c r="I621" i="1" s="1"/>
  <c r="L621" i="1" s="1"/>
  <c r="I712" i="1" s="1"/>
  <c r="L712" i="1" s="1"/>
  <c r="L352" i="1"/>
  <c r="I440" i="1" s="1"/>
  <c r="L440" i="1" s="1"/>
  <c r="I529" i="1" s="1"/>
  <c r="L529" i="1" s="1"/>
  <c r="I620" i="1" s="1"/>
  <c r="L620" i="1" s="1"/>
  <c r="I711" i="1" s="1"/>
  <c r="L711" i="1" s="1"/>
  <c r="L351" i="1"/>
  <c r="I439" i="1" s="1"/>
  <c r="L439" i="1" s="1"/>
  <c r="I528" i="1" s="1"/>
  <c r="L528" i="1" s="1"/>
  <c r="I619" i="1" s="1"/>
  <c r="L619" i="1" s="1"/>
  <c r="I710" i="1" s="1"/>
  <c r="L710" i="1" s="1"/>
  <c r="L350" i="1"/>
  <c r="I438" i="1" s="1"/>
  <c r="L438" i="1" s="1"/>
  <c r="I527" i="1" s="1"/>
  <c r="L527" i="1" s="1"/>
  <c r="I618" i="1" s="1"/>
  <c r="L618" i="1" s="1"/>
  <c r="I709" i="1" s="1"/>
  <c r="L709" i="1" s="1"/>
  <c r="E350" i="1"/>
  <c r="L349" i="1"/>
  <c r="I437" i="1" s="1"/>
  <c r="L437" i="1" s="1"/>
  <c r="I526" i="1" s="1"/>
  <c r="L526" i="1" s="1"/>
  <c r="I617" i="1" s="1"/>
  <c r="L617" i="1" s="1"/>
  <c r="I708" i="1" s="1"/>
  <c r="L708" i="1" s="1"/>
  <c r="J348" i="1"/>
  <c r="J364" i="1" s="1"/>
  <c r="J367" i="1" s="1"/>
  <c r="J369" i="1" s="1"/>
  <c r="K374" i="1" s="1"/>
  <c r="E348" i="1"/>
  <c r="L347" i="1"/>
  <c r="L346" i="1"/>
  <c r="I434" i="1" s="1"/>
  <c r="L345" i="1"/>
  <c r="I433" i="1" s="1"/>
  <c r="L433" i="1" s="1"/>
  <c r="I522" i="1" s="1"/>
  <c r="L522" i="1" s="1"/>
  <c r="I613" i="1" s="1"/>
  <c r="L613" i="1" s="1"/>
  <c r="I704" i="1" s="1"/>
  <c r="L704" i="1" s="1"/>
  <c r="L344" i="1"/>
  <c r="I432" i="1" s="1"/>
  <c r="L432" i="1" s="1"/>
  <c r="I521" i="1" s="1"/>
  <c r="L521" i="1" s="1"/>
  <c r="I612" i="1" s="1"/>
  <c r="L612" i="1" s="1"/>
  <c r="I703" i="1" s="1"/>
  <c r="L703" i="1" s="1"/>
  <c r="L343" i="1"/>
  <c r="L342" i="1"/>
  <c r="I430" i="1" s="1"/>
  <c r="L341" i="1"/>
  <c r="I429" i="1" s="1"/>
  <c r="L429" i="1" s="1"/>
  <c r="I518" i="1" s="1"/>
  <c r="L518" i="1" s="1"/>
  <c r="I609" i="1" s="1"/>
  <c r="L609" i="1" s="1"/>
  <c r="I700" i="1" s="1"/>
  <c r="L700" i="1" s="1"/>
  <c r="L340" i="1"/>
  <c r="I428" i="1" s="1"/>
  <c r="L428" i="1" s="1"/>
  <c r="I517" i="1" s="1"/>
  <c r="L517" i="1" s="1"/>
  <c r="I608" i="1" s="1"/>
  <c r="L608" i="1" s="1"/>
  <c r="I699" i="1" s="1"/>
  <c r="L699" i="1" s="1"/>
  <c r="L339" i="1"/>
  <c r="L338" i="1"/>
  <c r="I426" i="1" s="1"/>
  <c r="L337" i="1"/>
  <c r="I425" i="1" s="1"/>
  <c r="L425" i="1" s="1"/>
  <c r="I514" i="1" s="1"/>
  <c r="L514" i="1" s="1"/>
  <c r="I605" i="1" s="1"/>
  <c r="L605" i="1" s="1"/>
  <c r="I696" i="1" s="1"/>
  <c r="L336" i="1"/>
  <c r="I424" i="1" s="1"/>
  <c r="L424" i="1" s="1"/>
  <c r="I513" i="1" s="1"/>
  <c r="L513" i="1" s="1"/>
  <c r="I604" i="1" s="1"/>
  <c r="L604" i="1" s="1"/>
  <c r="I695" i="1" s="1"/>
  <c r="L695" i="1" s="1"/>
  <c r="L335" i="1"/>
  <c r="I423" i="1" s="1"/>
  <c r="L423" i="1" s="1"/>
  <c r="I512" i="1" s="1"/>
  <c r="L512" i="1" s="1"/>
  <c r="I603" i="1" s="1"/>
  <c r="L603" i="1" s="1"/>
  <c r="I694" i="1" s="1"/>
  <c r="L694" i="1" s="1"/>
  <c r="L334" i="1"/>
  <c r="I422" i="1" s="1"/>
  <c r="L333" i="1"/>
  <c r="I421" i="1" s="1"/>
  <c r="L421" i="1" s="1"/>
  <c r="I510" i="1" s="1"/>
  <c r="L510" i="1" s="1"/>
  <c r="I601" i="1" s="1"/>
  <c r="L601" i="1" s="1"/>
  <c r="I692" i="1" s="1"/>
  <c r="L692" i="1" s="1"/>
  <c r="E333" i="1"/>
  <c r="E364" i="1" s="1"/>
  <c r="E367" i="1" s="1"/>
  <c r="L332" i="1"/>
  <c r="I420" i="1" s="1"/>
  <c r="L420" i="1" s="1"/>
  <c r="I509" i="1" s="1"/>
  <c r="L509" i="1" s="1"/>
  <c r="I600" i="1" s="1"/>
  <c r="L600" i="1" s="1"/>
  <c r="I691" i="1" s="1"/>
  <c r="L691" i="1" s="1"/>
  <c r="L331" i="1"/>
  <c r="I419" i="1" s="1"/>
  <c r="L419" i="1" s="1"/>
  <c r="I508" i="1" s="1"/>
  <c r="L508" i="1" s="1"/>
  <c r="I599" i="1" s="1"/>
  <c r="L599" i="1" s="1"/>
  <c r="I690" i="1" s="1"/>
  <c r="L690" i="1" s="1"/>
  <c r="L330" i="1"/>
  <c r="I418" i="1" s="1"/>
  <c r="L418" i="1" s="1"/>
  <c r="I507" i="1" s="1"/>
  <c r="L507" i="1" s="1"/>
  <c r="I598" i="1" s="1"/>
  <c r="L598" i="1" s="1"/>
  <c r="I689" i="1" s="1"/>
  <c r="L689" i="1" s="1"/>
  <c r="L329" i="1"/>
  <c r="I417" i="1" s="1"/>
  <c r="L417" i="1" s="1"/>
  <c r="I506" i="1" s="1"/>
  <c r="L506" i="1" s="1"/>
  <c r="I597" i="1" s="1"/>
  <c r="L597" i="1" s="1"/>
  <c r="I688" i="1" s="1"/>
  <c r="L688" i="1" s="1"/>
  <c r="L328" i="1"/>
  <c r="I416" i="1" s="1"/>
  <c r="L416" i="1" s="1"/>
  <c r="I505" i="1" s="1"/>
  <c r="L505" i="1" s="1"/>
  <c r="I596" i="1" s="1"/>
  <c r="L596" i="1" s="1"/>
  <c r="I687" i="1" s="1"/>
  <c r="L687" i="1" s="1"/>
  <c r="L327" i="1"/>
  <c r="I415" i="1" s="1"/>
  <c r="L415" i="1" s="1"/>
  <c r="I504" i="1" s="1"/>
  <c r="L504" i="1" s="1"/>
  <c r="I595" i="1" s="1"/>
  <c r="L595" i="1" s="1"/>
  <c r="I686" i="1" s="1"/>
  <c r="L686" i="1" s="1"/>
  <c r="L326" i="1"/>
  <c r="I414" i="1" s="1"/>
  <c r="L414" i="1" s="1"/>
  <c r="I503" i="1" s="1"/>
  <c r="L503" i="1" s="1"/>
  <c r="I594" i="1" s="1"/>
  <c r="L594" i="1" s="1"/>
  <c r="I685" i="1" s="1"/>
  <c r="L685" i="1" s="1"/>
  <c r="L325" i="1"/>
  <c r="I413" i="1" s="1"/>
  <c r="L413" i="1" s="1"/>
  <c r="I501" i="1" s="1"/>
  <c r="L501" i="1" s="1"/>
  <c r="I592" i="1" s="1"/>
  <c r="L592" i="1" s="1"/>
  <c r="I683" i="1" s="1"/>
  <c r="L683" i="1" s="1"/>
  <c r="L324" i="1"/>
  <c r="I412" i="1" s="1"/>
  <c r="E296" i="1"/>
  <c r="K293" i="1"/>
  <c r="K296" i="1" s="1"/>
  <c r="F293" i="1"/>
  <c r="F296" i="1" s="1"/>
  <c r="E293" i="1"/>
  <c r="L292" i="1"/>
  <c r="G292" i="1"/>
  <c r="J277" i="1"/>
  <c r="J293" i="1" s="1"/>
  <c r="J296" i="1" s="1"/>
  <c r="K224" i="1"/>
  <c r="F224" i="1"/>
  <c r="K221" i="1"/>
  <c r="F221" i="1"/>
  <c r="E221" i="1"/>
  <c r="E224" i="1" s="1"/>
  <c r="I219" i="1"/>
  <c r="L219" i="1" s="1"/>
  <c r="D219" i="1"/>
  <c r="G219" i="1" s="1"/>
  <c r="D291" i="1" s="1"/>
  <c r="G291" i="1" s="1"/>
  <c r="G216" i="1"/>
  <c r="D214" i="1"/>
  <c r="G214" i="1" s="1"/>
  <c r="I213" i="1"/>
  <c r="L213" i="1" s="1"/>
  <c r="I285" i="1" s="1"/>
  <c r="L285" i="1" s="1"/>
  <c r="I211" i="1"/>
  <c r="L211" i="1" s="1"/>
  <c r="I283" i="1" s="1"/>
  <c r="L283" i="1" s="1"/>
  <c r="I207" i="1"/>
  <c r="L207" i="1" s="1"/>
  <c r="I279" i="1" s="1"/>
  <c r="L279" i="1" s="1"/>
  <c r="I205" i="1"/>
  <c r="L205" i="1" s="1"/>
  <c r="I277" i="1" s="1"/>
  <c r="L277" i="1" s="1"/>
  <c r="I203" i="1"/>
  <c r="L203" i="1" s="1"/>
  <c r="I275" i="1" s="1"/>
  <c r="L275" i="1" s="1"/>
  <c r="I201" i="1"/>
  <c r="L201" i="1" s="1"/>
  <c r="I273" i="1" s="1"/>
  <c r="L273" i="1" s="1"/>
  <c r="I199" i="1"/>
  <c r="L199" i="1" s="1"/>
  <c r="I271" i="1" s="1"/>
  <c r="L271" i="1" s="1"/>
  <c r="I197" i="1"/>
  <c r="L197" i="1" s="1"/>
  <c r="I269" i="1" s="1"/>
  <c r="L269" i="1" s="1"/>
  <c r="J195" i="1"/>
  <c r="J221" i="1" s="1"/>
  <c r="J224" i="1" s="1"/>
  <c r="D194" i="1"/>
  <c r="G194" i="1" s="1"/>
  <c r="D192" i="1"/>
  <c r="G192" i="1" s="1"/>
  <c r="D190" i="1"/>
  <c r="G190" i="1" s="1"/>
  <c r="D188" i="1"/>
  <c r="G188" i="1" s="1"/>
  <c r="D186" i="1"/>
  <c r="G186" i="1" s="1"/>
  <c r="D184" i="1"/>
  <c r="G184" i="1" s="1"/>
  <c r="D182" i="1"/>
  <c r="G182" i="1" s="1"/>
  <c r="E150" i="1"/>
  <c r="K147" i="1"/>
  <c r="K150" i="1" s="1"/>
  <c r="F147" i="1"/>
  <c r="F150" i="1" s="1"/>
  <c r="E147" i="1"/>
  <c r="I145" i="1"/>
  <c r="I143" i="1"/>
  <c r="L143" i="1" s="1"/>
  <c r="I141" i="1"/>
  <c r="L141" i="1" s="1"/>
  <c r="I139" i="1"/>
  <c r="L139" i="1" s="1"/>
  <c r="I137" i="1"/>
  <c r="L137" i="1" s="1"/>
  <c r="I135" i="1"/>
  <c r="L135" i="1" s="1"/>
  <c r="I133" i="1"/>
  <c r="L133" i="1" s="1"/>
  <c r="I131" i="1"/>
  <c r="L131" i="1" s="1"/>
  <c r="I129" i="1"/>
  <c r="L129" i="1" s="1"/>
  <c r="I127" i="1"/>
  <c r="L127" i="1" s="1"/>
  <c r="I125" i="1"/>
  <c r="L125" i="1" s="1"/>
  <c r="I123" i="1"/>
  <c r="L123" i="1" s="1"/>
  <c r="J121" i="1"/>
  <c r="J147" i="1" s="1"/>
  <c r="J150" i="1" s="1"/>
  <c r="D120" i="1"/>
  <c r="G120" i="1" s="1"/>
  <c r="I118" i="1"/>
  <c r="L118" i="1" s="1"/>
  <c r="D118" i="1"/>
  <c r="G118" i="1" s="1"/>
  <c r="M118" i="1" s="1"/>
  <c r="I116" i="1"/>
  <c r="L116" i="1" s="1"/>
  <c r="M116" i="1" s="1"/>
  <c r="D116" i="1"/>
  <c r="G116" i="1" s="1"/>
  <c r="D114" i="1"/>
  <c r="G114" i="1" s="1"/>
  <c r="D112" i="1"/>
  <c r="G112" i="1" s="1"/>
  <c r="M112" i="1" s="1"/>
  <c r="I110" i="1"/>
  <c r="L110" i="1" s="1"/>
  <c r="D110" i="1"/>
  <c r="G110" i="1" s="1"/>
  <c r="M110" i="1" s="1"/>
  <c r="I108" i="1"/>
  <c r="L108" i="1" s="1"/>
  <c r="M108" i="1" s="1"/>
  <c r="D108" i="1"/>
  <c r="G108" i="1" s="1"/>
  <c r="K67" i="1"/>
  <c r="K60" i="1"/>
  <c r="I60" i="1"/>
  <c r="F60" i="1"/>
  <c r="D60" i="1"/>
  <c r="L59" i="1"/>
  <c r="G59" i="1"/>
  <c r="L58" i="1"/>
  <c r="G58" i="1"/>
  <c r="M58" i="1" s="1"/>
  <c r="K57" i="1"/>
  <c r="J57" i="1"/>
  <c r="J60" i="1" s="1"/>
  <c r="J62" i="1" s="1"/>
  <c r="I57" i="1"/>
  <c r="F57" i="1"/>
  <c r="E57" i="1"/>
  <c r="E60" i="1" s="1"/>
  <c r="D57" i="1"/>
  <c r="L56" i="1"/>
  <c r="I220" i="1" s="1"/>
  <c r="L220" i="1" s="1"/>
  <c r="M220" i="1" s="1"/>
  <c r="D363" i="1" s="1"/>
  <c r="G363" i="1" s="1"/>
  <c r="M363" i="1" s="1"/>
  <c r="G56" i="1"/>
  <c r="D220" i="1" s="1"/>
  <c r="L54" i="1"/>
  <c r="G54" i="1"/>
  <c r="D144" i="1" s="1"/>
  <c r="G144" i="1" s="1"/>
  <c r="L53" i="1"/>
  <c r="I217" i="1" s="1"/>
  <c r="L217" i="1" s="1"/>
  <c r="I289" i="1" s="1"/>
  <c r="L289" i="1" s="1"/>
  <c r="G53" i="1"/>
  <c r="L52" i="1"/>
  <c r="G52" i="1"/>
  <c r="D216" i="1" s="1"/>
  <c r="M51" i="1"/>
  <c r="L51" i="1"/>
  <c r="I215" i="1" s="1"/>
  <c r="L215" i="1" s="1"/>
  <c r="I287" i="1" s="1"/>
  <c r="L287" i="1" s="1"/>
  <c r="G51" i="1"/>
  <c r="L50" i="1"/>
  <c r="G50" i="1"/>
  <c r="D140" i="1" s="1"/>
  <c r="G140" i="1" s="1"/>
  <c r="M49" i="1"/>
  <c r="L49" i="1"/>
  <c r="G49" i="1"/>
  <c r="L48" i="1"/>
  <c r="G48" i="1"/>
  <c r="D212" i="1" s="1"/>
  <c r="G212" i="1" s="1"/>
  <c r="L47" i="1"/>
  <c r="G47" i="1"/>
  <c r="L46" i="1"/>
  <c r="G46" i="1"/>
  <c r="D210" i="1" s="1"/>
  <c r="G210" i="1" s="1"/>
  <c r="L45" i="1"/>
  <c r="I209" i="1" s="1"/>
  <c r="L209" i="1" s="1"/>
  <c r="I281" i="1" s="1"/>
  <c r="L281" i="1" s="1"/>
  <c r="G45" i="1"/>
  <c r="M45" i="1" s="1"/>
  <c r="L44" i="1"/>
  <c r="G44" i="1"/>
  <c r="D208" i="1" s="1"/>
  <c r="G208" i="1" s="1"/>
  <c r="M43" i="1"/>
  <c r="L43" i="1"/>
  <c r="G43" i="1"/>
  <c r="L42" i="1"/>
  <c r="G42" i="1"/>
  <c r="D132" i="1" s="1"/>
  <c r="G132" i="1" s="1"/>
  <c r="M41" i="1"/>
  <c r="L41" i="1"/>
  <c r="G41" i="1"/>
  <c r="L40" i="1"/>
  <c r="G40" i="1"/>
  <c r="D204" i="1" s="1"/>
  <c r="G204" i="1" s="1"/>
  <c r="L39" i="1"/>
  <c r="G39" i="1"/>
  <c r="L38" i="1"/>
  <c r="G38" i="1"/>
  <c r="D128" i="1" s="1"/>
  <c r="G128" i="1" s="1"/>
  <c r="L37" i="1"/>
  <c r="G37" i="1"/>
  <c r="M37" i="1" s="1"/>
  <c r="L36" i="1"/>
  <c r="G36" i="1"/>
  <c r="D200" i="1" s="1"/>
  <c r="G200" i="1" s="1"/>
  <c r="M35" i="1"/>
  <c r="L35" i="1"/>
  <c r="G35" i="1"/>
  <c r="L34" i="1"/>
  <c r="G34" i="1"/>
  <c r="D124" i="1" s="1"/>
  <c r="G124" i="1" s="1"/>
  <c r="M33" i="1"/>
  <c r="L33" i="1"/>
  <c r="G33" i="1"/>
  <c r="L32" i="1"/>
  <c r="G32" i="1"/>
  <c r="D196" i="1" s="1"/>
  <c r="G196" i="1" s="1"/>
  <c r="L31" i="1"/>
  <c r="I195" i="1" s="1"/>
  <c r="L195" i="1" s="1"/>
  <c r="I267" i="1" s="1"/>
  <c r="L267" i="1" s="1"/>
  <c r="G31" i="1"/>
  <c r="L30" i="1"/>
  <c r="I120" i="1" s="1"/>
  <c r="L120" i="1" s="1"/>
  <c r="G30" i="1"/>
  <c r="L29" i="1"/>
  <c r="I119" i="1" s="1"/>
  <c r="L119" i="1" s="1"/>
  <c r="G29" i="1"/>
  <c r="M29" i="1" s="1"/>
  <c r="L28" i="1"/>
  <c r="I192" i="1" s="1"/>
  <c r="L192" i="1" s="1"/>
  <c r="I264" i="1" s="1"/>
  <c r="L264" i="1" s="1"/>
  <c r="G28" i="1"/>
  <c r="M27" i="1"/>
  <c r="L27" i="1"/>
  <c r="I191" i="1" s="1"/>
  <c r="L191" i="1" s="1"/>
  <c r="I263" i="1" s="1"/>
  <c r="L263" i="1" s="1"/>
  <c r="G27" i="1"/>
  <c r="L26" i="1"/>
  <c r="G26" i="1"/>
  <c r="M25" i="1"/>
  <c r="L25" i="1"/>
  <c r="I115" i="1" s="1"/>
  <c r="L115" i="1" s="1"/>
  <c r="G25" i="1"/>
  <c r="L24" i="1"/>
  <c r="I188" i="1" s="1"/>
  <c r="L188" i="1" s="1"/>
  <c r="I260" i="1" s="1"/>
  <c r="L260" i="1" s="1"/>
  <c r="G24" i="1"/>
  <c r="M24" i="1" s="1"/>
  <c r="L23" i="1"/>
  <c r="I187" i="1" s="1"/>
  <c r="L187" i="1" s="1"/>
  <c r="I259" i="1" s="1"/>
  <c r="L259" i="1" s="1"/>
  <c r="G23" i="1"/>
  <c r="L22" i="1"/>
  <c r="I112" i="1" s="1"/>
  <c r="L112" i="1" s="1"/>
  <c r="G22" i="1"/>
  <c r="L21" i="1"/>
  <c r="I111" i="1" s="1"/>
  <c r="L111" i="1" s="1"/>
  <c r="G21" i="1"/>
  <c r="L20" i="1"/>
  <c r="I184" i="1" s="1"/>
  <c r="L184" i="1" s="1"/>
  <c r="I256" i="1" s="1"/>
  <c r="L256" i="1" s="1"/>
  <c r="G20" i="1"/>
  <c r="M19" i="1"/>
  <c r="L19" i="1"/>
  <c r="I183" i="1" s="1"/>
  <c r="L183" i="1" s="1"/>
  <c r="I255" i="1" s="1"/>
  <c r="L255" i="1" s="1"/>
  <c r="G19" i="1"/>
  <c r="L18" i="1"/>
  <c r="G18" i="1"/>
  <c r="M17" i="1"/>
  <c r="L17" i="1"/>
  <c r="I107" i="1" s="1"/>
  <c r="L107" i="1" s="1"/>
  <c r="G17" i="1"/>
  <c r="M1" i="1"/>
  <c r="D31" i="2" l="1"/>
  <c r="E28" i="2" s="1"/>
  <c r="D22" i="2"/>
  <c r="D25" i="2" s="1"/>
  <c r="C33" i="2"/>
  <c r="M120" i="1"/>
  <c r="D185" i="1"/>
  <c r="G185" i="1" s="1"/>
  <c r="D111" i="1"/>
  <c r="G111" i="1" s="1"/>
  <c r="M111" i="1" s="1"/>
  <c r="D268" i="1"/>
  <c r="G268" i="1" s="1"/>
  <c r="M268" i="1" s="1"/>
  <c r="M196" i="1"/>
  <c r="D339" i="1" s="1"/>
  <c r="G339" i="1" s="1"/>
  <c r="I202" i="1"/>
  <c r="L202" i="1" s="1"/>
  <c r="I274" i="1" s="1"/>
  <c r="L274" i="1" s="1"/>
  <c r="I128" i="1"/>
  <c r="L128" i="1" s="1"/>
  <c r="M38" i="1"/>
  <c r="I210" i="1"/>
  <c r="L210" i="1" s="1"/>
  <c r="I282" i="1" s="1"/>
  <c r="L282" i="1" s="1"/>
  <c r="I136" i="1"/>
  <c r="L136" i="1" s="1"/>
  <c r="M46" i="1"/>
  <c r="D143" i="1"/>
  <c r="G143" i="1" s="1"/>
  <c r="M143" i="1" s="1"/>
  <c r="D217" i="1"/>
  <c r="G217" i="1" s="1"/>
  <c r="D113" i="1"/>
  <c r="G113" i="1" s="1"/>
  <c r="D187" i="1"/>
  <c r="G187" i="1" s="1"/>
  <c r="D121" i="1"/>
  <c r="G121" i="1" s="1"/>
  <c r="M121" i="1" s="1"/>
  <c r="D195" i="1"/>
  <c r="G195" i="1" s="1"/>
  <c r="I130" i="1"/>
  <c r="L130" i="1" s="1"/>
  <c r="I204" i="1"/>
  <c r="L204" i="1" s="1"/>
  <c r="I276" i="1" s="1"/>
  <c r="L276" i="1" s="1"/>
  <c r="D137" i="1"/>
  <c r="G137" i="1" s="1"/>
  <c r="M137" i="1" s="1"/>
  <c r="D211" i="1"/>
  <c r="G211" i="1" s="1"/>
  <c r="D181" i="1"/>
  <c r="D107" i="1"/>
  <c r="I182" i="1"/>
  <c r="L182" i="1" s="1"/>
  <c r="I254" i="1" s="1"/>
  <c r="L254" i="1" s="1"/>
  <c r="M18" i="1"/>
  <c r="M57" i="1" s="1"/>
  <c r="M60" i="1" s="1"/>
  <c r="M20" i="1"/>
  <c r="M21" i="1"/>
  <c r="D189" i="1"/>
  <c r="G189" i="1" s="1"/>
  <c r="D115" i="1"/>
  <c r="G115" i="1" s="1"/>
  <c r="M115" i="1" s="1"/>
  <c r="I190" i="1"/>
  <c r="L190" i="1" s="1"/>
  <c r="I262" i="1" s="1"/>
  <c r="L262" i="1" s="1"/>
  <c r="M26" i="1"/>
  <c r="M28" i="1"/>
  <c r="D197" i="1"/>
  <c r="G197" i="1" s="1"/>
  <c r="D123" i="1"/>
  <c r="G123" i="1" s="1"/>
  <c r="M123" i="1" s="1"/>
  <c r="I198" i="1"/>
  <c r="L198" i="1" s="1"/>
  <c r="I270" i="1" s="1"/>
  <c r="L270" i="1" s="1"/>
  <c r="I124" i="1"/>
  <c r="L124" i="1" s="1"/>
  <c r="M124" i="1" s="1"/>
  <c r="M34" i="1"/>
  <c r="D272" i="1"/>
  <c r="G272" i="1" s="1"/>
  <c r="D205" i="1"/>
  <c r="G205" i="1" s="1"/>
  <c r="D131" i="1"/>
  <c r="G131" i="1" s="1"/>
  <c r="M131" i="1" s="1"/>
  <c r="I206" i="1"/>
  <c r="L206" i="1" s="1"/>
  <c r="I278" i="1" s="1"/>
  <c r="L278" i="1" s="1"/>
  <c r="I132" i="1"/>
  <c r="L132" i="1" s="1"/>
  <c r="M42" i="1"/>
  <c r="D280" i="1"/>
  <c r="G280" i="1" s="1"/>
  <c r="M280" i="1" s="1"/>
  <c r="D213" i="1"/>
  <c r="G213" i="1" s="1"/>
  <c r="D139" i="1"/>
  <c r="G139" i="1" s="1"/>
  <c r="M139" i="1" s="1"/>
  <c r="I214" i="1"/>
  <c r="L214" i="1" s="1"/>
  <c r="I286" i="1" s="1"/>
  <c r="L286" i="1" s="1"/>
  <c r="I140" i="1"/>
  <c r="L140" i="1" s="1"/>
  <c r="M50" i="1"/>
  <c r="M53" i="1"/>
  <c r="D254" i="1"/>
  <c r="G254" i="1" s="1"/>
  <c r="M254" i="1" s="1"/>
  <c r="D262" i="1"/>
  <c r="G262" i="1" s="1"/>
  <c r="M262" i="1" s="1"/>
  <c r="M190" i="1"/>
  <c r="D333" i="1" s="1"/>
  <c r="G333" i="1" s="1"/>
  <c r="D286" i="1"/>
  <c r="G286" i="1" s="1"/>
  <c r="M286" i="1" s="1"/>
  <c r="I186" i="1"/>
  <c r="L186" i="1" s="1"/>
  <c r="I258" i="1" s="1"/>
  <c r="L258" i="1" s="1"/>
  <c r="M22" i="1"/>
  <c r="I194" i="1"/>
  <c r="L194" i="1" s="1"/>
  <c r="I266" i="1" s="1"/>
  <c r="L266" i="1" s="1"/>
  <c r="M30" i="1"/>
  <c r="D276" i="1"/>
  <c r="G276" i="1" s="1"/>
  <c r="M276" i="1" s="1"/>
  <c r="M204" i="1"/>
  <c r="D347" i="1" s="1"/>
  <c r="G347" i="1" s="1"/>
  <c r="I122" i="1"/>
  <c r="L122" i="1" s="1"/>
  <c r="I196" i="1"/>
  <c r="L196" i="1" s="1"/>
  <c r="I268" i="1" s="1"/>
  <c r="L268" i="1" s="1"/>
  <c r="D129" i="1"/>
  <c r="G129" i="1" s="1"/>
  <c r="M129" i="1" s="1"/>
  <c r="D203" i="1"/>
  <c r="G203" i="1" s="1"/>
  <c r="I212" i="1"/>
  <c r="L212" i="1" s="1"/>
  <c r="I284" i="1" s="1"/>
  <c r="L284" i="1" s="1"/>
  <c r="I138" i="1"/>
  <c r="L138" i="1" s="1"/>
  <c r="D260" i="1"/>
  <c r="G260" i="1" s="1"/>
  <c r="M260" i="1" s="1"/>
  <c r="M188" i="1"/>
  <c r="D331" i="1" s="1"/>
  <c r="G331" i="1" s="1"/>
  <c r="D109" i="1"/>
  <c r="G109" i="1" s="1"/>
  <c r="D183" i="1"/>
  <c r="G183" i="1" s="1"/>
  <c r="M23" i="1"/>
  <c r="D117" i="1"/>
  <c r="G117" i="1" s="1"/>
  <c r="D191" i="1"/>
  <c r="G191" i="1" s="1"/>
  <c r="M31" i="1"/>
  <c r="D125" i="1"/>
  <c r="G125" i="1" s="1"/>
  <c r="M125" i="1" s="1"/>
  <c r="D199" i="1"/>
  <c r="G199" i="1" s="1"/>
  <c r="I126" i="1"/>
  <c r="L126" i="1" s="1"/>
  <c r="I200" i="1"/>
  <c r="L200" i="1" s="1"/>
  <c r="I272" i="1" s="1"/>
  <c r="L272" i="1" s="1"/>
  <c r="M128" i="1"/>
  <c r="M39" i="1"/>
  <c r="D133" i="1"/>
  <c r="G133" i="1" s="1"/>
  <c r="M133" i="1" s="1"/>
  <c r="D207" i="1"/>
  <c r="G207" i="1" s="1"/>
  <c r="I134" i="1"/>
  <c r="L134" i="1" s="1"/>
  <c r="I208" i="1"/>
  <c r="L208" i="1" s="1"/>
  <c r="I280" i="1" s="1"/>
  <c r="L280" i="1" s="1"/>
  <c r="D282" i="1"/>
  <c r="G282" i="1" s="1"/>
  <c r="M210" i="1"/>
  <c r="D353" i="1" s="1"/>
  <c r="G353" i="1" s="1"/>
  <c r="M47" i="1"/>
  <c r="D141" i="1"/>
  <c r="G141" i="1" s="1"/>
  <c r="M141" i="1" s="1"/>
  <c r="D215" i="1"/>
  <c r="G215" i="1" s="1"/>
  <c r="I216" i="1"/>
  <c r="L216" i="1" s="1"/>
  <c r="I288" i="1" s="1"/>
  <c r="L288" i="1" s="1"/>
  <c r="I142" i="1"/>
  <c r="L142" i="1" s="1"/>
  <c r="M56" i="1"/>
  <c r="G57" i="1"/>
  <c r="G60" i="1" s="1"/>
  <c r="L57" i="1"/>
  <c r="L60" i="1" s="1"/>
  <c r="M59" i="1"/>
  <c r="I114" i="1"/>
  <c r="L114" i="1" s="1"/>
  <c r="M114" i="1" s="1"/>
  <c r="D256" i="1"/>
  <c r="G256" i="1" s="1"/>
  <c r="M256" i="1" s="1"/>
  <c r="M184" i="1"/>
  <c r="D327" i="1" s="1"/>
  <c r="G327" i="1" s="1"/>
  <c r="D264" i="1"/>
  <c r="G264" i="1" s="1"/>
  <c r="M264" i="1" s="1"/>
  <c r="M192" i="1"/>
  <c r="D335" i="1" s="1"/>
  <c r="G335" i="1" s="1"/>
  <c r="D201" i="1"/>
  <c r="G201" i="1" s="1"/>
  <c r="D127" i="1"/>
  <c r="G127" i="1" s="1"/>
  <c r="M127" i="1" s="1"/>
  <c r="D284" i="1"/>
  <c r="G284" i="1" s="1"/>
  <c r="M284" i="1" s="1"/>
  <c r="M212" i="1"/>
  <c r="D355" i="1" s="1"/>
  <c r="G355" i="1" s="1"/>
  <c r="I218" i="1"/>
  <c r="L218" i="1" s="1"/>
  <c r="I290" i="1" s="1"/>
  <c r="L290" i="1" s="1"/>
  <c r="I144" i="1"/>
  <c r="L144" i="1" s="1"/>
  <c r="M144" i="1" s="1"/>
  <c r="D258" i="1"/>
  <c r="G258" i="1" s="1"/>
  <c r="D266" i="1"/>
  <c r="G266" i="1" s="1"/>
  <c r="M266" i="1" s="1"/>
  <c r="M194" i="1"/>
  <c r="D337" i="1" s="1"/>
  <c r="G337" i="1" s="1"/>
  <c r="D193" i="1"/>
  <c r="G193" i="1" s="1"/>
  <c r="D119" i="1"/>
  <c r="G119" i="1" s="1"/>
  <c r="M119" i="1" s="1"/>
  <c r="D209" i="1"/>
  <c r="G209" i="1" s="1"/>
  <c r="D135" i="1"/>
  <c r="G135" i="1" s="1"/>
  <c r="M135" i="1" s="1"/>
  <c r="M132" i="1"/>
  <c r="M140" i="1"/>
  <c r="I291" i="1"/>
  <c r="L291" i="1" s="1"/>
  <c r="M219" i="1"/>
  <c r="D362" i="1" s="1"/>
  <c r="G362" i="1" s="1"/>
  <c r="M54" i="1"/>
  <c r="I109" i="1"/>
  <c r="L109" i="1" s="1"/>
  <c r="L147" i="1" s="1"/>
  <c r="L150" i="1" s="1"/>
  <c r="I113" i="1"/>
  <c r="L113" i="1" s="1"/>
  <c r="I117" i="1"/>
  <c r="L117" i="1" s="1"/>
  <c r="I121" i="1"/>
  <c r="L121" i="1" s="1"/>
  <c r="D122" i="1"/>
  <c r="G122" i="1" s="1"/>
  <c r="M122" i="1" s="1"/>
  <c r="D126" i="1"/>
  <c r="G126" i="1" s="1"/>
  <c r="M126" i="1" s="1"/>
  <c r="D130" i="1"/>
  <c r="G130" i="1" s="1"/>
  <c r="M130" i="1" s="1"/>
  <c r="D134" i="1"/>
  <c r="G134" i="1" s="1"/>
  <c r="D138" i="1"/>
  <c r="G138" i="1" s="1"/>
  <c r="M138" i="1" s="1"/>
  <c r="D142" i="1"/>
  <c r="G142" i="1" s="1"/>
  <c r="M142" i="1" s="1"/>
  <c r="I146" i="1"/>
  <c r="I181" i="1"/>
  <c r="I185" i="1"/>
  <c r="L185" i="1" s="1"/>
  <c r="I257" i="1" s="1"/>
  <c r="L257" i="1" s="1"/>
  <c r="I189" i="1"/>
  <c r="L189" i="1" s="1"/>
  <c r="I261" i="1" s="1"/>
  <c r="L261" i="1" s="1"/>
  <c r="I193" i="1"/>
  <c r="L193" i="1" s="1"/>
  <c r="I265" i="1" s="1"/>
  <c r="L265" i="1" s="1"/>
  <c r="D198" i="1"/>
  <c r="G198" i="1" s="1"/>
  <c r="D202" i="1"/>
  <c r="G202" i="1" s="1"/>
  <c r="D206" i="1"/>
  <c r="G206" i="1" s="1"/>
  <c r="D218" i="1"/>
  <c r="G218" i="1" s="1"/>
  <c r="D288" i="1"/>
  <c r="G288" i="1" s="1"/>
  <c r="M288" i="1" s="1"/>
  <c r="M216" i="1"/>
  <c r="D359" i="1" s="1"/>
  <c r="G359" i="1" s="1"/>
  <c r="M32" i="1"/>
  <c r="M36" i="1"/>
  <c r="M40" i="1"/>
  <c r="M44" i="1"/>
  <c r="M48" i="1"/>
  <c r="M52" i="1"/>
  <c r="D136" i="1"/>
  <c r="G136" i="1" s="1"/>
  <c r="M136" i="1" s="1"/>
  <c r="L348" i="1"/>
  <c r="I436" i="1" s="1"/>
  <c r="L436" i="1" s="1"/>
  <c r="I525" i="1" s="1"/>
  <c r="L525" i="1" s="1"/>
  <c r="I616" i="1" s="1"/>
  <c r="L616" i="1" s="1"/>
  <c r="I707" i="1" s="1"/>
  <c r="L707" i="1" s="1"/>
  <c r="E452" i="1"/>
  <c r="E455" i="1" s="1"/>
  <c r="D684" i="1"/>
  <c r="G684" i="1" s="1"/>
  <c r="M684" i="1" s="1"/>
  <c r="M593" i="1"/>
  <c r="L412" i="1"/>
  <c r="M502" i="1"/>
  <c r="J723" i="1"/>
  <c r="J726" i="1" s="1"/>
  <c r="J728" i="1" s="1"/>
  <c r="K733" i="1" s="1"/>
  <c r="J696" i="1"/>
  <c r="L696" i="1" s="1"/>
  <c r="E31" i="2" l="1"/>
  <c r="F28" i="2" s="1"/>
  <c r="E22" i="2"/>
  <c r="E25" i="2" s="1"/>
  <c r="D33" i="2"/>
  <c r="D447" i="1"/>
  <c r="G447" i="1" s="1"/>
  <c r="M359" i="1"/>
  <c r="D274" i="1"/>
  <c r="G274" i="1" s="1"/>
  <c r="M274" i="1" s="1"/>
  <c r="M202" i="1"/>
  <c r="D345" i="1" s="1"/>
  <c r="G345" i="1" s="1"/>
  <c r="D441" i="1"/>
  <c r="G441" i="1" s="1"/>
  <c r="M353" i="1"/>
  <c r="L364" i="1"/>
  <c r="L367" i="1" s="1"/>
  <c r="I452" i="1"/>
  <c r="I455" i="1" s="1"/>
  <c r="D270" i="1"/>
  <c r="G270" i="1" s="1"/>
  <c r="M270" i="1" s="1"/>
  <c r="M198" i="1"/>
  <c r="D341" i="1" s="1"/>
  <c r="G341" i="1" s="1"/>
  <c r="I221" i="1"/>
  <c r="I224" i="1" s="1"/>
  <c r="L181" i="1"/>
  <c r="M134" i="1"/>
  <c r="M186" i="1"/>
  <c r="D329" i="1" s="1"/>
  <c r="G329" i="1" s="1"/>
  <c r="D443" i="1"/>
  <c r="G443" i="1" s="1"/>
  <c r="M355" i="1"/>
  <c r="M335" i="1"/>
  <c r="D423" i="1"/>
  <c r="G423" i="1" s="1"/>
  <c r="D287" i="1"/>
  <c r="G287" i="1" s="1"/>
  <c r="M287" i="1" s="1"/>
  <c r="M215" i="1"/>
  <c r="D358" i="1" s="1"/>
  <c r="G358" i="1" s="1"/>
  <c r="M282" i="1"/>
  <c r="D263" i="1"/>
  <c r="G263" i="1" s="1"/>
  <c r="M263" i="1" s="1"/>
  <c r="M191" i="1"/>
  <c r="D334" i="1" s="1"/>
  <c r="G334" i="1" s="1"/>
  <c r="M109" i="1"/>
  <c r="D285" i="1"/>
  <c r="G285" i="1" s="1"/>
  <c r="M285" i="1" s="1"/>
  <c r="M213" i="1"/>
  <c r="D356" i="1" s="1"/>
  <c r="G356" i="1" s="1"/>
  <c r="M200" i="1"/>
  <c r="D343" i="1" s="1"/>
  <c r="G343" i="1" s="1"/>
  <c r="D147" i="1"/>
  <c r="D150" i="1" s="1"/>
  <c r="D153" i="1" s="1"/>
  <c r="G107" i="1"/>
  <c r="D259" i="1"/>
  <c r="G259" i="1" s="1"/>
  <c r="M259" i="1" s="1"/>
  <c r="M187" i="1"/>
  <c r="D330" i="1" s="1"/>
  <c r="G330" i="1" s="1"/>
  <c r="M337" i="1"/>
  <c r="D425" i="1"/>
  <c r="G425" i="1" s="1"/>
  <c r="D279" i="1"/>
  <c r="G279" i="1" s="1"/>
  <c r="M279" i="1" s="1"/>
  <c r="M207" i="1"/>
  <c r="D350" i="1" s="1"/>
  <c r="G350" i="1" s="1"/>
  <c r="I500" i="1"/>
  <c r="L452" i="1"/>
  <c r="L455" i="1" s="1"/>
  <c r="D290" i="1"/>
  <c r="G290" i="1" s="1"/>
  <c r="M290" i="1" s="1"/>
  <c r="M218" i="1"/>
  <c r="D361" i="1" s="1"/>
  <c r="G361" i="1" s="1"/>
  <c r="D450" i="1"/>
  <c r="G450" i="1" s="1"/>
  <c r="M362" i="1"/>
  <c r="D265" i="1"/>
  <c r="G265" i="1" s="1"/>
  <c r="M265" i="1" s="1"/>
  <c r="M193" i="1"/>
  <c r="D336" i="1" s="1"/>
  <c r="G336" i="1" s="1"/>
  <c r="M258" i="1"/>
  <c r="D271" i="1"/>
  <c r="G271" i="1" s="1"/>
  <c r="M271" i="1" s="1"/>
  <c r="M199" i="1"/>
  <c r="D342" i="1" s="1"/>
  <c r="G342" i="1" s="1"/>
  <c r="M117" i="1"/>
  <c r="I147" i="1"/>
  <c r="I150" i="1" s="1"/>
  <c r="M214" i="1"/>
  <c r="D357" i="1" s="1"/>
  <c r="G357" i="1" s="1"/>
  <c r="M182" i="1"/>
  <c r="D325" i="1" s="1"/>
  <c r="G325" i="1" s="1"/>
  <c r="M208" i="1"/>
  <c r="D351" i="1" s="1"/>
  <c r="G351" i="1" s="1"/>
  <c r="M272" i="1"/>
  <c r="D221" i="1"/>
  <c r="D224" i="1" s="1"/>
  <c r="G181" i="1"/>
  <c r="M113" i="1"/>
  <c r="D257" i="1"/>
  <c r="G257" i="1" s="1"/>
  <c r="M257" i="1" s="1"/>
  <c r="M185" i="1"/>
  <c r="D328" i="1" s="1"/>
  <c r="G328" i="1" s="1"/>
  <c r="D278" i="1"/>
  <c r="G278" i="1" s="1"/>
  <c r="M278" i="1" s="1"/>
  <c r="M206" i="1"/>
  <c r="D349" i="1" s="1"/>
  <c r="G349" i="1" s="1"/>
  <c r="M327" i="1"/>
  <c r="D415" i="1"/>
  <c r="G415" i="1" s="1"/>
  <c r="D419" i="1"/>
  <c r="G419" i="1" s="1"/>
  <c r="M331" i="1"/>
  <c r="D275" i="1"/>
  <c r="G275" i="1" s="1"/>
  <c r="M275" i="1" s="1"/>
  <c r="M203" i="1"/>
  <c r="D346" i="1" s="1"/>
  <c r="G346" i="1" s="1"/>
  <c r="M347" i="1"/>
  <c r="D435" i="1"/>
  <c r="G435" i="1" s="1"/>
  <c r="M197" i="1"/>
  <c r="D340" i="1" s="1"/>
  <c r="G340" i="1" s="1"/>
  <c r="D269" i="1"/>
  <c r="G269" i="1" s="1"/>
  <c r="M269" i="1" s="1"/>
  <c r="M211" i="1"/>
  <c r="D354" i="1" s="1"/>
  <c r="G354" i="1" s="1"/>
  <c r="D283" i="1"/>
  <c r="G283" i="1" s="1"/>
  <c r="M283" i="1" s="1"/>
  <c r="D267" i="1"/>
  <c r="G267" i="1" s="1"/>
  <c r="M267" i="1" s="1"/>
  <c r="M195" i="1"/>
  <c r="D338" i="1" s="1"/>
  <c r="G338" i="1" s="1"/>
  <c r="D289" i="1"/>
  <c r="G289" i="1" s="1"/>
  <c r="M289" i="1" s="1"/>
  <c r="M217" i="1"/>
  <c r="D360" i="1" s="1"/>
  <c r="G360" i="1" s="1"/>
  <c r="M339" i="1"/>
  <c r="D427" i="1"/>
  <c r="G427" i="1" s="1"/>
  <c r="D281" i="1"/>
  <c r="G281" i="1" s="1"/>
  <c r="M281" i="1" s="1"/>
  <c r="M209" i="1"/>
  <c r="D352" i="1" s="1"/>
  <c r="G352" i="1" s="1"/>
  <c r="M201" i="1"/>
  <c r="D344" i="1" s="1"/>
  <c r="G344" i="1" s="1"/>
  <c r="D273" i="1"/>
  <c r="G273" i="1" s="1"/>
  <c r="M273" i="1" s="1"/>
  <c r="D255" i="1"/>
  <c r="G255" i="1" s="1"/>
  <c r="M255" i="1" s="1"/>
  <c r="M183" i="1"/>
  <c r="D326" i="1" s="1"/>
  <c r="G326" i="1" s="1"/>
  <c r="D421" i="1"/>
  <c r="G421" i="1" s="1"/>
  <c r="M333" i="1"/>
  <c r="D277" i="1"/>
  <c r="G277" i="1" s="1"/>
  <c r="M277" i="1" s="1"/>
  <c r="M205" i="1"/>
  <c r="D348" i="1" s="1"/>
  <c r="G348" i="1" s="1"/>
  <c r="M189" i="1"/>
  <c r="D332" i="1" s="1"/>
  <c r="G332" i="1" s="1"/>
  <c r="D261" i="1"/>
  <c r="G261" i="1" s="1"/>
  <c r="M261" i="1" s="1"/>
  <c r="F31" i="2" l="1"/>
  <c r="G28" i="2" s="1"/>
  <c r="F22" i="2"/>
  <c r="F25" i="2" s="1"/>
  <c r="E33" i="2"/>
  <c r="D434" i="1"/>
  <c r="G434" i="1" s="1"/>
  <c r="M346" i="1"/>
  <c r="D420" i="1"/>
  <c r="G420" i="1" s="1"/>
  <c r="M332" i="1"/>
  <c r="D436" i="1"/>
  <c r="G436" i="1" s="1"/>
  <c r="M348" i="1"/>
  <c r="D414" i="1"/>
  <c r="G414" i="1" s="1"/>
  <c r="M326" i="1"/>
  <c r="D440" i="1"/>
  <c r="G440" i="1" s="1"/>
  <c r="M352" i="1"/>
  <c r="M360" i="1"/>
  <c r="D448" i="1"/>
  <c r="G448" i="1" s="1"/>
  <c r="D524" i="1"/>
  <c r="G524" i="1" s="1"/>
  <c r="M435" i="1"/>
  <c r="D437" i="1"/>
  <c r="G437" i="1" s="1"/>
  <c r="M349" i="1"/>
  <c r="D439" i="1"/>
  <c r="G439" i="1" s="1"/>
  <c r="M351" i="1"/>
  <c r="D424" i="1"/>
  <c r="G424" i="1" s="1"/>
  <c r="M336" i="1"/>
  <c r="D449" i="1"/>
  <c r="G449" i="1" s="1"/>
  <c r="M361" i="1"/>
  <c r="D438" i="1"/>
  <c r="G438" i="1" s="1"/>
  <c r="M350" i="1"/>
  <c r="D418" i="1"/>
  <c r="G418" i="1" s="1"/>
  <c r="M330" i="1"/>
  <c r="M358" i="1"/>
  <c r="D446" i="1"/>
  <c r="G446" i="1" s="1"/>
  <c r="I253" i="1"/>
  <c r="L221" i="1"/>
  <c r="L224" i="1" s="1"/>
  <c r="M345" i="1"/>
  <c r="D433" i="1"/>
  <c r="G433" i="1" s="1"/>
  <c r="D504" i="1"/>
  <c r="G504" i="1" s="1"/>
  <c r="M415" i="1"/>
  <c r="D510" i="1"/>
  <c r="G510" i="1" s="1"/>
  <c r="M421" i="1"/>
  <c r="D442" i="1"/>
  <c r="G442" i="1" s="1"/>
  <c r="M354" i="1"/>
  <c r="D508" i="1"/>
  <c r="G508" i="1" s="1"/>
  <c r="M419" i="1"/>
  <c r="D253" i="1"/>
  <c r="M181" i="1"/>
  <c r="G221" i="1"/>
  <c r="G224" i="1" s="1"/>
  <c r="D413" i="1"/>
  <c r="G413" i="1" s="1"/>
  <c r="M325" i="1"/>
  <c r="D430" i="1"/>
  <c r="G430" i="1" s="1"/>
  <c r="M342" i="1"/>
  <c r="M343" i="1"/>
  <c r="D431" i="1"/>
  <c r="G431" i="1" s="1"/>
  <c r="D422" i="1"/>
  <c r="G422" i="1" s="1"/>
  <c r="M334" i="1"/>
  <c r="D532" i="1"/>
  <c r="G532" i="1" s="1"/>
  <c r="M443" i="1"/>
  <c r="D426" i="1"/>
  <c r="G426" i="1" s="1"/>
  <c r="M338" i="1"/>
  <c r="D416" i="1"/>
  <c r="G416" i="1" s="1"/>
  <c r="M328" i="1"/>
  <c r="D445" i="1"/>
  <c r="G445" i="1" s="1"/>
  <c r="M357" i="1"/>
  <c r="D514" i="1"/>
  <c r="G514" i="1" s="1"/>
  <c r="M425" i="1"/>
  <c r="D444" i="1"/>
  <c r="G444" i="1" s="1"/>
  <c r="M356" i="1"/>
  <c r="D512" i="1"/>
  <c r="G512" i="1" s="1"/>
  <c r="M423" i="1"/>
  <c r="M329" i="1"/>
  <c r="D417" i="1"/>
  <c r="G417" i="1" s="1"/>
  <c r="D429" i="1"/>
  <c r="G429" i="1" s="1"/>
  <c r="M341" i="1"/>
  <c r="D516" i="1"/>
  <c r="G516" i="1" s="1"/>
  <c r="M427" i="1"/>
  <c r="D432" i="1"/>
  <c r="G432" i="1" s="1"/>
  <c r="M344" i="1"/>
  <c r="D428" i="1"/>
  <c r="G428" i="1" s="1"/>
  <c r="M340" i="1"/>
  <c r="D539" i="1"/>
  <c r="G539" i="1" s="1"/>
  <c r="M450" i="1"/>
  <c r="I541" i="1"/>
  <c r="I544" i="1" s="1"/>
  <c r="I552" i="1" s="1"/>
  <c r="L500" i="1"/>
  <c r="G147" i="1"/>
  <c r="G150" i="1" s="1"/>
  <c r="M107" i="1"/>
  <c r="M147" i="1" s="1"/>
  <c r="M150" i="1" s="1"/>
  <c r="M441" i="1"/>
  <c r="D530" i="1"/>
  <c r="G530" i="1" s="1"/>
  <c r="D536" i="1"/>
  <c r="G536" i="1" s="1"/>
  <c r="M447" i="1"/>
  <c r="G31" i="2" l="1"/>
  <c r="F33" i="2"/>
  <c r="G22" i="2"/>
  <c r="G25" i="2" s="1"/>
  <c r="D627" i="1"/>
  <c r="G627" i="1" s="1"/>
  <c r="M536" i="1"/>
  <c r="D630" i="1"/>
  <c r="G630" i="1" s="1"/>
  <c r="M539" i="1"/>
  <c r="D521" i="1"/>
  <c r="G521" i="1" s="1"/>
  <c r="M432" i="1"/>
  <c r="D518" i="1"/>
  <c r="G518" i="1" s="1"/>
  <c r="M429" i="1"/>
  <c r="D603" i="1"/>
  <c r="G603" i="1" s="1"/>
  <c r="M512" i="1"/>
  <c r="D605" i="1"/>
  <c r="G605" i="1" s="1"/>
  <c r="M514" i="1"/>
  <c r="M416" i="1"/>
  <c r="D505" i="1"/>
  <c r="G505" i="1" s="1"/>
  <c r="D623" i="1"/>
  <c r="G623" i="1" s="1"/>
  <c r="M532" i="1"/>
  <c r="M413" i="1"/>
  <c r="D501" i="1"/>
  <c r="G501" i="1" s="1"/>
  <c r="M433" i="1"/>
  <c r="D522" i="1"/>
  <c r="G522" i="1" s="1"/>
  <c r="D535" i="1"/>
  <c r="G535" i="1" s="1"/>
  <c r="M446" i="1"/>
  <c r="D537" i="1"/>
  <c r="G537" i="1" s="1"/>
  <c r="M448" i="1"/>
  <c r="D621" i="1"/>
  <c r="G621" i="1" s="1"/>
  <c r="M530" i="1"/>
  <c r="I591" i="1"/>
  <c r="L541" i="1"/>
  <c r="L544" i="1" s="1"/>
  <c r="D506" i="1"/>
  <c r="G506" i="1" s="1"/>
  <c r="M417" i="1"/>
  <c r="D599" i="1"/>
  <c r="G599" i="1" s="1"/>
  <c r="M508" i="1"/>
  <c r="D601" i="1"/>
  <c r="G601" i="1" s="1"/>
  <c r="M510" i="1"/>
  <c r="D527" i="1"/>
  <c r="G527" i="1" s="1"/>
  <c r="M438" i="1"/>
  <c r="M424" i="1"/>
  <c r="D513" i="1"/>
  <c r="G513" i="1" s="1"/>
  <c r="D526" i="1"/>
  <c r="G526" i="1" s="1"/>
  <c r="M437" i="1"/>
  <c r="M414" i="1"/>
  <c r="D503" i="1"/>
  <c r="G503" i="1" s="1"/>
  <c r="M420" i="1"/>
  <c r="D509" i="1"/>
  <c r="G509" i="1" s="1"/>
  <c r="D517" i="1"/>
  <c r="G517" i="1" s="1"/>
  <c r="M428" i="1"/>
  <c r="M516" i="1"/>
  <c r="D607" i="1"/>
  <c r="G607" i="1" s="1"/>
  <c r="D533" i="1"/>
  <c r="G533" i="1" s="1"/>
  <c r="M444" i="1"/>
  <c r="D534" i="1"/>
  <c r="G534" i="1" s="1"/>
  <c r="M445" i="1"/>
  <c r="D515" i="1"/>
  <c r="G515" i="1" s="1"/>
  <c r="M426" i="1"/>
  <c r="M422" i="1"/>
  <c r="D511" i="1"/>
  <c r="G511" i="1" s="1"/>
  <c r="D519" i="1"/>
  <c r="G519" i="1" s="1"/>
  <c r="M430" i="1"/>
  <c r="D324" i="1"/>
  <c r="M221" i="1"/>
  <c r="M224" i="1" s="1"/>
  <c r="D520" i="1"/>
  <c r="G520" i="1" s="1"/>
  <c r="M431" i="1"/>
  <c r="D293" i="1"/>
  <c r="D296" i="1" s="1"/>
  <c r="G253" i="1"/>
  <c r="D531" i="1"/>
  <c r="G531" i="1" s="1"/>
  <c r="M442" i="1"/>
  <c r="D595" i="1"/>
  <c r="G595" i="1" s="1"/>
  <c r="M504" i="1"/>
  <c r="I293" i="1"/>
  <c r="I296" i="1" s="1"/>
  <c r="L253" i="1"/>
  <c r="M418" i="1"/>
  <c r="D507" i="1"/>
  <c r="G507" i="1" s="1"/>
  <c r="D538" i="1"/>
  <c r="G538" i="1" s="1"/>
  <c r="M449" i="1"/>
  <c r="D528" i="1"/>
  <c r="G528" i="1" s="1"/>
  <c r="M439" i="1"/>
  <c r="M524" i="1"/>
  <c r="D615" i="1"/>
  <c r="G615" i="1" s="1"/>
  <c r="D529" i="1"/>
  <c r="G529" i="1" s="1"/>
  <c r="M440" i="1"/>
  <c r="D525" i="1"/>
  <c r="G525" i="1" s="1"/>
  <c r="M436" i="1"/>
  <c r="D523" i="1"/>
  <c r="G523" i="1" s="1"/>
  <c r="M434" i="1"/>
  <c r="G33" i="2" l="1"/>
  <c r="D614" i="1"/>
  <c r="G614" i="1" s="1"/>
  <c r="M523" i="1"/>
  <c r="D620" i="1"/>
  <c r="G620" i="1" s="1"/>
  <c r="M529" i="1"/>
  <c r="D619" i="1"/>
  <c r="G619" i="1" s="1"/>
  <c r="M528" i="1"/>
  <c r="G293" i="1"/>
  <c r="G296" i="1" s="1"/>
  <c r="M253" i="1"/>
  <c r="M293" i="1" s="1"/>
  <c r="M296" i="1" s="1"/>
  <c r="D602" i="1"/>
  <c r="G602" i="1" s="1"/>
  <c r="M511" i="1"/>
  <c r="D698" i="1"/>
  <c r="G698" i="1" s="1"/>
  <c r="M607" i="1"/>
  <c r="D600" i="1"/>
  <c r="G600" i="1" s="1"/>
  <c r="M509" i="1"/>
  <c r="D613" i="1"/>
  <c r="G613" i="1" s="1"/>
  <c r="M522" i="1"/>
  <c r="D706" i="1"/>
  <c r="G706" i="1" s="1"/>
  <c r="M615" i="1"/>
  <c r="L293" i="1"/>
  <c r="L296" i="1" s="1"/>
  <c r="D686" i="1"/>
  <c r="G686" i="1" s="1"/>
  <c r="M595" i="1"/>
  <c r="D364" i="1"/>
  <c r="D367" i="1" s="1"/>
  <c r="G324" i="1"/>
  <c r="D625" i="1"/>
  <c r="G625" i="1" s="1"/>
  <c r="M534" i="1"/>
  <c r="D617" i="1"/>
  <c r="G617" i="1" s="1"/>
  <c r="M526" i="1"/>
  <c r="D618" i="1"/>
  <c r="G618" i="1" s="1"/>
  <c r="M527" i="1"/>
  <c r="D690" i="1"/>
  <c r="G690" i="1" s="1"/>
  <c r="M599" i="1"/>
  <c r="I632" i="1"/>
  <c r="I635" i="1" s="1"/>
  <c r="L591" i="1"/>
  <c r="M537" i="1"/>
  <c r="D628" i="1"/>
  <c r="G628" i="1" s="1"/>
  <c r="D714" i="1"/>
  <c r="G714" i="1" s="1"/>
  <c r="M623" i="1"/>
  <c r="D696" i="1"/>
  <c r="G696" i="1" s="1"/>
  <c r="M605" i="1"/>
  <c r="D609" i="1"/>
  <c r="G609" i="1" s="1"/>
  <c r="M518" i="1"/>
  <c r="D721" i="1"/>
  <c r="G721" i="1" s="1"/>
  <c r="M721" i="1" s="1"/>
  <c r="M630" i="1"/>
  <c r="M525" i="1"/>
  <c r="D616" i="1"/>
  <c r="G616" i="1" s="1"/>
  <c r="D629" i="1"/>
  <c r="G629" i="1" s="1"/>
  <c r="M538" i="1"/>
  <c r="D594" i="1"/>
  <c r="G594" i="1" s="1"/>
  <c r="M503" i="1"/>
  <c r="M513" i="1"/>
  <c r="D604" i="1"/>
  <c r="G604" i="1" s="1"/>
  <c r="D592" i="1"/>
  <c r="G592" i="1" s="1"/>
  <c r="M501" i="1"/>
  <c r="D596" i="1"/>
  <c r="G596" i="1" s="1"/>
  <c r="M505" i="1"/>
  <c r="M507" i="1"/>
  <c r="D598" i="1"/>
  <c r="G598" i="1" s="1"/>
  <c r="D622" i="1"/>
  <c r="G622" i="1" s="1"/>
  <c r="M531" i="1"/>
  <c r="M520" i="1"/>
  <c r="D611" i="1"/>
  <c r="G611" i="1" s="1"/>
  <c r="D610" i="1"/>
  <c r="G610" i="1" s="1"/>
  <c r="M519" i="1"/>
  <c r="M515" i="1"/>
  <c r="D606" i="1"/>
  <c r="G606" i="1" s="1"/>
  <c r="D624" i="1"/>
  <c r="G624" i="1" s="1"/>
  <c r="M533" i="1"/>
  <c r="M517" i="1"/>
  <c r="D608" i="1"/>
  <c r="G608" i="1" s="1"/>
  <c r="D692" i="1"/>
  <c r="G692" i="1" s="1"/>
  <c r="M601" i="1"/>
  <c r="D597" i="1"/>
  <c r="G597" i="1" s="1"/>
  <c r="M506" i="1"/>
  <c r="D712" i="1"/>
  <c r="G712" i="1" s="1"/>
  <c r="M621" i="1"/>
  <c r="D626" i="1"/>
  <c r="G626" i="1" s="1"/>
  <c r="M535" i="1"/>
  <c r="D694" i="1"/>
  <c r="G694" i="1" s="1"/>
  <c r="M603" i="1"/>
  <c r="M521" i="1"/>
  <c r="D612" i="1"/>
  <c r="G612" i="1" s="1"/>
  <c r="D718" i="1"/>
  <c r="G718" i="1" s="1"/>
  <c r="M627" i="1"/>
  <c r="H37" i="2" l="1"/>
  <c r="H38" i="2"/>
  <c r="D699" i="1"/>
  <c r="G699" i="1" s="1"/>
  <c r="M608" i="1"/>
  <c r="D702" i="1"/>
  <c r="G702" i="1" s="1"/>
  <c r="M611" i="1"/>
  <c r="D707" i="1"/>
  <c r="G707" i="1" s="1"/>
  <c r="M616" i="1"/>
  <c r="D688" i="1"/>
  <c r="G688" i="1" s="1"/>
  <c r="M597" i="1"/>
  <c r="D685" i="1"/>
  <c r="G685" i="1" s="1"/>
  <c r="M594" i="1"/>
  <c r="D709" i="1"/>
  <c r="G709" i="1" s="1"/>
  <c r="M618" i="1"/>
  <c r="D716" i="1"/>
  <c r="G716" i="1" s="1"/>
  <c r="M625" i="1"/>
  <c r="M686" i="1"/>
  <c r="H686" i="1"/>
  <c r="M706" i="1"/>
  <c r="H706" i="1"/>
  <c r="D691" i="1"/>
  <c r="G691" i="1" s="1"/>
  <c r="M600" i="1"/>
  <c r="D693" i="1"/>
  <c r="G693" i="1" s="1"/>
  <c r="M602" i="1"/>
  <c r="D710" i="1"/>
  <c r="G710" i="1" s="1"/>
  <c r="M619" i="1"/>
  <c r="D705" i="1"/>
  <c r="G705" i="1" s="1"/>
  <c r="M614" i="1"/>
  <c r="D695" i="1"/>
  <c r="G695" i="1" s="1"/>
  <c r="M604" i="1"/>
  <c r="D719" i="1"/>
  <c r="G719" i="1" s="1"/>
  <c r="M628" i="1"/>
  <c r="D412" i="1"/>
  <c r="G364" i="1"/>
  <c r="G367" i="1" s="1"/>
  <c r="M324" i="1"/>
  <c r="M364" i="1" s="1"/>
  <c r="M367" i="1" s="1"/>
  <c r="D703" i="1"/>
  <c r="G703" i="1" s="1"/>
  <c r="M612" i="1"/>
  <c r="D697" i="1"/>
  <c r="G697" i="1" s="1"/>
  <c r="M606" i="1"/>
  <c r="D689" i="1"/>
  <c r="G689" i="1" s="1"/>
  <c r="M598" i="1"/>
  <c r="L632" i="1"/>
  <c r="L635" i="1" s="1"/>
  <c r="I682" i="1"/>
  <c r="D717" i="1"/>
  <c r="G717" i="1" s="1"/>
  <c r="M626" i="1"/>
  <c r="D683" i="1"/>
  <c r="G683" i="1" s="1"/>
  <c r="M592" i="1"/>
  <c r="D700" i="1"/>
  <c r="G700" i="1" s="1"/>
  <c r="M609" i="1"/>
  <c r="M714" i="1"/>
  <c r="H714" i="1"/>
  <c r="M718" i="1"/>
  <c r="H718" i="1"/>
  <c r="M694" i="1"/>
  <c r="H694" i="1"/>
  <c r="M712" i="1"/>
  <c r="H712" i="1"/>
  <c r="M692" i="1"/>
  <c r="H692" i="1"/>
  <c r="D715" i="1"/>
  <c r="G715" i="1" s="1"/>
  <c r="M624" i="1"/>
  <c r="D701" i="1"/>
  <c r="G701" i="1" s="1"/>
  <c r="M610" i="1"/>
  <c r="D713" i="1"/>
  <c r="G713" i="1" s="1"/>
  <c r="M622" i="1"/>
  <c r="D687" i="1"/>
  <c r="G687" i="1" s="1"/>
  <c r="M596" i="1"/>
  <c r="D720" i="1"/>
  <c r="G720" i="1" s="1"/>
  <c r="M720" i="1" s="1"/>
  <c r="M629" i="1"/>
  <c r="M696" i="1"/>
  <c r="H696" i="1"/>
  <c r="M690" i="1"/>
  <c r="H690" i="1"/>
  <c r="D708" i="1"/>
  <c r="G708" i="1" s="1"/>
  <c r="M617" i="1"/>
  <c r="D704" i="1"/>
  <c r="G704" i="1" s="1"/>
  <c r="M613" i="1"/>
  <c r="M698" i="1"/>
  <c r="H698" i="1"/>
  <c r="D711" i="1"/>
  <c r="G711" i="1" s="1"/>
  <c r="M620" i="1"/>
  <c r="H39" i="2" l="1"/>
  <c r="M711" i="1"/>
  <c r="H711" i="1"/>
  <c r="M713" i="1"/>
  <c r="H713" i="1"/>
  <c r="M717" i="1"/>
  <c r="H717" i="1"/>
  <c r="M703" i="1"/>
  <c r="H703" i="1"/>
  <c r="L682" i="1"/>
  <c r="L723" i="1" s="1"/>
  <c r="L726" i="1" s="1"/>
  <c r="I723" i="1"/>
  <c r="I726" i="1" s="1"/>
  <c r="H719" i="1"/>
  <c r="M719" i="1"/>
  <c r="M693" i="1"/>
  <c r="H693" i="1"/>
  <c r="M716" i="1"/>
  <c r="H716" i="1"/>
  <c r="M699" i="1"/>
  <c r="H699" i="1"/>
  <c r="M708" i="1"/>
  <c r="H708" i="1"/>
  <c r="M687" i="1"/>
  <c r="H687" i="1"/>
  <c r="M697" i="1"/>
  <c r="H697" i="1"/>
  <c r="M704" i="1"/>
  <c r="H704" i="1"/>
  <c r="M715" i="1"/>
  <c r="H715" i="1"/>
  <c r="M700" i="1"/>
  <c r="H700" i="1"/>
  <c r="M689" i="1"/>
  <c r="H689" i="1"/>
  <c r="M705" i="1"/>
  <c r="H705" i="1"/>
  <c r="M685" i="1"/>
  <c r="H685" i="1"/>
  <c r="M707" i="1"/>
  <c r="H707" i="1"/>
  <c r="M701" i="1"/>
  <c r="H701" i="1"/>
  <c r="M683" i="1"/>
  <c r="H683" i="1"/>
  <c r="D452" i="1"/>
  <c r="D455" i="1" s="1"/>
  <c r="G412" i="1"/>
  <c r="M695" i="1"/>
  <c r="H695" i="1"/>
  <c r="M710" i="1"/>
  <c r="H710" i="1"/>
  <c r="M691" i="1"/>
  <c r="H691" i="1"/>
  <c r="M709" i="1"/>
  <c r="H709" i="1"/>
  <c r="M688" i="1"/>
  <c r="H688" i="1"/>
  <c r="M702" i="1"/>
  <c r="H702" i="1"/>
  <c r="D500" i="1" l="1"/>
  <c r="G452" i="1"/>
  <c r="G455" i="1" s="1"/>
  <c r="M412" i="1"/>
  <c r="M452" i="1" s="1"/>
  <c r="M455" i="1" s="1"/>
  <c r="D541" i="1" l="1"/>
  <c r="D544" i="1" s="1"/>
  <c r="D552" i="1" s="1"/>
  <c r="G500" i="1"/>
  <c r="G541" i="1" l="1"/>
  <c r="G544" i="1" s="1"/>
  <c r="D591" i="1"/>
  <c r="M500" i="1"/>
  <c r="M541" i="1" s="1"/>
  <c r="M544" i="1" s="1"/>
  <c r="D632" i="1" l="1"/>
  <c r="D635" i="1" s="1"/>
  <c r="G591" i="1"/>
  <c r="D682" i="1" l="1"/>
  <c r="G632" i="1"/>
  <c r="G635" i="1" s="1"/>
  <c r="M591" i="1"/>
  <c r="M632" i="1" s="1"/>
  <c r="M635" i="1" s="1"/>
  <c r="G682" i="1" l="1"/>
  <c r="D723" i="1"/>
  <c r="D726" i="1" s="1"/>
  <c r="G723" i="1" l="1"/>
  <c r="G726" i="1" s="1"/>
  <c r="M682" i="1"/>
  <c r="M723" i="1" s="1"/>
  <c r="M726" i="1" s="1"/>
  <c r="H682" i="1"/>
  <c r="H723" i="1" s="1"/>
  <c r="H726" i="1" s="1"/>
</calcChain>
</file>

<file path=xl/comments1.xml><?xml version="1.0" encoding="utf-8"?>
<comments xmlns="http://schemas.openxmlformats.org/spreadsheetml/2006/main">
  <authors>
    <author>Sherry Collier</author>
    <author>Barb Lindsay</author>
  </authors>
  <commentList>
    <comment ref="E54" authorId="0">
      <text>
        <r>
          <rPr>
            <b/>
            <sz val="9"/>
            <color indexed="81"/>
            <rFont val="Tahoma"/>
            <charset val="1"/>
          </rPr>
          <t>Sherry Collier:</t>
        </r>
        <r>
          <rPr>
            <sz val="9"/>
            <color indexed="81"/>
            <rFont val="Tahoma"/>
            <charset val="1"/>
          </rPr>
          <t xml:space="preserve">
removed spare inv
</t>
        </r>
      </text>
    </comment>
    <comment ref="I106" authorId="0">
      <text>
        <r>
          <rPr>
            <b/>
            <sz val="9"/>
            <color indexed="81"/>
            <rFont val="Tahoma"/>
            <charset val="1"/>
          </rPr>
          <t>Sherry Collier:</t>
        </r>
        <r>
          <rPr>
            <sz val="9"/>
            <color indexed="81"/>
            <rFont val="Tahoma"/>
            <charset val="1"/>
          </rPr>
          <t xml:space="preserve">
does not agree to PY closing balance, updated in multiple locations</t>
        </r>
      </text>
    </comment>
    <comment ref="J106" authorId="0">
      <text>
        <r>
          <rPr>
            <b/>
            <sz val="9"/>
            <color indexed="81"/>
            <rFont val="Tahoma"/>
            <charset val="1"/>
          </rPr>
          <t>Sherry Collier:</t>
        </r>
        <r>
          <rPr>
            <sz val="9"/>
            <color indexed="81"/>
            <rFont val="Tahoma"/>
            <charset val="1"/>
          </rPr>
          <t xml:space="preserve">
Should these amounts be different from 2013 REVISED?  What does it reconcile to?</t>
        </r>
      </text>
    </comment>
    <comment ref="M106" authorId="0">
      <text>
        <r>
          <rPr>
            <b/>
            <sz val="9"/>
            <color indexed="81"/>
            <rFont val="Tahoma"/>
            <charset val="1"/>
          </rPr>
          <t>Sherry Collier:</t>
        </r>
        <r>
          <rPr>
            <sz val="9"/>
            <color indexed="81"/>
            <rFont val="Tahoma"/>
            <charset val="1"/>
          </rPr>
          <t xml:space="preserve">
these were not formulas but hard numbers.  Updated in multiple locations</t>
        </r>
      </text>
    </comment>
    <comment ref="K116" authorId="0">
      <text>
        <r>
          <rPr>
            <b/>
            <sz val="9"/>
            <color indexed="81"/>
            <rFont val="Tahoma"/>
            <charset val="1"/>
          </rPr>
          <t>Sherry Collier:</t>
        </r>
        <r>
          <rPr>
            <sz val="9"/>
            <color indexed="81"/>
            <rFont val="Tahoma"/>
            <charset val="1"/>
          </rPr>
          <t xml:space="preserve">
This was an adjustment that was made to the OB for standard meter entries per the FS continuity schedule</t>
        </r>
      </text>
    </comment>
    <comment ref="E121" authorId="0">
      <text>
        <r>
          <rPr>
            <b/>
            <sz val="9"/>
            <color indexed="81"/>
            <rFont val="Tahoma"/>
            <charset val="1"/>
          </rPr>
          <t>Sherry Collier:</t>
        </r>
        <r>
          <rPr>
            <sz val="9"/>
            <color indexed="81"/>
            <rFont val="Tahoma"/>
            <charset val="1"/>
          </rPr>
          <t xml:space="preserve">
old $25,249. updated to agree to continuity</t>
        </r>
      </text>
    </comment>
    <comment ref="F121" authorId="0">
      <text>
        <r>
          <rPr>
            <b/>
            <sz val="9"/>
            <color indexed="81"/>
            <rFont val="Tahoma"/>
            <charset val="1"/>
          </rPr>
          <t>Sherry Collier:</t>
        </r>
        <r>
          <rPr>
            <sz val="9"/>
            <color indexed="81"/>
            <rFont val="Tahoma"/>
            <charset val="1"/>
          </rPr>
          <t xml:space="preserve">
These are adjustments</t>
        </r>
      </text>
    </comment>
    <comment ref="E122" authorId="0">
      <text>
        <r>
          <rPr>
            <b/>
            <sz val="9"/>
            <color indexed="81"/>
            <rFont val="Tahoma"/>
            <charset val="1"/>
          </rPr>
          <t>Sherry Collier:</t>
        </r>
        <r>
          <rPr>
            <sz val="9"/>
            <color indexed="81"/>
            <rFont val="Tahoma"/>
            <charset val="1"/>
          </rPr>
          <t xml:space="preserve">
old $211,907, updated to agree to continuity</t>
        </r>
      </text>
    </comment>
    <comment ref="E144" authorId="0">
      <text>
        <r>
          <rPr>
            <b/>
            <sz val="9"/>
            <color indexed="81"/>
            <rFont val="Tahoma"/>
            <charset val="1"/>
          </rPr>
          <t>Sherry Collier:</t>
        </r>
        <r>
          <rPr>
            <sz val="9"/>
            <color indexed="81"/>
            <rFont val="Tahoma"/>
            <charset val="1"/>
          </rPr>
          <t xml:space="preserve">
major spare inv is in the OB but not in the additions, removed spare inventory entriey
</t>
        </r>
      </text>
    </comment>
    <comment ref="K190" authorId="0">
      <text>
        <r>
          <rPr>
            <b/>
            <sz val="9"/>
            <color indexed="81"/>
            <rFont val="Tahoma"/>
            <charset val="1"/>
          </rPr>
          <t>Sherry Collier:</t>
        </r>
        <r>
          <rPr>
            <sz val="9"/>
            <color indexed="81"/>
            <rFont val="Tahoma"/>
            <charset val="1"/>
          </rPr>
          <t xml:space="preserve">
This was an adjustment that was made to the OB for standard meter entries per the FS continuity schedule</t>
        </r>
      </text>
    </comment>
    <comment ref="E195" authorId="0">
      <text>
        <r>
          <rPr>
            <b/>
            <sz val="9"/>
            <color indexed="81"/>
            <rFont val="Tahoma"/>
            <charset val="1"/>
          </rPr>
          <t>Sherry Collier:</t>
        </r>
        <r>
          <rPr>
            <sz val="9"/>
            <color indexed="81"/>
            <rFont val="Tahoma"/>
            <charset val="1"/>
          </rPr>
          <t xml:space="preserve">
old $25,249. updated to agree to continuity</t>
        </r>
      </text>
    </comment>
    <comment ref="F195" authorId="0">
      <text>
        <r>
          <rPr>
            <b/>
            <sz val="9"/>
            <color indexed="81"/>
            <rFont val="Tahoma"/>
            <charset val="1"/>
          </rPr>
          <t>Sherry Collier:</t>
        </r>
        <r>
          <rPr>
            <sz val="9"/>
            <color indexed="81"/>
            <rFont val="Tahoma"/>
            <charset val="1"/>
          </rPr>
          <t xml:space="preserve">
These are adjustments</t>
        </r>
      </text>
    </comment>
    <comment ref="E196" authorId="0">
      <text>
        <r>
          <rPr>
            <b/>
            <sz val="9"/>
            <color indexed="81"/>
            <rFont val="Tahoma"/>
            <charset val="1"/>
          </rPr>
          <t>Sherry Collier:</t>
        </r>
        <r>
          <rPr>
            <sz val="9"/>
            <color indexed="81"/>
            <rFont val="Tahoma"/>
            <charset val="1"/>
          </rPr>
          <t xml:space="preserve">
old $211,907, updated to agree to continuity</t>
        </r>
      </text>
    </comment>
    <comment ref="J196" authorId="0">
      <text>
        <r>
          <rPr>
            <b/>
            <sz val="9"/>
            <color indexed="81"/>
            <rFont val="Tahoma"/>
            <charset val="1"/>
          </rPr>
          <t>Sherry Collier:</t>
        </r>
        <r>
          <rPr>
            <sz val="9"/>
            <color indexed="81"/>
            <rFont val="Tahoma"/>
            <charset val="1"/>
          </rPr>
          <t xml:space="preserve">
plug</t>
        </r>
      </text>
    </comment>
    <comment ref="E218" authorId="0">
      <text>
        <r>
          <rPr>
            <b/>
            <sz val="9"/>
            <color indexed="81"/>
            <rFont val="Tahoma"/>
            <charset val="1"/>
          </rPr>
          <t>Sherry Collier:</t>
        </r>
        <r>
          <rPr>
            <sz val="9"/>
            <color indexed="81"/>
            <rFont val="Tahoma"/>
            <charset val="1"/>
          </rPr>
          <t xml:space="preserve">
major spare inv is in the OB but not in the additions
</t>
        </r>
      </text>
    </comment>
    <comment ref="D323" authorId="1">
      <text>
        <r>
          <rPr>
            <b/>
            <sz val="9"/>
            <color indexed="81"/>
            <rFont val="Tahoma"/>
            <family val="2"/>
          </rPr>
          <t>Barb Lindsay:</t>
        </r>
        <r>
          <rPr>
            <sz val="9"/>
            <color indexed="81"/>
            <rFont val="Tahoma"/>
            <family val="2"/>
          </rPr>
          <t xml:space="preserve">
Dec 31/13 Revised CGAAP NBV
</t>
        </r>
      </text>
    </comment>
    <comment ref="M323" authorId="1">
      <text>
        <r>
          <rPr>
            <b/>
            <sz val="9"/>
            <color indexed="81"/>
            <rFont val="Tahoma"/>
            <family val="2"/>
          </rPr>
          <t>Barb Lindsay:</t>
        </r>
        <r>
          <rPr>
            <sz val="9"/>
            <color indexed="81"/>
            <rFont val="Tahoma"/>
            <family val="2"/>
          </rPr>
          <t xml:space="preserve">
These are the same values before I change cost open balance to 2013 NBV and started accum depr open bal to zero
</t>
        </r>
      </text>
    </comment>
    <comment ref="E333" authorId="0">
      <text>
        <r>
          <rPr>
            <b/>
            <sz val="9"/>
            <color indexed="81"/>
            <rFont val="Tahoma"/>
            <charset val="1"/>
          </rPr>
          <t>Sherry Collier:</t>
        </r>
        <r>
          <rPr>
            <sz val="9"/>
            <color indexed="81"/>
            <rFont val="Tahoma"/>
            <charset val="1"/>
          </rPr>
          <t xml:space="preserve">
IFRS reclass assests by $165,619 and $23,3376 = $158,639
Plus plug here of 6,980 to balance</t>
        </r>
      </text>
    </comment>
    <comment ref="E350" authorId="0">
      <text>
        <r>
          <rPr>
            <b/>
            <sz val="9"/>
            <color indexed="81"/>
            <rFont val="Tahoma"/>
            <charset val="1"/>
          </rPr>
          <t>Sherry Collier:</t>
        </r>
        <r>
          <rPr>
            <sz val="9"/>
            <color indexed="81"/>
            <rFont val="Tahoma"/>
            <charset val="1"/>
          </rPr>
          <t xml:space="preserve">
IFRS reclass assests by $165,619 and $23,376 = $158,639</t>
        </r>
      </text>
    </comment>
    <comment ref="E361" authorId="0">
      <text>
        <r>
          <rPr>
            <b/>
            <sz val="9"/>
            <color indexed="81"/>
            <rFont val="Tahoma"/>
            <charset val="1"/>
          </rPr>
          <t>Sherry Collier:</t>
        </r>
        <r>
          <rPr>
            <sz val="9"/>
            <color indexed="81"/>
            <rFont val="Tahoma"/>
            <charset val="1"/>
          </rPr>
          <t xml:space="preserve">
This is incorrectly recorded in this account in the GL.  Should be def rev amort.  Will record as an adjustment in the year it was corrected</t>
        </r>
      </text>
    </comment>
    <comment ref="E436" authorId="0">
      <text>
        <r>
          <rPr>
            <b/>
            <sz val="9"/>
            <color indexed="81"/>
            <rFont val="Tahoma"/>
            <charset val="1"/>
          </rPr>
          <t>Sherry Collier:</t>
        </r>
        <r>
          <rPr>
            <sz val="9"/>
            <color indexed="81"/>
            <rFont val="Tahoma"/>
            <charset val="1"/>
          </rPr>
          <t xml:space="preserve">
a 08 backhoe disappeared off the continuity, why??? 1930.0610 and 2105.0537.  Not recorded as a dispsal just disappears</t>
        </r>
      </text>
    </comment>
    <comment ref="K436" authorId="0">
      <text>
        <r>
          <rPr>
            <b/>
            <sz val="9"/>
            <color indexed="81"/>
            <rFont val="Tahoma"/>
            <charset val="1"/>
          </rPr>
          <t>Sherry Collier:</t>
        </r>
        <r>
          <rPr>
            <sz val="9"/>
            <color indexed="81"/>
            <rFont val="Tahoma"/>
            <charset val="1"/>
          </rPr>
          <t xml:space="preserve">
a 08 backhoe disappeared off the continuity, why??? 1930.0610 and 2105.0537.  Not recorded as a dispsal just disappears</t>
        </r>
      </text>
    </comment>
    <comment ref="J440" authorId="0">
      <text>
        <r>
          <rPr>
            <b/>
            <sz val="9"/>
            <color indexed="81"/>
            <rFont val="Tahoma"/>
            <charset val="1"/>
          </rPr>
          <t>Sherry Collier:</t>
        </r>
        <r>
          <rPr>
            <sz val="9"/>
            <color indexed="81"/>
            <rFont val="Tahoma"/>
            <charset val="1"/>
          </rPr>
          <t xml:space="preserve">
There is a plug in the continuitry for $43,377 to the opening balance.  Not sure why.  Plugged here in the additions to get balances to reconcile</t>
        </r>
      </text>
    </comment>
    <comment ref="I450" authorId="0">
      <text>
        <r>
          <rPr>
            <b/>
            <sz val="9"/>
            <color indexed="81"/>
            <rFont val="Tahoma"/>
            <charset val="1"/>
          </rPr>
          <t>Sherry Collier:</t>
        </r>
        <r>
          <rPr>
            <sz val="9"/>
            <color indexed="81"/>
            <rFont val="Tahoma"/>
            <charset val="1"/>
          </rPr>
          <t xml:space="preserve">
OB is incorrect should be $6,758 </t>
        </r>
      </text>
    </comment>
    <comment ref="C502" authorId="0">
      <text>
        <r>
          <rPr>
            <b/>
            <sz val="9"/>
            <color indexed="81"/>
            <rFont val="Tahoma"/>
            <charset val="1"/>
          </rPr>
          <t>Sherry Collier:</t>
        </r>
        <r>
          <rPr>
            <sz val="9"/>
            <color indexed="81"/>
            <rFont val="Tahoma"/>
            <charset val="1"/>
          </rPr>
          <t xml:space="preserve">
Created new line for this item</t>
        </r>
      </text>
    </comment>
    <comment ref="E539" authorId="0">
      <text>
        <r>
          <rPr>
            <b/>
            <sz val="9"/>
            <color indexed="81"/>
            <rFont val="Tahoma"/>
            <charset val="1"/>
          </rPr>
          <t>Sherry Collier:</t>
        </r>
        <r>
          <rPr>
            <sz val="9"/>
            <color indexed="81"/>
            <rFont val="Tahoma"/>
            <charset val="1"/>
          </rPr>
          <t xml:space="preserve">
sub-ledger doesn't agree to GL</t>
        </r>
      </text>
    </comment>
    <comment ref="J539" authorId="0">
      <text>
        <r>
          <rPr>
            <b/>
            <sz val="9"/>
            <color indexed="81"/>
            <rFont val="Tahoma"/>
            <charset val="1"/>
          </rPr>
          <t>Sherry Collier:</t>
        </r>
        <r>
          <rPr>
            <sz val="9"/>
            <color indexed="81"/>
            <rFont val="Tahoma"/>
            <charset val="1"/>
          </rPr>
          <t xml:space="preserve">
OB incorrect from error made in 2014 GL fixed during 2016</t>
        </r>
      </text>
    </comment>
    <comment ref="C593" authorId="0">
      <text>
        <r>
          <rPr>
            <b/>
            <sz val="9"/>
            <color indexed="81"/>
            <rFont val="Tahoma"/>
            <charset val="1"/>
          </rPr>
          <t>Sherry Collier:</t>
        </r>
        <r>
          <rPr>
            <sz val="9"/>
            <color indexed="81"/>
            <rFont val="Tahoma"/>
            <charset val="1"/>
          </rPr>
          <t xml:space="preserve">
Created new line for this item</t>
        </r>
      </text>
    </comment>
    <comment ref="F601" authorId="0">
      <text>
        <r>
          <rPr>
            <b/>
            <sz val="9"/>
            <color indexed="81"/>
            <rFont val="Tahoma"/>
            <charset val="1"/>
          </rPr>
          <t>Sherry Collier:</t>
        </r>
        <r>
          <rPr>
            <sz val="9"/>
            <color indexed="81"/>
            <rFont val="Tahoma"/>
            <charset val="1"/>
          </rPr>
          <t xml:space="preserve">
cleaning up fully amot assets and contra accounts</t>
        </r>
      </text>
    </comment>
    <comment ref="F604" authorId="0">
      <text>
        <r>
          <rPr>
            <b/>
            <sz val="9"/>
            <color indexed="81"/>
            <rFont val="Tahoma"/>
            <charset val="1"/>
          </rPr>
          <t>Sherry Collier:</t>
        </r>
        <r>
          <rPr>
            <sz val="9"/>
            <color indexed="81"/>
            <rFont val="Tahoma"/>
            <charset val="1"/>
          </rPr>
          <t xml:space="preserve">
cleaning up fully amort assets and contra accounts</t>
        </r>
      </text>
    </comment>
    <comment ref="E616" authorId="0">
      <text>
        <r>
          <rPr>
            <b/>
            <sz val="9"/>
            <color indexed="81"/>
            <rFont val="Tahoma"/>
            <charset val="1"/>
          </rPr>
          <t>Sherry Collier:</t>
        </r>
        <r>
          <rPr>
            <sz val="9"/>
            <color indexed="81"/>
            <rFont val="Tahoma"/>
            <charset val="1"/>
          </rPr>
          <t xml:space="preserve">
Adjustments of $376K to fix the balances and make them actuals</t>
        </r>
      </text>
    </comment>
    <comment ref="J616" authorId="0">
      <text>
        <r>
          <rPr>
            <b/>
            <sz val="9"/>
            <color indexed="81"/>
            <rFont val="Tahoma"/>
            <charset val="1"/>
          </rPr>
          <t>Sherry Collier:</t>
        </r>
        <r>
          <rPr>
            <sz val="9"/>
            <color indexed="81"/>
            <rFont val="Tahoma"/>
            <charset val="1"/>
          </rPr>
          <t xml:space="preserve">
Adjustments of $376K were take to correct PY errors</t>
        </r>
      </text>
    </comment>
    <comment ref="J681" authorId="0">
      <text>
        <r>
          <rPr>
            <b/>
            <sz val="9"/>
            <color indexed="81"/>
            <rFont val="Tahoma"/>
            <charset val="1"/>
          </rPr>
          <t>Sherry Collier:</t>
        </r>
        <r>
          <rPr>
            <sz val="9"/>
            <color indexed="81"/>
            <rFont val="Tahoma"/>
            <charset val="1"/>
          </rPr>
          <t xml:space="preserve">
For amort exp used 2017 amot plus 1/2 year of CY additions, plug to transportation amort</t>
        </r>
      </text>
    </comment>
    <comment ref="C684" authorId="0">
      <text>
        <r>
          <rPr>
            <b/>
            <sz val="9"/>
            <color indexed="81"/>
            <rFont val="Tahoma"/>
            <charset val="1"/>
          </rPr>
          <t>Sherry Collier:</t>
        </r>
        <r>
          <rPr>
            <sz val="9"/>
            <color indexed="81"/>
            <rFont val="Tahoma"/>
            <charset val="1"/>
          </rPr>
          <t xml:space="preserve">
Created new line for this item</t>
        </r>
      </text>
    </comment>
    <comment ref="E696" authorId="0">
      <text>
        <r>
          <rPr>
            <b/>
            <sz val="9"/>
            <color indexed="81"/>
            <rFont val="Tahoma"/>
            <charset val="1"/>
          </rPr>
          <t>Sherry Collier:</t>
        </r>
        <r>
          <rPr>
            <sz val="9"/>
            <color indexed="81"/>
            <rFont val="Tahoma"/>
            <charset val="1"/>
          </rPr>
          <t xml:space="preserve">
Poles, Wires and transformers don't have allocation, leave as Barb has it plus plug here to balance</t>
        </r>
      </text>
    </comment>
    <comment ref="J721" authorId="0">
      <text>
        <r>
          <rPr>
            <b/>
            <sz val="9"/>
            <color indexed="81"/>
            <rFont val="Tahoma"/>
            <charset val="1"/>
          </rPr>
          <t>Sherry Collier:</t>
        </r>
        <r>
          <rPr>
            <sz val="9"/>
            <color indexed="81"/>
            <rFont val="Tahoma"/>
            <charset val="1"/>
          </rPr>
          <t xml:space="preserve">
This amount not budgeted in the FS therefore assume PY + 1/2 year of CY additions, assuming 50 year life</t>
        </r>
      </text>
    </comment>
  </commentList>
</comments>
</file>

<file path=xl/sharedStrings.xml><?xml version="1.0" encoding="utf-8"?>
<sst xmlns="http://schemas.openxmlformats.org/spreadsheetml/2006/main" count="768" uniqueCount="116">
  <si>
    <t>File Number:</t>
  </si>
  <si>
    <t>Exhibit:</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</si>
  <si>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</si>
  <si>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</si>
  <si>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</si>
  <si>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</si>
  <si>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</si>
  <si>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</si>
  <si>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</si>
  <si>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CGAAP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</si>
  <si>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</si>
  <si>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</si>
  <si>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</si>
  <si>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</si>
  <si>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</si>
  <si>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</si>
  <si>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</si>
  <si>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</si>
  <si>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</si>
  <si>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</si>
  <si>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</si>
  <si>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</si>
  <si>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</si>
  <si>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</si>
  <si>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</si>
  <si>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</si>
  <si>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</si>
  <si>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</si>
  <si>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</si>
  <si>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</si>
  <si>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</si>
  <si>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</si>
  <si>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</si>
  <si>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</si>
  <si>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</si>
  <si>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</si>
  <si>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</si>
  <si>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</si>
  <si>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</si>
  <si>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</si>
  <si>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</si>
  <si>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</si>
  <si>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</si>
  <si>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</si>
  <si>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</si>
  <si>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</si>
  <si>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</si>
  <si>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</si>
  <si>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</si>
  <si>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</si>
  <si>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</si>
  <si>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</si>
  <si>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</si>
  <si>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</si>
  <si>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</si>
  <si>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</si>
  <si>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</si>
  <si>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</si>
  <si>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</si>
  <si>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</si>
  <si>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</si>
  <si>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</si>
  <si>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</si>
  <si>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</si>
  <si>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WIP</t>
  </si>
  <si>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</si>
  <si>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</si>
  <si>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</si>
  <si>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</si>
  <si>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</si>
  <si>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</si>
  <si>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</si>
  <si>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</si>
  <si>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</si>
  <si>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</si>
  <si>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</si>
  <si>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</si>
  <si>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</si>
  <si>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Revised</t>
  </si>
  <si>
    <t>MIFRS</t>
  </si>
  <si>
    <t>Solar Generation</t>
  </si>
  <si>
    <t>August 27th, 2018</t>
  </si>
  <si>
    <t xml:space="preserve"> February 26, 2018</t>
  </si>
  <si>
    <t>Appendix 2-EC</t>
  </si>
  <si>
    <t>Account 1576 - Accounting Changes under CGAAP</t>
  </si>
  <si>
    <t>2013 Changes in Accounting Policies under CGAAP</t>
  </si>
  <si>
    <r>
      <t xml:space="preserve">For applicants with a balance in Account 1576 and made capitalization and depreciation expense accounting policy changes under CGAAP effective January 1, </t>
    </r>
    <r>
      <rPr>
        <b/>
        <sz val="10"/>
        <color indexed="10"/>
        <rFont val="Arial"/>
        <family val="2"/>
      </rPr>
      <t xml:space="preserve">2013.  </t>
    </r>
    <r>
      <rPr>
        <b/>
        <sz val="10"/>
        <rFont val="Arial"/>
        <family val="2"/>
      </rPr>
      <t>This is the first time the applicant is rebasing with changes in these accounting policies.</t>
    </r>
  </si>
  <si>
    <t>Prior Years Rebasing</t>
  </si>
  <si>
    <t>2018 Rebasing Year</t>
  </si>
  <si>
    <t>Reporting Basis</t>
  </si>
  <si>
    <r>
      <t xml:space="preserve">MIFRS - </t>
    </r>
    <r>
      <rPr>
        <sz val="10"/>
        <color indexed="8"/>
        <rFont val="Arial"/>
        <family val="2"/>
      </rPr>
      <t>Note 5</t>
    </r>
  </si>
  <si>
    <t>Actual</t>
  </si>
  <si>
    <t>Forecast</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</si>
  <si>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</si>
  <si>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</si>
  <si>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</si>
  <si>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</si>
  <si>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</si>
  <si>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</si>
  <si>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PP&amp;E Values under revised CGAAP (Starts from 2012)</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</si>
  <si>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</si>
  <si>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</si>
  <si>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</si>
  <si>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</si>
  <si>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</si>
  <si>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</si>
  <si>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</si>
  <si>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</si>
  <si>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</si>
  <si>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</si>
  <si>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</si>
  <si>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ending balance as of 2017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</si>
  <si>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</si>
  <si>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</si>
  <si>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</si>
  <si>
    <t>5 Differences due to the adoption of MIFRS are to be shown separately in Account 1575 in Appendix 2-EA as Accounts 1575 and 1576 cannot be used interchangably.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</si>
</sst>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_(* #,##0.00_);_(* \(#,##0.00\);_(* &quot;-&quot;??_);_(@_)"/>
    <numFmt numFmtId="167" formatCode="_(&quot;$&quot;* #,##0.00_);_(&quot;$&quot;* \(#,##0.00\);_(&quot;$&quot;* &quot;-&quot;??_);_(@_)"/>
  </numFmts>
  <fonts count="29"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
      <b/>
      <sz val="10"/>
      <color rgb="FFFF0000"/>
      <name val="Arial"/>
      <family val="2"/>
    </font>
    <font>
      <sz val="10"/>
      <color rgb="FFFF0000"/>
      <name val="Arial"/>
      <family val="2"/>
    </font>
    <font>
      <b/>
      <sz val="9"/>
      <color indexed="81"/>
      <name val="Tahoma"/>
      <charset val="1"/>
    </font>
    <font>
      <sz val="9"/>
      <color indexed="81"/>
      <name val="Tahoma"/>
      <charset val="1"/>
    </font>
    <font>
      <b/>
      <sz val="9"/>
      <color indexed="81"/>
      <name val="Tahoma"/>
      <family val="2"/>
    </font>
    <font>
      <sz val="9"/>
      <color indexed="81"/>
      <name val="Tahoma"/>
      <family val="2"/>
    </font>
    <font>
      <sz val="11"/>
      <color indexed="8"/>
      <name val="Calibri"/>
      <family val="2"/>
    </font>
    <font>
      <b/>
      <sz val="10"/>
      <color indexed="10"/>
      <name val="Arial"/>
      <family val="2"/>
    </font>
    <font>
      <b/>
      <sz val="11"/>
      <color indexed="8"/>
      <name val="Calibri"/>
      <family val="2"/>
    </font>
    <font>
      <sz val="10"/>
      <color indexed="8"/>
      <name val="Arial"/>
      <family val="2"/>
    </font>
    <font>
      <sz val="10"/>
      <color indexed="8"/>
      <name val="Calibri"/>
      <family val="2"/>
    </font>
    <font>
      <b/>
      <sz val="10"/>
      <color indexed="8"/>
      <name val="Arial"/>
      <family val="2"/>
    </font>
    <font>
      <sz val="10"/>
      <color indexed="55"/>
      <name val="Arial"/>
      <family val="2"/>
    </font>
    <font>
      <sz val="9"/>
      <color indexed="8"/>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7" tint="0.79998168889431442"/>
        <bgColor indexed="64"/>
      </patternFill>
    </fill>
    <fill>
      <patternFill patternType="lightDown">
        <bgColor indexed="55"/>
      </patternFill>
    </fill>
  </fills>
  <borders count="15">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theme="0"/>
      </top>
      <bottom/>
      <diagonal/>
    </border>
    <border>
      <left style="thin">
        <color indexed="64"/>
      </left>
      <right style="thin">
        <color indexed="64"/>
      </right>
      <top style="thin">
        <color indexed="64"/>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1" fillId="0" borderId="0"/>
  </cellStyleXfs>
  <cellXfs count="166">
    <xf numFmtId="0" fontId="0" fillId="0" borderId="0" xfId="0"/>
    <xf numFmtId="0" fontId="2" fillId="0" borderId="0" xfId="3" applyAlignment="1" applyProtection="1">
      <alignment horizontal="center"/>
      <protection locked="0"/>
    </xf>
    <xf numFmtId="0" fontId="2" fillId="0" borderId="0" xfId="3" applyProtection="1">
      <protection locked="0"/>
    </xf>
    <xf numFmtId="0" fontId="2" fillId="0" borderId="0" xfId="3" applyBorder="1" applyProtection="1">
      <protection locked="0"/>
    </xf>
    <xf numFmtId="0" fontId="3" fillId="0" borderId="0" xfId="3" applyFont="1" applyProtection="1">
      <protection locked="0"/>
    </xf>
    <xf numFmtId="0" fontId="4" fillId="0" borderId="0" xfId="0" applyFont="1" applyAlignment="1" applyProtection="1">
      <alignment horizontal="right" vertical="top"/>
      <protection locked="0"/>
    </xf>
    <xf numFmtId="0" fontId="4" fillId="2" borderId="1" xfId="3" applyFont="1" applyFill="1" applyBorder="1" applyAlignment="1" applyProtection="1">
      <alignment horizontal="right" vertical="top"/>
      <protection locked="0"/>
    </xf>
    <xf numFmtId="16" fontId="4" fillId="2" borderId="0" xfId="3" applyNumberFormat="1" applyFont="1" applyFill="1" applyAlignment="1" applyProtection="1">
      <alignment horizontal="right" vertical="top"/>
      <protection locked="0"/>
    </xf>
    <xf numFmtId="0" fontId="4" fillId="0" borderId="0" xfId="3" applyFont="1" applyAlignment="1" applyProtection="1">
      <alignment horizontal="right" vertical="top"/>
      <protection locked="0"/>
    </xf>
    <xf numFmtId="17" fontId="4" fillId="2" borderId="0" xfId="0" quotePrefix="1" applyNumberFormat="1" applyFont="1" applyFill="1" applyAlignment="1" applyProtection="1">
      <alignment horizontal="right" vertical="top"/>
      <protection locked="0"/>
    </xf>
    <xf numFmtId="0" fontId="3" fillId="0" borderId="0" xfId="3" applyFont="1" applyAlignment="1" applyProtection="1">
      <alignment horizontal="right"/>
      <protection locked="0"/>
    </xf>
    <xf numFmtId="0" fontId="0" fillId="3" borderId="0" xfId="0" applyNumberFormat="1" applyFill="1" applyBorder="1" applyAlignment="1" applyProtection="1">
      <alignment horizontal="center" vertical="center"/>
      <protection locked="0"/>
    </xf>
    <xf numFmtId="0" fontId="2" fillId="0" borderId="0" xfId="3" applyFont="1" applyProtection="1">
      <protection locked="0"/>
    </xf>
    <xf numFmtId="0" fontId="7" fillId="2" borderId="0" xfId="3" applyFont="1" applyFill="1" applyAlignment="1" applyProtection="1">
      <protection locked="0"/>
    </xf>
    <xf numFmtId="0" fontId="8" fillId="0" borderId="0" xfId="3" applyFont="1" applyAlignment="1" applyProtection="1">
      <alignment horizontal="center"/>
      <protection locked="0"/>
    </xf>
    <xf numFmtId="0" fontId="2" fillId="4" borderId="2" xfId="3" applyFill="1" applyBorder="1" applyProtection="1">
      <protection locked="0"/>
    </xf>
    <xf numFmtId="0" fontId="3" fillId="4" borderId="3" xfId="3" applyFont="1" applyFill="1" applyBorder="1" applyAlignment="1" applyProtection="1">
      <protection locked="0"/>
    </xf>
    <xf numFmtId="0" fontId="3" fillId="4" borderId="4" xfId="3" applyFont="1" applyFill="1" applyBorder="1" applyAlignment="1" applyProtection="1">
      <protection locked="0"/>
    </xf>
    <xf numFmtId="0" fontId="3" fillId="4" borderId="5" xfId="3" applyFont="1" applyFill="1" applyBorder="1" applyAlignment="1" applyProtection="1">
      <alignment horizontal="center" wrapText="1"/>
      <protection locked="0"/>
    </xf>
    <xf numFmtId="0" fontId="3" fillId="4" borderId="5" xfId="3" applyFont="1" applyFill="1" applyBorder="1" applyProtection="1">
      <protection locked="0"/>
    </xf>
    <xf numFmtId="0" fontId="3" fillId="4" borderId="5" xfId="3" applyFont="1" applyFill="1" applyBorder="1" applyAlignment="1" applyProtection="1">
      <alignment horizontal="center"/>
      <protection locked="0"/>
    </xf>
    <xf numFmtId="0" fontId="2" fillId="4" borderId="6" xfId="3" applyFill="1" applyBorder="1" applyProtection="1">
      <protection locked="0"/>
    </xf>
    <xf numFmtId="0" fontId="3" fillId="4" borderId="7" xfId="3" applyFont="1" applyFill="1" applyBorder="1" applyAlignment="1" applyProtection="1">
      <alignment horizontal="center" wrapText="1"/>
      <protection locked="0"/>
    </xf>
    <xf numFmtId="0" fontId="3" fillId="4" borderId="8" xfId="3" applyFont="1" applyFill="1" applyBorder="1" applyAlignment="1" applyProtection="1">
      <alignment horizontal="center"/>
      <protection locked="0"/>
    </xf>
    <xf numFmtId="0" fontId="3" fillId="4" borderId="8" xfId="3" applyFont="1" applyFill="1" applyBorder="1" applyAlignment="1" applyProtection="1">
      <alignment horizontal="center" wrapText="1"/>
      <protection locked="0"/>
    </xf>
    <xf numFmtId="0" fontId="2" fillId="2" borderId="5" xfId="3" applyFill="1" applyBorder="1" applyAlignment="1" applyProtection="1">
      <alignment horizontal="center" vertical="center"/>
      <protection locked="0"/>
    </xf>
    <xf numFmtId="0" fontId="2" fillId="0" borderId="5" xfId="3" applyBorder="1" applyAlignment="1" applyProtection="1">
      <alignment horizontal="center" vertical="center"/>
      <protection locked="0"/>
    </xf>
    <xf numFmtId="0" fontId="2" fillId="0" borderId="5" xfId="3" applyFont="1" applyBorder="1" applyAlignment="1" applyProtection="1">
      <alignment vertical="center" wrapText="1"/>
      <protection locked="0"/>
    </xf>
    <xf numFmtId="164" fontId="0" fillId="0" borderId="5" xfId="2" applyNumberFormat="1" applyFont="1" applyFill="1" applyBorder="1" applyProtection="1">
      <protection locked="0"/>
    </xf>
    <xf numFmtId="164" fontId="0" fillId="0" borderId="5" xfId="2" applyNumberFormat="1" applyFont="1" applyBorder="1" applyProtection="1">
      <protection locked="0"/>
    </xf>
    <xf numFmtId="0" fontId="2" fillId="0" borderId="6" xfId="3" applyBorder="1" applyProtection="1">
      <protection locked="0"/>
    </xf>
    <xf numFmtId="164" fontId="0" fillId="2" borderId="4" xfId="2" applyNumberFormat="1" applyFont="1" applyFill="1" applyBorder="1" applyProtection="1">
      <protection locked="0"/>
    </xf>
    <xf numFmtId="164" fontId="0" fillId="2" borderId="5" xfId="2" applyNumberFormat="1" applyFont="1" applyFill="1" applyBorder="1" applyProtection="1">
      <protection locked="0"/>
    </xf>
    <xf numFmtId="164" fontId="2" fillId="0" borderId="5" xfId="3" applyNumberFormat="1" applyBorder="1" applyProtection="1">
      <protection locked="0"/>
    </xf>
    <xf numFmtId="0" fontId="2" fillId="0" borderId="5" xfId="3" applyFill="1" applyBorder="1" applyAlignment="1" applyProtection="1">
      <alignment horizontal="center" vertical="center"/>
      <protection locked="0"/>
    </xf>
    <xf numFmtId="0" fontId="2" fillId="0" borderId="5" xfId="3" applyFill="1" applyBorder="1" applyAlignment="1" applyProtection="1">
      <alignment vertical="center" wrapText="1"/>
      <protection locked="0"/>
    </xf>
    <xf numFmtId="0" fontId="2" fillId="0" borderId="5" xfId="3" applyBorder="1" applyAlignment="1" applyProtection="1">
      <alignment vertical="center" wrapText="1"/>
      <protection locked="0"/>
    </xf>
    <xf numFmtId="6" fontId="0" fillId="0" borderId="5" xfId="2" applyNumberFormat="1" applyFont="1" applyFill="1" applyBorder="1" applyProtection="1">
      <protection locked="0"/>
    </xf>
    <xf numFmtId="0" fontId="2" fillId="0" borderId="5" xfId="3" applyFont="1" applyFill="1" applyBorder="1" applyAlignment="1" applyProtection="1">
      <alignment horizontal="center" vertical="center"/>
      <protection locked="0"/>
    </xf>
    <xf numFmtId="164" fontId="0" fillId="2" borderId="0" xfId="2" applyNumberFormat="1" applyFont="1" applyFill="1" applyProtection="1">
      <protection locked="0"/>
    </xf>
    <xf numFmtId="0" fontId="2" fillId="2" borderId="5" xfId="3" applyFont="1" applyFill="1" applyBorder="1" applyAlignment="1" applyProtection="1">
      <alignment horizontal="center" vertical="center"/>
      <protection locked="0"/>
    </xf>
    <xf numFmtId="0" fontId="2" fillId="0" borderId="5" xfId="3" applyFont="1" applyFill="1" applyBorder="1" applyAlignment="1" applyProtection="1">
      <alignment vertical="center" wrapText="1"/>
      <protection locked="0"/>
    </xf>
    <xf numFmtId="0" fontId="2" fillId="0" borderId="5" xfId="3" applyFont="1" applyBorder="1" applyAlignment="1" applyProtection="1">
      <alignment horizontal="center" vertical="center"/>
      <protection locked="0"/>
    </xf>
    <xf numFmtId="0" fontId="2" fillId="2" borderId="0" xfId="3" applyFill="1" applyAlignment="1" applyProtection="1">
      <alignment horizontal="center"/>
      <protection locked="0"/>
    </xf>
    <xf numFmtId="165" fontId="1" fillId="0" borderId="0" xfId="1" applyNumberFormat="1" applyProtection="1">
      <protection locked="0"/>
    </xf>
    <xf numFmtId="0" fontId="2" fillId="0" borderId="5" xfId="3" applyBorder="1" applyAlignment="1" applyProtection="1">
      <alignment horizontal="left" vertical="center"/>
      <protection locked="0"/>
    </xf>
    <xf numFmtId="0" fontId="2" fillId="0" borderId="5" xfId="3" applyBorder="1" applyAlignment="1" applyProtection="1">
      <alignment horizontal="center"/>
      <protection locked="0"/>
    </xf>
    <xf numFmtId="0" fontId="2" fillId="0" borderId="5" xfId="3" applyBorder="1" applyProtection="1">
      <protection locked="0"/>
    </xf>
    <xf numFmtId="0" fontId="2" fillId="2" borderId="5" xfId="3" applyFill="1" applyBorder="1" applyProtection="1">
      <protection locked="0"/>
    </xf>
    <xf numFmtId="0" fontId="3" fillId="0" borderId="5" xfId="3" applyFont="1" applyBorder="1" applyProtection="1">
      <protection locked="0"/>
    </xf>
    <xf numFmtId="164" fontId="3" fillId="0" borderId="5" xfId="3" applyNumberFormat="1" applyFont="1" applyBorder="1" applyProtection="1">
      <protection locked="0"/>
    </xf>
    <xf numFmtId="0" fontId="3" fillId="0" borderId="5" xfId="3" applyFont="1" applyBorder="1" applyAlignment="1" applyProtection="1">
      <alignment vertical="center" wrapText="1"/>
      <protection locked="0"/>
    </xf>
    <xf numFmtId="0" fontId="12" fillId="0" borderId="5" xfId="3" applyFont="1" applyBorder="1" applyAlignment="1" applyProtection="1">
      <alignment vertical="top" wrapText="1"/>
      <protection locked="0"/>
    </xf>
    <xf numFmtId="166" fontId="1" fillId="0" borderId="0" xfId="1" applyNumberFormat="1" applyProtection="1">
      <protection locked="0"/>
    </xf>
    <xf numFmtId="0" fontId="2" fillId="0" borderId="0" xfId="3" applyFill="1" applyBorder="1" applyProtection="1">
      <protection locked="0"/>
    </xf>
    <xf numFmtId="164" fontId="0" fillId="0" borderId="0" xfId="2" applyNumberFormat="1" applyFont="1" applyFill="1" applyBorder="1" applyProtection="1">
      <protection locked="0"/>
    </xf>
    <xf numFmtId="164" fontId="2" fillId="0" borderId="0" xfId="3" applyNumberFormat="1" applyFill="1" applyBorder="1" applyProtection="1">
      <protection locked="0"/>
    </xf>
    <xf numFmtId="164" fontId="2" fillId="0" borderId="0" xfId="3" applyNumberFormat="1" applyProtection="1">
      <protection locked="0"/>
    </xf>
    <xf numFmtId="0" fontId="2" fillId="0" borderId="0" xfId="3" applyFont="1" applyAlignment="1" applyProtection="1">
      <protection locked="0"/>
    </xf>
    <xf numFmtId="0" fontId="2" fillId="0" borderId="0" xfId="3" applyAlignment="1" applyProtection="1">
      <protection locked="0"/>
    </xf>
    <xf numFmtId="164" fontId="0" fillId="2" borderId="1" xfId="2" applyNumberFormat="1" applyFont="1" applyFill="1" applyBorder="1" applyProtection="1">
      <protection locked="0"/>
    </xf>
    <xf numFmtId="164" fontId="0" fillId="2" borderId="10" xfId="2" applyNumberFormat="1" applyFont="1" applyFill="1" applyBorder="1" applyProtection="1">
      <protection locked="0"/>
    </xf>
    <xf numFmtId="0" fontId="3" fillId="0" borderId="0" xfId="3" applyFont="1" applyFill="1" applyBorder="1" applyAlignment="1" applyProtection="1">
      <protection locked="0"/>
    </xf>
    <xf numFmtId="164" fontId="0" fillId="0" borderId="3" xfId="2" applyNumberFormat="1" applyFont="1" applyBorder="1" applyProtection="1">
      <protection locked="0"/>
    </xf>
    <xf numFmtId="0" fontId="12" fillId="0" borderId="0" xfId="3" applyFont="1" applyAlignment="1" applyProtection="1">
      <alignment horizontal="center"/>
      <protection locked="0"/>
    </xf>
    <xf numFmtId="0" fontId="2" fillId="0" borderId="0" xfId="3" applyFont="1" applyAlignment="1" applyProtection="1">
      <alignment horizontal="left"/>
      <protection locked="0"/>
    </xf>
    <xf numFmtId="0" fontId="2" fillId="0" borderId="0" xfId="3" applyAlignment="1" applyProtection="1">
      <alignment horizontal="left"/>
      <protection locked="0"/>
    </xf>
    <xf numFmtId="0" fontId="2" fillId="0" borderId="0" xfId="3" applyAlignment="1" applyProtection="1">
      <alignment horizontal="left" vertical="top" wrapText="1"/>
      <protection locked="0"/>
    </xf>
    <xf numFmtId="0" fontId="3" fillId="0" borderId="0" xfId="3" applyFont="1" applyFill="1" applyProtection="1">
      <protection locked="0"/>
    </xf>
    <xf numFmtId="0" fontId="4" fillId="0" borderId="0" xfId="0" applyFont="1" applyFill="1" applyAlignment="1" applyProtection="1">
      <alignment horizontal="right" vertical="top"/>
      <protection locked="0"/>
    </xf>
    <xf numFmtId="0" fontId="4" fillId="0" borderId="1" xfId="3" applyFont="1" applyFill="1" applyBorder="1" applyAlignment="1" applyProtection="1">
      <alignment horizontal="right" vertical="top"/>
      <protection locked="0"/>
    </xf>
    <xf numFmtId="0" fontId="4" fillId="0" borderId="0" xfId="3" applyFont="1" applyFill="1" applyAlignment="1" applyProtection="1">
      <alignment horizontal="right" vertical="top"/>
      <protection locked="0"/>
    </xf>
    <xf numFmtId="164" fontId="0" fillId="5" borderId="5" xfId="2" applyNumberFormat="1" applyFont="1" applyFill="1" applyBorder="1" applyProtection="1">
      <protection locked="0"/>
    </xf>
    <xf numFmtId="0" fontId="2" fillId="6" borderId="5" xfId="3" applyFill="1" applyBorder="1" applyAlignment="1" applyProtection="1">
      <alignment horizontal="center" vertical="center"/>
      <protection locked="0"/>
    </xf>
    <xf numFmtId="44" fontId="2" fillId="0" borderId="0" xfId="3" applyNumberFormat="1" applyFill="1" applyProtection="1">
      <protection locked="0"/>
    </xf>
    <xf numFmtId="0" fontId="0" fillId="0" borderId="0" xfId="0" applyFill="1"/>
    <xf numFmtId="164" fontId="2" fillId="0" borderId="0" xfId="3" applyNumberFormat="1" applyFill="1" applyProtection="1">
      <protection locked="0"/>
    </xf>
    <xf numFmtId="164" fontId="0" fillId="0" borderId="0" xfId="0" applyNumberFormat="1"/>
    <xf numFmtId="165" fontId="0" fillId="0" borderId="0" xfId="1" applyNumberFormat="1" applyFont="1"/>
    <xf numFmtId="167" fontId="0" fillId="0" borderId="0" xfId="0" applyNumberFormat="1"/>
    <xf numFmtId="44" fontId="2" fillId="0" borderId="0" xfId="3" applyNumberFormat="1" applyProtection="1">
      <protection locked="0"/>
    </xf>
    <xf numFmtId="0" fontId="2" fillId="6" borderId="5" xfId="3" applyFont="1" applyFill="1" applyBorder="1" applyAlignment="1" applyProtection="1">
      <alignment horizontal="center" vertical="center"/>
      <protection locked="0"/>
    </xf>
    <xf numFmtId="164" fontId="3" fillId="0" borderId="0" xfId="2" applyNumberFormat="1" applyFont="1" applyFill="1" applyBorder="1" applyProtection="1">
      <protection locked="0"/>
    </xf>
    <xf numFmtId="164" fontId="3" fillId="0" borderId="0" xfId="3" applyNumberFormat="1" applyFont="1" applyFill="1" applyBorder="1" applyProtection="1">
      <protection locked="0"/>
    </xf>
    <xf numFmtId="0" fontId="2" fillId="0" borderId="0" xfId="3" applyFill="1" applyProtection="1">
      <protection locked="0"/>
    </xf>
    <xf numFmtId="44" fontId="15" fillId="0" borderId="0" xfId="3" applyNumberFormat="1" applyFont="1" applyProtection="1">
      <protection locked="0"/>
    </xf>
    <xf numFmtId="0" fontId="2" fillId="0" borderId="6" xfId="3" applyFill="1" applyBorder="1" applyProtection="1">
      <protection locked="0"/>
    </xf>
    <xf numFmtId="164" fontId="2" fillId="2" borderId="5" xfId="3" applyNumberFormat="1" applyFill="1" applyBorder="1" applyProtection="1">
      <protection locked="0"/>
    </xf>
    <xf numFmtId="164" fontId="1" fillId="2" borderId="5" xfId="2" applyNumberFormat="1" applyFill="1" applyBorder="1" applyProtection="1">
      <protection locked="0"/>
    </xf>
    <xf numFmtId="164" fontId="2" fillId="6" borderId="5" xfId="3" applyNumberFormat="1" applyFill="1" applyBorder="1" applyProtection="1">
      <protection locked="0"/>
    </xf>
    <xf numFmtId="165" fontId="0" fillId="2" borderId="5" xfId="1" applyNumberFormat="1" applyFont="1" applyFill="1" applyBorder="1" applyProtection="1">
      <protection locked="0"/>
    </xf>
    <xf numFmtId="165" fontId="2" fillId="0" borderId="0" xfId="3" applyNumberFormat="1" applyProtection="1">
      <protection locked="0"/>
    </xf>
    <xf numFmtId="44" fontId="0" fillId="2" borderId="5" xfId="2" applyNumberFormat="1" applyFont="1" applyFill="1" applyBorder="1" applyProtection="1">
      <protection locked="0"/>
    </xf>
    <xf numFmtId="165" fontId="1" fillId="0" borderId="0" xfId="1" applyNumberFormat="1" applyFill="1" applyProtection="1">
      <protection locked="0"/>
    </xf>
    <xf numFmtId="0" fontId="2" fillId="0" borderId="0" xfId="3" applyAlignment="1" applyProtection="1">
      <alignment horizontal="right"/>
      <protection locked="0"/>
    </xf>
    <xf numFmtId="0" fontId="16" fillId="0" borderId="5" xfId="3" applyFont="1" applyBorder="1" applyAlignment="1" applyProtection="1">
      <alignment vertical="center" wrapText="1"/>
      <protection locked="0"/>
    </xf>
    <xf numFmtId="166" fontId="2" fillId="0" borderId="0" xfId="3" applyNumberFormat="1" applyProtection="1">
      <protection locked="0"/>
    </xf>
    <xf numFmtId="44" fontId="0" fillId="0" borderId="0" xfId="2" applyFont="1"/>
    <xf numFmtId="44" fontId="0" fillId="0" borderId="0" xfId="0" applyNumberFormat="1"/>
    <xf numFmtId="0" fontId="21" fillId="0" borderId="0" xfId="4" applyProtection="1">
      <protection locked="0"/>
    </xf>
    <xf numFmtId="0" fontId="4" fillId="2" borderId="0" xfId="3" applyFont="1" applyFill="1" applyAlignment="1" applyProtection="1">
      <alignment horizontal="right" vertical="top"/>
      <protection locked="0"/>
    </xf>
    <xf numFmtId="17" fontId="4" fillId="2" borderId="0" xfId="0" quotePrefix="1" applyNumberFormat="1" applyFont="1" applyFill="1" applyAlignment="1" applyProtection="1">
      <alignment vertical="top"/>
      <protection locked="0"/>
    </xf>
    <xf numFmtId="0" fontId="16" fillId="0" borderId="0" xfId="3" applyFont="1" applyProtection="1">
      <protection locked="0"/>
    </xf>
    <xf numFmtId="0" fontId="3" fillId="0" borderId="0" xfId="3" applyFont="1" applyAlignment="1" applyProtection="1">
      <alignment vertical="center"/>
      <protection locked="0"/>
    </xf>
    <xf numFmtId="0" fontId="23" fillId="0" borderId="0" xfId="4" applyFont="1" applyProtection="1">
      <protection locked="0"/>
    </xf>
    <xf numFmtId="0" fontId="24" fillId="0" borderId="0" xfId="4" applyFont="1" applyProtection="1">
      <protection locked="0"/>
    </xf>
    <xf numFmtId="0" fontId="25" fillId="0" borderId="0" xfId="4" applyFont="1" applyProtection="1">
      <protection locked="0"/>
    </xf>
    <xf numFmtId="0" fontId="26" fillId="0" borderId="5" xfId="4" applyFont="1" applyBorder="1" applyAlignment="1" applyProtection="1">
      <alignment horizontal="center" wrapText="1"/>
      <protection locked="0"/>
    </xf>
    <xf numFmtId="0" fontId="26" fillId="0" borderId="0" xfId="4" applyFont="1" applyProtection="1">
      <protection locked="0"/>
    </xf>
    <xf numFmtId="0" fontId="26" fillId="0" borderId="5" xfId="4" applyFont="1" applyBorder="1" applyAlignment="1" applyProtection="1">
      <alignment horizontal="center" vertical="center"/>
      <protection locked="0"/>
    </xf>
    <xf numFmtId="0" fontId="26" fillId="0" borderId="5" xfId="4" applyFont="1" applyBorder="1" applyAlignment="1" applyProtection="1">
      <alignment horizontal="center" vertical="center" wrapText="1"/>
      <protection locked="0"/>
    </xf>
    <xf numFmtId="0" fontId="24" fillId="0" borderId="4" xfId="4" applyFont="1" applyBorder="1" applyAlignment="1" applyProtection="1">
      <alignment horizontal="center"/>
      <protection locked="0"/>
    </xf>
    <xf numFmtId="0" fontId="24" fillId="0" borderId="5" xfId="4" applyFont="1" applyBorder="1" applyAlignment="1" applyProtection="1">
      <alignment horizontal="center"/>
      <protection locked="0"/>
    </xf>
    <xf numFmtId="0" fontId="24" fillId="0" borderId="5" xfId="4" applyFont="1" applyBorder="1" applyProtection="1">
      <protection locked="0"/>
    </xf>
    <xf numFmtId="0" fontId="27" fillId="7" borderId="5" xfId="4" applyFont="1" applyFill="1" applyBorder="1" applyProtection="1">
      <protection locked="0"/>
    </xf>
    <xf numFmtId="3" fontId="2" fillId="2" borderId="5" xfId="4" applyNumberFormat="1" applyFont="1" applyFill="1" applyBorder="1" applyAlignment="1" applyProtection="1">
      <protection locked="0"/>
    </xf>
    <xf numFmtId="3" fontId="24" fillId="0" borderId="5" xfId="4" applyNumberFormat="1" applyFont="1" applyBorder="1" applyAlignment="1" applyProtection="1">
      <protection locked="0"/>
    </xf>
    <xf numFmtId="0" fontId="24" fillId="7" borderId="5" xfId="4" applyFont="1" applyFill="1" applyBorder="1" applyProtection="1">
      <protection locked="0"/>
    </xf>
    <xf numFmtId="3" fontId="24" fillId="2" borderId="5" xfId="4" applyNumberFormat="1" applyFont="1" applyFill="1" applyBorder="1" applyAlignment="1" applyProtection="1">
      <protection locked="0"/>
    </xf>
    <xf numFmtId="0" fontId="26" fillId="0" borderId="5" xfId="4" applyFont="1" applyBorder="1" applyProtection="1">
      <protection locked="0"/>
    </xf>
    <xf numFmtId="0" fontId="26" fillId="0" borderId="0" xfId="4" applyFont="1" applyAlignment="1" applyProtection="1">
      <alignment wrapText="1"/>
      <protection locked="0"/>
    </xf>
    <xf numFmtId="0" fontId="26" fillId="0" borderId="5" xfId="4" applyFont="1" applyBorder="1" applyAlignment="1" applyProtection="1">
      <alignment wrapText="1"/>
      <protection locked="0"/>
    </xf>
    <xf numFmtId="3" fontId="24" fillId="0" borderId="5" xfId="4" applyNumberFormat="1" applyFont="1" applyBorder="1" applyProtection="1">
      <protection locked="0"/>
    </xf>
    <xf numFmtId="3" fontId="24" fillId="0" borderId="0" xfId="4" applyNumberFormat="1" applyFont="1" applyProtection="1">
      <protection locked="0"/>
    </xf>
    <xf numFmtId="0" fontId="24" fillId="0" borderId="10" xfId="4" applyFont="1" applyBorder="1" applyAlignment="1" applyProtection="1">
      <alignment horizontal="left" wrapText="1" indent="4"/>
      <protection locked="0"/>
    </xf>
    <xf numFmtId="0" fontId="24" fillId="0" borderId="10" xfId="4" applyFont="1" applyBorder="1" applyProtection="1">
      <protection locked="0"/>
    </xf>
    <xf numFmtId="165" fontId="24" fillId="0" borderId="10" xfId="1" applyNumberFormat="1" applyFont="1" applyBorder="1" applyProtection="1">
      <protection locked="0"/>
    </xf>
    <xf numFmtId="0" fontId="26" fillId="0" borderId="0" xfId="4" applyFont="1" applyAlignment="1" applyProtection="1">
      <alignment horizontal="right"/>
      <protection locked="0"/>
    </xf>
    <xf numFmtId="10" fontId="24" fillId="2" borderId="1" xfId="4" applyNumberFormat="1" applyFont="1" applyFill="1" applyBorder="1" applyProtection="1">
      <protection locked="0"/>
    </xf>
    <xf numFmtId="0" fontId="21" fillId="0" borderId="0" xfId="4" applyFont="1" applyProtection="1">
      <protection locked="0"/>
    </xf>
    <xf numFmtId="0" fontId="25" fillId="0" borderId="0" xfId="4" applyFont="1" applyAlignment="1" applyProtection="1">
      <alignment vertical="center"/>
      <protection locked="0"/>
    </xf>
    <xf numFmtId="0" fontId="26" fillId="0" borderId="3" xfId="4" applyFont="1" applyBorder="1" applyProtection="1">
      <protection locked="0"/>
    </xf>
    <xf numFmtId="0" fontId="24" fillId="0" borderId="3" xfId="4" applyFont="1" applyBorder="1" applyProtection="1">
      <protection locked="0"/>
    </xf>
    <xf numFmtId="165" fontId="24" fillId="0" borderId="3" xfId="1" applyNumberFormat="1" applyFont="1" applyBorder="1" applyProtection="1">
      <protection locked="0"/>
    </xf>
    <xf numFmtId="165" fontId="24" fillId="0" borderId="0" xfId="1" applyNumberFormat="1" applyFont="1" applyProtection="1">
      <protection locked="0"/>
    </xf>
    <xf numFmtId="0" fontId="3" fillId="4" borderId="2" xfId="3" applyFont="1" applyFill="1" applyBorder="1" applyAlignment="1" applyProtection="1">
      <alignment horizontal="center"/>
      <protection locked="0"/>
    </xf>
    <xf numFmtId="0" fontId="3" fillId="4" borderId="3" xfId="3" applyFont="1" applyFill="1" applyBorder="1" applyAlignment="1" applyProtection="1">
      <alignment horizontal="center"/>
      <protection locked="0"/>
    </xf>
    <xf numFmtId="0" fontId="3" fillId="4" borderId="4" xfId="3" applyFont="1" applyFill="1" applyBorder="1" applyAlignment="1" applyProtection="1">
      <alignment horizontal="center"/>
      <protection locked="0"/>
    </xf>
    <xf numFmtId="0" fontId="5" fillId="0" borderId="0" xfId="3" applyFont="1" applyAlignment="1" applyProtection="1">
      <alignment horizontal="center" vertical="top"/>
      <protection locked="0"/>
    </xf>
    <xf numFmtId="0" fontId="3" fillId="0" borderId="2" xfId="3" applyFont="1" applyFill="1" applyBorder="1" applyAlignment="1" applyProtection="1">
      <alignment horizontal="left"/>
      <protection locked="0"/>
    </xf>
    <xf numFmtId="0" fontId="3" fillId="0" borderId="3" xfId="3" applyFont="1" applyFill="1" applyBorder="1" applyAlignment="1" applyProtection="1">
      <alignment horizontal="left"/>
      <protection locked="0"/>
    </xf>
    <xf numFmtId="0" fontId="3" fillId="0" borderId="4" xfId="3" applyFont="1" applyFill="1" applyBorder="1" applyAlignment="1" applyProtection="1">
      <alignment horizontal="left"/>
      <protection locked="0"/>
    </xf>
    <xf numFmtId="0" fontId="2" fillId="0" borderId="0" xfId="3" applyAlignment="1" applyProtection="1">
      <alignment horizontal="left" vertical="top" wrapText="1"/>
      <protection locked="0"/>
    </xf>
    <xf numFmtId="0" fontId="2" fillId="0" borderId="0" xfId="3" applyFont="1" applyAlignment="1" applyProtection="1">
      <alignment horizontal="left" vertical="top" wrapText="1"/>
      <protection locked="0"/>
    </xf>
    <xf numFmtId="0" fontId="2" fillId="0" borderId="0" xfId="3" applyAlignment="1" applyProtection="1">
      <alignment horizontal="left" wrapText="1"/>
      <protection locked="0"/>
    </xf>
    <xf numFmtId="0" fontId="24" fillId="0" borderId="0" xfId="4" applyFont="1" applyAlignment="1" applyProtection="1">
      <alignment horizontal="left" vertical="center" wrapText="1"/>
      <protection locked="0"/>
    </xf>
    <xf numFmtId="0" fontId="5" fillId="0" borderId="0" xfId="3" applyFont="1" applyAlignment="1" applyProtection="1">
      <alignment horizontal="center"/>
      <protection locked="0"/>
    </xf>
    <xf numFmtId="0" fontId="2" fillId="0" borderId="0" xfId="3" applyAlignment="1" applyProtection="1">
      <alignment horizontal="center"/>
      <protection locked="0"/>
    </xf>
    <xf numFmtId="0" fontId="2" fillId="0" borderId="0" xfId="3" applyAlignment="1" applyProtection="1">
      <protection locked="0"/>
    </xf>
    <xf numFmtId="0" fontId="3" fillId="0" borderId="0" xfId="3" applyFont="1" applyAlignment="1" applyProtection="1">
      <alignment horizontal="left" vertical="center" wrapText="1"/>
      <protection locked="0"/>
    </xf>
    <xf numFmtId="0" fontId="26" fillId="0" borderId="0" xfId="4" applyFont="1" applyAlignment="1" applyProtection="1">
      <alignment horizontal="center" vertical="center"/>
      <protection locked="0"/>
    </xf>
    <xf numFmtId="0" fontId="24" fillId="0" borderId="3" xfId="4" applyFont="1" applyBorder="1" applyAlignment="1" applyProtection="1">
      <alignment horizontal="center"/>
      <protection locked="0"/>
    </xf>
    <xf numFmtId="0" fontId="24" fillId="0" borderId="4" xfId="4" applyFont="1" applyBorder="1" applyAlignment="1" applyProtection="1">
      <alignment horizontal="center"/>
      <protection locked="0"/>
    </xf>
    <xf numFmtId="0" fontId="24" fillId="0" borderId="9" xfId="4" applyFont="1" applyBorder="1" applyAlignment="1" applyProtection="1">
      <alignment horizontal="center"/>
      <protection locked="0"/>
    </xf>
    <xf numFmtId="0" fontId="24" fillId="0" borderId="11" xfId="4" applyFont="1" applyBorder="1" applyAlignment="1" applyProtection="1">
      <alignment horizontal="center"/>
      <protection locked="0"/>
    </xf>
    <xf numFmtId="0" fontId="24" fillId="0" borderId="10" xfId="4" applyFont="1" applyBorder="1" applyAlignment="1" applyProtection="1">
      <alignment horizontal="center"/>
      <protection locked="0"/>
    </xf>
    <xf numFmtId="0" fontId="24" fillId="0" borderId="7" xfId="4" applyFont="1" applyBorder="1" applyAlignment="1" applyProtection="1">
      <alignment horizontal="center"/>
      <protection locked="0"/>
    </xf>
    <xf numFmtId="0" fontId="26" fillId="0" borderId="0" xfId="4" applyFont="1" applyAlignment="1" applyProtection="1">
      <alignment horizontal="right" wrapText="1"/>
      <protection locked="0"/>
    </xf>
    <xf numFmtId="165" fontId="24" fillId="2" borderId="12" xfId="1" applyNumberFormat="1" applyFont="1" applyFill="1" applyBorder="1" applyAlignment="1" applyProtection="1">
      <alignment horizontal="center"/>
      <protection locked="0"/>
    </xf>
    <xf numFmtId="165" fontId="24" fillId="2" borderId="1" xfId="1" applyNumberFormat="1" applyFont="1" applyFill="1" applyBorder="1" applyAlignment="1" applyProtection="1">
      <alignment horizontal="center"/>
      <protection locked="0"/>
    </xf>
    <xf numFmtId="0" fontId="24" fillId="0" borderId="0" xfId="4" applyFont="1" applyAlignment="1" applyProtection="1">
      <alignment horizontal="left" vertical="top" wrapText="1"/>
      <protection locked="0"/>
    </xf>
    <xf numFmtId="165" fontId="1" fillId="0" borderId="0" xfId="1" applyNumberFormat="1" applyBorder="1" applyProtection="1">
      <protection locked="0"/>
    </xf>
    <xf numFmtId="0" fontId="0" fillId="0" borderId="0" xfId="0" applyBorder="1"/>
    <xf numFmtId="164" fontId="3" fillId="0" borderId="13" xfId="3" applyNumberFormat="1" applyFont="1" applyBorder="1" applyProtection="1">
      <protection locked="0"/>
    </xf>
    <xf numFmtId="165" fontId="1" fillId="0" borderId="14" xfId="1" applyNumberFormat="1" applyBorder="1" applyProtection="1">
      <protection locked="0"/>
    </xf>
    <xf numFmtId="166" fontId="1" fillId="0" borderId="0" xfId="1" applyNumberFormat="1" applyBorder="1" applyProtection="1">
      <protection locked="0"/>
    </xf>
  </cellXfs>
  <cellStyles count="5">
    <cellStyle name="Comma" xfId="1" builtinId="3"/>
    <cellStyle name="Currency" xfId="2" builtinId="4"/>
    <cellStyle name="Normal" xfId="0" builtinId="0"/>
    <cellStyle name="Normal 2" xfId="3"/>
    <cellStyle name="Normal_PPE Deferral Account Schedule for 2013 MIFRS CoS applications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aIgp\AppData\Local\Microsoft\Windows\INetCache\Content.Outlook\E6XRYCVY\ETPL_2018w2017_Actuals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efreshError="1">
        <row r="16">
          <cell r="E16" t="str">
            <v>EB-2017-0038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51"/>
  <sheetViews>
    <sheetView tabSelected="1" topLeftCell="D61" workbookViewId="0">
      <selection activeCell="P64" sqref="P64"/>
    </sheetView>
  </sheetViews>
  <sheetFormatPr defaultColWidth="9.109375" defaultRowHeight="14.4" x14ac:dyDescent="0.3"/>
  <cols>
    <col min="1" max="1" width="7.6640625" style="1" customWidth="1"/>
    <col min="2" max="2" width="10.109375" style="1" customWidth="1"/>
    <col min="3" max="3" width="37.88671875" style="2" customWidth="1"/>
    <col min="4" max="4" width="14.44140625" style="2" customWidth="1"/>
    <col min="5" max="5" width="16.109375" style="2" customWidth="1"/>
    <col min="6" max="6" width="12.109375" style="2" bestFit="1" customWidth="1"/>
    <col min="7" max="7" width="15.33203125" style="2" bestFit="1"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5.33203125" style="2" bestFit="1" customWidth="1"/>
    <col min="14" max="15" width="14.6640625" style="44" customWidth="1"/>
    <col min="16" max="16" width="22.88671875" style="2" customWidth="1"/>
    <col min="17" max="17" width="13.33203125" style="2" customWidth="1"/>
    <col min="18" max="22" width="9.109375" style="2" customWidth="1"/>
    <col min="23" max="16384" width="9.109375" style="2"/>
  </cols>
  <sheetData>
    <row r="1" spans="1:15" ht="13.2" x14ac:dyDescent="0.25">
      <c r="L1" s="4" t="s">
        <v>0</v>
      </c>
      <c r="M1" s="5" t="str">
        <f>EBNUMBER</f>
        <v>EB-2017-0038</v>
      </c>
      <c r="N1" s="2"/>
      <c r="O1" s="2"/>
    </row>
    <row r="2" spans="1:15" ht="13.2" x14ac:dyDescent="0.25">
      <c r="L2" s="4" t="s">
        <v>1</v>
      </c>
      <c r="M2" s="6">
        <v>2</v>
      </c>
      <c r="N2" s="2"/>
      <c r="O2" s="2"/>
    </row>
    <row r="3" spans="1:15" ht="13.2" x14ac:dyDescent="0.25">
      <c r="L3" s="4" t="s">
        <v>2</v>
      </c>
      <c r="M3" s="6">
        <v>2</v>
      </c>
      <c r="N3" s="2"/>
      <c r="O3" s="2"/>
    </row>
    <row r="4" spans="1:15" ht="13.2" x14ac:dyDescent="0.25">
      <c r="L4" s="4" t="s">
        <v>3</v>
      </c>
      <c r="M4" s="6"/>
      <c r="N4" s="2"/>
      <c r="O4" s="2"/>
    </row>
    <row r="5" spans="1:15" ht="13.2" x14ac:dyDescent="0.25">
      <c r="L5" s="4" t="s">
        <v>4</v>
      </c>
      <c r="M5" s="7"/>
      <c r="N5" s="2"/>
      <c r="O5" s="2"/>
    </row>
    <row r="6" spans="1:15" ht="13.2" x14ac:dyDescent="0.25">
      <c r="L6" s="4"/>
      <c r="M6" s="8"/>
      <c r="N6" s="2"/>
      <c r="O6" s="2"/>
    </row>
    <row r="7" spans="1:15" ht="13.2" x14ac:dyDescent="0.25">
      <c r="L7" s="4" t="s">
        <v>5</v>
      </c>
      <c r="M7" s="9" t="s">
        <v>81</v>
      </c>
      <c r="N7" s="2"/>
      <c r="O7" s="2"/>
    </row>
    <row r="8" spans="1:15" ht="13.2" x14ac:dyDescent="0.25">
      <c r="N8" s="2"/>
      <c r="O8" s="2"/>
    </row>
    <row r="9" spans="1:15" ht="17.399999999999999" x14ac:dyDescent="0.25">
      <c r="A9" s="138" t="s">
        <v>6</v>
      </c>
      <c r="B9" s="138"/>
      <c r="C9" s="138"/>
      <c r="D9" s="138"/>
      <c r="E9" s="138"/>
      <c r="F9" s="138"/>
      <c r="G9" s="138"/>
      <c r="H9" s="138"/>
      <c r="I9" s="138"/>
      <c r="J9" s="138"/>
      <c r="K9" s="138"/>
      <c r="L9" s="138"/>
      <c r="M9" s="138"/>
      <c r="N9" s="2"/>
      <c r="O9" s="2"/>
    </row>
    <row r="10" spans="1:15" ht="19.2" x14ac:dyDescent="0.25">
      <c r="A10" s="138" t="s">
        <v>7</v>
      </c>
      <c r="B10" s="138"/>
      <c r="C10" s="138"/>
      <c r="D10" s="138"/>
      <c r="E10" s="138"/>
      <c r="F10" s="138"/>
      <c r="G10" s="138"/>
      <c r="H10" s="138"/>
      <c r="I10" s="138"/>
      <c r="J10" s="138"/>
      <c r="K10" s="138"/>
      <c r="L10" s="138"/>
      <c r="M10" s="138"/>
      <c r="N10" s="2"/>
      <c r="O10" s="2"/>
    </row>
    <row r="11" spans="1:15" ht="13.2" x14ac:dyDescent="0.25">
      <c r="H11" s="2"/>
      <c r="N11" s="2"/>
      <c r="O11" s="2"/>
    </row>
    <row r="12" spans="1:15" x14ac:dyDescent="0.25">
      <c r="E12" s="10" t="s">
        <v>8</v>
      </c>
      <c r="F12" s="11" t="s">
        <v>9</v>
      </c>
      <c r="H12" s="2"/>
      <c r="N12" s="2"/>
      <c r="O12" s="2"/>
    </row>
    <row r="13" spans="1:15" ht="13.95" x14ac:dyDescent="0.25">
      <c r="C13" s="12"/>
      <c r="E13" s="10" t="s">
        <v>10</v>
      </c>
      <c r="F13" s="13">
        <v>2012</v>
      </c>
      <c r="G13" s="14"/>
      <c r="N13" s="2"/>
      <c r="O13" s="2"/>
    </row>
    <row r="15" spans="1:15" ht="13.2" x14ac:dyDescent="0.25">
      <c r="D15" s="135" t="s">
        <v>11</v>
      </c>
      <c r="E15" s="136"/>
      <c r="F15" s="136"/>
      <c r="G15" s="137"/>
      <c r="I15" s="15"/>
      <c r="J15" s="16" t="s">
        <v>12</v>
      </c>
      <c r="K15" s="16"/>
      <c r="L15" s="17"/>
      <c r="M15" s="3"/>
      <c r="N15" s="2"/>
      <c r="O15" s="2"/>
    </row>
    <row r="16" spans="1:15" ht="28.95" x14ac:dyDescent="0.25">
      <c r="A16" s="18" t="s">
        <v>13</v>
      </c>
      <c r="B16" s="18" t="s">
        <v>14</v>
      </c>
      <c r="C16" s="19" t="s">
        <v>15</v>
      </c>
      <c r="D16" s="18" t="s">
        <v>16</v>
      </c>
      <c r="E16" s="20" t="s">
        <v>17</v>
      </c>
      <c r="F16" s="20" t="s">
        <v>18</v>
      </c>
      <c r="G16" s="18" t="s">
        <v>19</v>
      </c>
      <c r="H16" s="21"/>
      <c r="I16" s="22" t="s">
        <v>16</v>
      </c>
      <c r="J16" s="23" t="s">
        <v>20</v>
      </c>
      <c r="K16" s="23" t="s">
        <v>18</v>
      </c>
      <c r="L16" s="24" t="s">
        <v>19</v>
      </c>
      <c r="M16" s="18" t="s">
        <v>21</v>
      </c>
      <c r="N16" s="2"/>
      <c r="O16" s="2"/>
    </row>
    <row r="17" spans="1:13" s="2" customFormat="1" ht="26.4" x14ac:dyDescent="0.3">
      <c r="A17" s="25">
        <v>12</v>
      </c>
      <c r="B17" s="26">
        <v>1611</v>
      </c>
      <c r="C17" s="27" t="s">
        <v>22</v>
      </c>
      <c r="D17" s="28">
        <v>1045366.7999999999</v>
      </c>
      <c r="E17" s="28">
        <v>40095.919999999998</v>
      </c>
      <c r="F17" s="28"/>
      <c r="G17" s="29">
        <f>SUM(D17:F17)</f>
        <v>1085462.72</v>
      </c>
      <c r="H17" s="30"/>
      <c r="I17" s="31">
        <v>-561591.06999999995</v>
      </c>
      <c r="J17" s="32">
        <v>-68496</v>
      </c>
      <c r="K17" s="32"/>
      <c r="L17" s="29">
        <f>I17+J17+K17</f>
        <v>-630087.06999999995</v>
      </c>
      <c r="M17" s="33">
        <f>G17+L17</f>
        <v>455375.65</v>
      </c>
    </row>
    <row r="18" spans="1:13" s="2" customFormat="1" ht="26.4" x14ac:dyDescent="0.3">
      <c r="A18" s="25" t="s">
        <v>23</v>
      </c>
      <c r="B18" s="26">
        <v>1612</v>
      </c>
      <c r="C18" s="27" t="s">
        <v>24</v>
      </c>
      <c r="D18" s="28">
        <v>37599.93</v>
      </c>
      <c r="E18" s="28">
        <v>5332.11</v>
      </c>
      <c r="F18" s="28"/>
      <c r="G18" s="29">
        <f>D18+E18+F18</f>
        <v>42932.04</v>
      </c>
      <c r="H18" s="30"/>
      <c r="I18" s="31"/>
      <c r="J18" s="32"/>
      <c r="K18" s="32"/>
      <c r="L18" s="29">
        <f>I18+J18+K18</f>
        <v>0</v>
      </c>
      <c r="M18" s="33">
        <f>G18+L18</f>
        <v>42932.04</v>
      </c>
    </row>
    <row r="19" spans="1:13" s="2" customFormat="1" x14ac:dyDescent="0.3">
      <c r="A19" s="25" t="s">
        <v>25</v>
      </c>
      <c r="B19" s="34">
        <v>1805</v>
      </c>
      <c r="C19" s="35" t="s">
        <v>26</v>
      </c>
      <c r="D19" s="28">
        <v>103344.08</v>
      </c>
      <c r="E19" s="28"/>
      <c r="F19" s="28"/>
      <c r="G19" s="29">
        <f>D19+E19+F19</f>
        <v>103344.08</v>
      </c>
      <c r="H19" s="30"/>
      <c r="I19" s="31"/>
      <c r="J19" s="32"/>
      <c r="K19" s="32"/>
      <c r="L19" s="29">
        <f>I19+J19+K19</f>
        <v>0</v>
      </c>
      <c r="M19" s="33">
        <f>G19+L19</f>
        <v>103344.08</v>
      </c>
    </row>
    <row r="20" spans="1:13" s="2" customFormat="1" x14ac:dyDescent="0.3">
      <c r="A20" s="25">
        <v>47</v>
      </c>
      <c r="B20" s="34">
        <v>1808</v>
      </c>
      <c r="C20" s="36" t="s">
        <v>27</v>
      </c>
      <c r="D20" s="28">
        <v>173326.53</v>
      </c>
      <c r="E20" s="28">
        <v>22624.44</v>
      </c>
      <c r="F20" s="28"/>
      <c r="G20" s="29">
        <f t="shared" ref="G20:G59" si="0">D20+E20+F20</f>
        <v>195950.97</v>
      </c>
      <c r="H20" s="30"/>
      <c r="I20" s="31">
        <v>-63941.08</v>
      </c>
      <c r="J20" s="32">
        <v>-7385.55</v>
      </c>
      <c r="K20" s="32"/>
      <c r="L20" s="29">
        <f t="shared" ref="L20:L56" si="1">I20+J20+K20</f>
        <v>-71326.63</v>
      </c>
      <c r="M20" s="33">
        <f t="shared" ref="M20:M59" si="2">G20+L20</f>
        <v>124624.34</v>
      </c>
    </row>
    <row r="21" spans="1:13" s="2" customFormat="1" x14ac:dyDescent="0.3">
      <c r="A21" s="25">
        <v>13</v>
      </c>
      <c r="B21" s="34">
        <v>1810</v>
      </c>
      <c r="C21" s="36" t="s">
        <v>28</v>
      </c>
      <c r="D21" s="28"/>
      <c r="E21" s="28"/>
      <c r="F21" s="28"/>
      <c r="G21" s="29">
        <f t="shared" si="0"/>
        <v>0</v>
      </c>
      <c r="H21" s="30"/>
      <c r="I21" s="31"/>
      <c r="J21" s="32"/>
      <c r="K21" s="32"/>
      <c r="L21" s="29">
        <f t="shared" si="1"/>
        <v>0</v>
      </c>
      <c r="M21" s="33">
        <f t="shared" si="2"/>
        <v>0</v>
      </c>
    </row>
    <row r="22" spans="1:13" s="2" customFormat="1" x14ac:dyDescent="0.3">
      <c r="A22" s="25">
        <v>47</v>
      </c>
      <c r="B22" s="34">
        <v>1815</v>
      </c>
      <c r="C22" s="36" t="s">
        <v>29</v>
      </c>
      <c r="D22" s="28"/>
      <c r="E22" s="28"/>
      <c r="F22" s="28"/>
      <c r="G22" s="29">
        <f t="shared" si="0"/>
        <v>0</v>
      </c>
      <c r="H22" s="30"/>
      <c r="I22" s="31"/>
      <c r="J22" s="32"/>
      <c r="K22" s="32"/>
      <c r="L22" s="29">
        <f t="shared" si="1"/>
        <v>0</v>
      </c>
      <c r="M22" s="33">
        <f t="shared" si="2"/>
        <v>0</v>
      </c>
    </row>
    <row r="23" spans="1:13" s="2" customFormat="1" x14ac:dyDescent="0.3">
      <c r="A23" s="25">
        <v>47</v>
      </c>
      <c r="B23" s="34">
        <v>1820</v>
      </c>
      <c r="C23" s="27" t="s">
        <v>30</v>
      </c>
      <c r="D23" s="28">
        <v>503732.18</v>
      </c>
      <c r="E23" s="28">
        <v>155956.53</v>
      </c>
      <c r="F23" s="28">
        <v>-55000</v>
      </c>
      <c r="G23" s="29">
        <f t="shared" si="0"/>
        <v>604688.71</v>
      </c>
      <c r="H23" s="30"/>
      <c r="I23" s="31">
        <v>-219481.95</v>
      </c>
      <c r="J23" s="32">
        <v>-23268</v>
      </c>
      <c r="K23" s="32">
        <v>55000</v>
      </c>
      <c r="L23" s="29">
        <f t="shared" si="1"/>
        <v>-187749.95</v>
      </c>
      <c r="M23" s="33">
        <f t="shared" si="2"/>
        <v>416938.75999999995</v>
      </c>
    </row>
    <row r="24" spans="1:13" s="2" customFormat="1" x14ac:dyDescent="0.3">
      <c r="A24" s="25">
        <v>47</v>
      </c>
      <c r="B24" s="34">
        <v>1825</v>
      </c>
      <c r="C24" s="36" t="s">
        <v>31</v>
      </c>
      <c r="D24" s="28"/>
      <c r="E24" s="28"/>
      <c r="F24" s="28"/>
      <c r="G24" s="29">
        <f t="shared" si="0"/>
        <v>0</v>
      </c>
      <c r="H24" s="30"/>
      <c r="I24" s="31"/>
      <c r="J24" s="32"/>
      <c r="K24" s="32"/>
      <c r="L24" s="29">
        <f t="shared" si="1"/>
        <v>0</v>
      </c>
      <c r="M24" s="33">
        <f t="shared" si="2"/>
        <v>0</v>
      </c>
    </row>
    <row r="25" spans="1:13" s="2" customFormat="1" x14ac:dyDescent="0.3">
      <c r="A25" s="25">
        <v>47</v>
      </c>
      <c r="B25" s="34">
        <v>1830</v>
      </c>
      <c r="C25" s="36" t="s">
        <v>32</v>
      </c>
      <c r="D25" s="28">
        <v>5481315.3599999994</v>
      </c>
      <c r="E25" s="28">
        <v>570418.87</v>
      </c>
      <c r="F25" s="28"/>
      <c r="G25" s="29">
        <f t="shared" si="0"/>
        <v>6051734.2299999995</v>
      </c>
      <c r="H25" s="30"/>
      <c r="I25" s="31">
        <v>-2197726.2000000002</v>
      </c>
      <c r="J25" s="32">
        <v>-228717</v>
      </c>
      <c r="K25" s="32"/>
      <c r="L25" s="29">
        <f t="shared" si="1"/>
        <v>-2426443.2000000002</v>
      </c>
      <c r="M25" s="33">
        <f t="shared" si="2"/>
        <v>3625291.0299999993</v>
      </c>
    </row>
    <row r="26" spans="1:13" s="2" customFormat="1" x14ac:dyDescent="0.3">
      <c r="A26" s="25">
        <v>47</v>
      </c>
      <c r="B26" s="34">
        <v>1835</v>
      </c>
      <c r="C26" s="36" t="s">
        <v>33</v>
      </c>
      <c r="D26" s="28">
        <v>10519284.689999999</v>
      </c>
      <c r="E26" s="28">
        <v>795113.87</v>
      </c>
      <c r="F26" s="28"/>
      <c r="G26" s="29">
        <f t="shared" si="0"/>
        <v>11314398.559999999</v>
      </c>
      <c r="H26" s="30"/>
      <c r="I26" s="31">
        <v>-6904826.6299999999</v>
      </c>
      <c r="J26" s="32">
        <v>-435629</v>
      </c>
      <c r="K26" s="32"/>
      <c r="L26" s="29">
        <f t="shared" si="1"/>
        <v>-7340455.6299999999</v>
      </c>
      <c r="M26" s="33">
        <f t="shared" si="2"/>
        <v>3973942.9299999988</v>
      </c>
    </row>
    <row r="27" spans="1:13" s="2" customFormat="1" x14ac:dyDescent="0.3">
      <c r="A27" s="25">
        <v>47</v>
      </c>
      <c r="B27" s="34">
        <v>1840</v>
      </c>
      <c r="C27" s="36" t="s">
        <v>34</v>
      </c>
      <c r="D27" s="28">
        <v>2351312.04</v>
      </c>
      <c r="E27" s="28">
        <v>335860.18</v>
      </c>
      <c r="F27" s="28"/>
      <c r="G27" s="29">
        <f t="shared" si="0"/>
        <v>2687172.22</v>
      </c>
      <c r="H27" s="30"/>
      <c r="I27" s="31">
        <v>-188837.84</v>
      </c>
      <c r="J27" s="32">
        <v>-100769.69</v>
      </c>
      <c r="K27" s="32"/>
      <c r="L27" s="29">
        <f t="shared" si="1"/>
        <v>-289607.53000000003</v>
      </c>
      <c r="M27" s="33">
        <f t="shared" si="2"/>
        <v>2397564.6900000004</v>
      </c>
    </row>
    <row r="28" spans="1:13" s="2" customFormat="1" x14ac:dyDescent="0.3">
      <c r="A28" s="25">
        <v>47</v>
      </c>
      <c r="B28" s="34">
        <v>1845</v>
      </c>
      <c r="C28" s="36" t="s">
        <v>35</v>
      </c>
      <c r="D28" s="28">
        <v>5236041.37</v>
      </c>
      <c r="E28" s="28">
        <v>441641.59</v>
      </c>
      <c r="F28" s="28"/>
      <c r="G28" s="29">
        <f t="shared" si="0"/>
        <v>5677682.96</v>
      </c>
      <c r="H28" s="30"/>
      <c r="I28" s="31">
        <v>-587363.93000000005</v>
      </c>
      <c r="J28" s="32">
        <v>-218274.49</v>
      </c>
      <c r="K28" s="32"/>
      <c r="L28" s="29">
        <f t="shared" si="1"/>
        <v>-805638.42</v>
      </c>
      <c r="M28" s="33">
        <f t="shared" si="2"/>
        <v>4872044.54</v>
      </c>
    </row>
    <row r="29" spans="1:13" s="2" customFormat="1" x14ac:dyDescent="0.3">
      <c r="A29" s="25">
        <v>47</v>
      </c>
      <c r="B29" s="34">
        <v>1850</v>
      </c>
      <c r="C29" s="36" t="s">
        <v>36</v>
      </c>
      <c r="D29" s="28">
        <v>6601893.8499999996</v>
      </c>
      <c r="E29" s="28">
        <v>678175.89</v>
      </c>
      <c r="F29" s="28"/>
      <c r="G29" s="29">
        <f t="shared" si="0"/>
        <v>7280069.7399999993</v>
      </c>
      <c r="H29" s="30"/>
      <c r="I29" s="31">
        <v>-948498.2</v>
      </c>
      <c r="J29" s="32">
        <v>-277639.27</v>
      </c>
      <c r="K29" s="32"/>
      <c r="L29" s="29">
        <f t="shared" si="1"/>
        <v>-1226137.47</v>
      </c>
      <c r="M29" s="33">
        <f t="shared" si="2"/>
        <v>6053932.2699999996</v>
      </c>
    </row>
    <row r="30" spans="1:13" s="2" customFormat="1" x14ac:dyDescent="0.3">
      <c r="A30" s="25">
        <v>47</v>
      </c>
      <c r="B30" s="34">
        <v>1855</v>
      </c>
      <c r="C30" s="36" t="s">
        <v>37</v>
      </c>
      <c r="D30" s="28">
        <v>3323673.9800000004</v>
      </c>
      <c r="E30" s="28">
        <v>579769.31000000006</v>
      </c>
      <c r="F30" s="28"/>
      <c r="G30" s="29">
        <f t="shared" si="0"/>
        <v>3903443.2900000005</v>
      </c>
      <c r="H30" s="30"/>
      <c r="I30" s="31">
        <v>-1274113.3699999999</v>
      </c>
      <c r="J30" s="32">
        <v>-144542.34</v>
      </c>
      <c r="K30" s="32"/>
      <c r="L30" s="29">
        <f t="shared" si="1"/>
        <v>-1418655.71</v>
      </c>
      <c r="M30" s="33">
        <f t="shared" si="2"/>
        <v>2484787.5800000005</v>
      </c>
    </row>
    <row r="31" spans="1:13" s="2" customFormat="1" x14ac:dyDescent="0.3">
      <c r="A31" s="25">
        <v>47</v>
      </c>
      <c r="B31" s="34">
        <v>1860</v>
      </c>
      <c r="C31" s="36" t="s">
        <v>38</v>
      </c>
      <c r="D31" s="28">
        <v>2802097.97</v>
      </c>
      <c r="E31" s="37">
        <v>143580.03</v>
      </c>
      <c r="F31" s="28"/>
      <c r="G31" s="29">
        <f t="shared" si="0"/>
        <v>2945678</v>
      </c>
      <c r="H31" s="30"/>
      <c r="I31" s="31">
        <v>-355606.78</v>
      </c>
      <c r="J31" s="32">
        <v>-114955.52</v>
      </c>
      <c r="K31" s="32"/>
      <c r="L31" s="29">
        <f t="shared" si="1"/>
        <v>-470562.30000000005</v>
      </c>
      <c r="M31" s="33">
        <f t="shared" si="2"/>
        <v>2475115.7000000002</v>
      </c>
    </row>
    <row r="32" spans="1:13" s="2" customFormat="1" x14ac:dyDescent="0.3">
      <c r="A32" s="25">
        <v>47</v>
      </c>
      <c r="B32" s="34">
        <v>1860</v>
      </c>
      <c r="C32" s="35" t="s">
        <v>39</v>
      </c>
      <c r="D32" s="28"/>
      <c r="E32" s="28"/>
      <c r="F32" s="28"/>
      <c r="G32" s="29">
        <f t="shared" si="0"/>
        <v>0</v>
      </c>
      <c r="H32" s="30"/>
      <c r="I32" s="31"/>
      <c r="J32" s="32"/>
      <c r="K32" s="32"/>
      <c r="L32" s="29">
        <f t="shared" si="1"/>
        <v>0</v>
      </c>
      <c r="M32" s="33">
        <f t="shared" si="2"/>
        <v>0</v>
      </c>
    </row>
    <row r="33" spans="1:13" s="2" customFormat="1" x14ac:dyDescent="0.3">
      <c r="A33" s="25" t="s">
        <v>25</v>
      </c>
      <c r="B33" s="34">
        <v>1905</v>
      </c>
      <c r="C33" s="35" t="s">
        <v>26</v>
      </c>
      <c r="D33" s="28"/>
      <c r="E33" s="28"/>
      <c r="F33" s="28"/>
      <c r="G33" s="29">
        <f t="shared" si="0"/>
        <v>0</v>
      </c>
      <c r="H33" s="30"/>
      <c r="I33" s="31"/>
      <c r="J33" s="32"/>
      <c r="K33" s="32"/>
      <c r="L33" s="29">
        <f t="shared" si="1"/>
        <v>0</v>
      </c>
      <c r="M33" s="33">
        <f t="shared" si="2"/>
        <v>0</v>
      </c>
    </row>
    <row r="34" spans="1:13" s="2" customFormat="1" x14ac:dyDescent="0.3">
      <c r="A34" s="25">
        <v>47</v>
      </c>
      <c r="B34" s="34">
        <v>1908</v>
      </c>
      <c r="C34" s="36" t="s">
        <v>40</v>
      </c>
      <c r="D34" s="28"/>
      <c r="E34" s="28"/>
      <c r="F34" s="28"/>
      <c r="G34" s="29">
        <f t="shared" si="0"/>
        <v>0</v>
      </c>
      <c r="H34" s="30"/>
      <c r="I34" s="31"/>
      <c r="J34" s="32"/>
      <c r="K34" s="32"/>
      <c r="L34" s="29">
        <f t="shared" si="1"/>
        <v>0</v>
      </c>
      <c r="M34" s="33">
        <f t="shared" si="2"/>
        <v>0</v>
      </c>
    </row>
    <row r="35" spans="1:13" s="2" customFormat="1" x14ac:dyDescent="0.3">
      <c r="A35" s="25">
        <v>13</v>
      </c>
      <c r="B35" s="34">
        <v>1910</v>
      </c>
      <c r="C35" s="36" t="s">
        <v>28</v>
      </c>
      <c r="D35" s="28">
        <v>161500.94</v>
      </c>
      <c r="E35" s="28">
        <v>25956.1</v>
      </c>
      <c r="F35" s="28"/>
      <c r="G35" s="29">
        <f t="shared" si="0"/>
        <v>187457.04</v>
      </c>
      <c r="H35" s="30"/>
      <c r="I35" s="31">
        <v>-8963.7099999999991</v>
      </c>
      <c r="J35" s="32">
        <v>-4234.45</v>
      </c>
      <c r="K35" s="32"/>
      <c r="L35" s="29">
        <f t="shared" si="1"/>
        <v>-13198.16</v>
      </c>
      <c r="M35" s="33">
        <f t="shared" si="2"/>
        <v>174258.88</v>
      </c>
    </row>
    <row r="36" spans="1:13" s="2" customFormat="1" x14ac:dyDescent="0.3">
      <c r="A36" s="25">
        <v>8</v>
      </c>
      <c r="B36" s="34">
        <v>1915</v>
      </c>
      <c r="C36" s="36" t="s">
        <v>41</v>
      </c>
      <c r="D36" s="28">
        <v>75387.240000000005</v>
      </c>
      <c r="E36" s="28">
        <v>10976.33</v>
      </c>
      <c r="F36" s="28"/>
      <c r="G36" s="29">
        <f t="shared" si="0"/>
        <v>86363.57</v>
      </c>
      <c r="H36" s="30"/>
      <c r="I36" s="31">
        <v>-58478.31</v>
      </c>
      <c r="J36" s="32">
        <v>-4719.92</v>
      </c>
      <c r="K36" s="32"/>
      <c r="L36" s="29">
        <f t="shared" si="1"/>
        <v>-63198.229999999996</v>
      </c>
      <c r="M36" s="33">
        <f t="shared" si="2"/>
        <v>23165.340000000011</v>
      </c>
    </row>
    <row r="37" spans="1:13" s="2" customFormat="1" x14ac:dyDescent="0.3">
      <c r="A37" s="25">
        <v>8</v>
      </c>
      <c r="B37" s="34">
        <v>1915</v>
      </c>
      <c r="C37" s="36" t="s">
        <v>42</v>
      </c>
      <c r="D37" s="28"/>
      <c r="E37" s="28"/>
      <c r="F37" s="28"/>
      <c r="G37" s="29">
        <f t="shared" si="0"/>
        <v>0</v>
      </c>
      <c r="H37" s="30"/>
      <c r="I37" s="31"/>
      <c r="J37" s="32"/>
      <c r="K37" s="32"/>
      <c r="L37" s="29">
        <f t="shared" si="1"/>
        <v>0</v>
      </c>
      <c r="M37" s="33">
        <f t="shared" si="2"/>
        <v>0</v>
      </c>
    </row>
    <row r="38" spans="1:13" s="2" customFormat="1" x14ac:dyDescent="0.3">
      <c r="A38" s="25">
        <v>10</v>
      </c>
      <c r="B38" s="34">
        <v>1920</v>
      </c>
      <c r="C38" s="36" t="s">
        <v>43</v>
      </c>
      <c r="D38" s="28">
        <v>97941</v>
      </c>
      <c r="E38" s="28"/>
      <c r="F38" s="28"/>
      <c r="G38" s="29">
        <f t="shared" si="0"/>
        <v>97941</v>
      </c>
      <c r="H38" s="30"/>
      <c r="I38" s="31">
        <v>-97941</v>
      </c>
      <c r="J38" s="32"/>
      <c r="K38" s="32"/>
      <c r="L38" s="29">
        <f t="shared" si="1"/>
        <v>-97941</v>
      </c>
      <c r="M38" s="33">
        <f t="shared" si="2"/>
        <v>0</v>
      </c>
    </row>
    <row r="39" spans="1:13" s="2" customFormat="1" ht="26.4" x14ac:dyDescent="0.3">
      <c r="A39" s="25">
        <v>45</v>
      </c>
      <c r="B39" s="38">
        <v>1920</v>
      </c>
      <c r="C39" s="27" t="s">
        <v>44</v>
      </c>
      <c r="D39" s="28">
        <v>3892</v>
      </c>
      <c r="E39" s="28"/>
      <c r="F39" s="28"/>
      <c r="G39" s="29">
        <f t="shared" si="0"/>
        <v>3892</v>
      </c>
      <c r="H39" s="30"/>
      <c r="I39" s="31">
        <v>-3892</v>
      </c>
      <c r="J39" s="32"/>
      <c r="K39" s="32"/>
      <c r="L39" s="29">
        <f t="shared" si="1"/>
        <v>-3892</v>
      </c>
      <c r="M39" s="33">
        <f t="shared" si="2"/>
        <v>0</v>
      </c>
    </row>
    <row r="40" spans="1:13" s="2" customFormat="1" ht="26.4" x14ac:dyDescent="0.3">
      <c r="A40" s="25">
        <v>45.1</v>
      </c>
      <c r="B40" s="38">
        <v>1920</v>
      </c>
      <c r="C40" s="27" t="s">
        <v>45</v>
      </c>
      <c r="D40" s="28"/>
      <c r="E40" s="28">
        <v>45925</v>
      </c>
      <c r="F40" s="28"/>
      <c r="G40" s="29">
        <f t="shared" si="0"/>
        <v>45925</v>
      </c>
      <c r="H40" s="30"/>
      <c r="I40" s="31"/>
      <c r="J40" s="32">
        <v>-4593</v>
      </c>
      <c r="K40" s="32"/>
      <c r="L40" s="29">
        <f t="shared" si="1"/>
        <v>-4593</v>
      </c>
      <c r="M40" s="33">
        <f t="shared" si="2"/>
        <v>41332</v>
      </c>
    </row>
    <row r="41" spans="1:13" s="2" customFormat="1" x14ac:dyDescent="0.3">
      <c r="A41" s="25">
        <v>10</v>
      </c>
      <c r="B41" s="26">
        <v>1930</v>
      </c>
      <c r="C41" s="36" t="s">
        <v>46</v>
      </c>
      <c r="D41" s="28">
        <v>2733120.6300000004</v>
      </c>
      <c r="E41" s="28">
        <v>104692.44999999998</v>
      </c>
      <c r="F41" s="28">
        <v>-165985.35999999999</v>
      </c>
      <c r="G41" s="29">
        <f t="shared" si="0"/>
        <v>2671827.7200000007</v>
      </c>
      <c r="H41" s="30"/>
      <c r="I41" s="31">
        <v>-1633869.5199999998</v>
      </c>
      <c r="J41" s="32">
        <v>-277988</v>
      </c>
      <c r="K41" s="32">
        <v>165985</v>
      </c>
      <c r="L41" s="29">
        <f t="shared" si="1"/>
        <v>-1745872.5199999998</v>
      </c>
      <c r="M41" s="33">
        <f t="shared" si="2"/>
        <v>925955.20000000088</v>
      </c>
    </row>
    <row r="42" spans="1:13" s="2" customFormat="1" x14ac:dyDescent="0.3">
      <c r="A42" s="25">
        <v>8</v>
      </c>
      <c r="B42" s="26">
        <v>1935</v>
      </c>
      <c r="C42" s="36" t="s">
        <v>47</v>
      </c>
      <c r="D42" s="28"/>
      <c r="E42" s="28"/>
      <c r="F42" s="28"/>
      <c r="G42" s="29">
        <f t="shared" si="0"/>
        <v>0</v>
      </c>
      <c r="H42" s="30"/>
      <c r="I42" s="31"/>
      <c r="J42" s="32"/>
      <c r="K42" s="32"/>
      <c r="L42" s="29">
        <f t="shared" si="1"/>
        <v>0</v>
      </c>
      <c r="M42" s="33">
        <f t="shared" si="2"/>
        <v>0</v>
      </c>
    </row>
    <row r="43" spans="1:13" s="2" customFormat="1" x14ac:dyDescent="0.3">
      <c r="A43" s="25">
        <v>8</v>
      </c>
      <c r="B43" s="26">
        <v>1940</v>
      </c>
      <c r="C43" s="36" t="s">
        <v>48</v>
      </c>
      <c r="D43" s="28">
        <v>159237.59</v>
      </c>
      <c r="E43" s="28">
        <v>16560</v>
      </c>
      <c r="F43" s="28"/>
      <c r="G43" s="29">
        <f t="shared" si="0"/>
        <v>175797.59</v>
      </c>
      <c r="H43" s="30"/>
      <c r="I43" s="31">
        <v>-80871</v>
      </c>
      <c r="J43" s="32">
        <v>-14987</v>
      </c>
      <c r="K43" s="32"/>
      <c r="L43" s="29">
        <f t="shared" si="1"/>
        <v>-95858</v>
      </c>
      <c r="M43" s="33">
        <f t="shared" si="2"/>
        <v>79939.59</v>
      </c>
    </row>
    <row r="44" spans="1:13" s="2" customFormat="1" x14ac:dyDescent="0.3">
      <c r="A44" s="25">
        <v>8</v>
      </c>
      <c r="B44" s="26">
        <v>1945</v>
      </c>
      <c r="C44" s="36" t="s">
        <v>49</v>
      </c>
      <c r="D44" s="28">
        <v>14462.12</v>
      </c>
      <c r="E44" s="28"/>
      <c r="F44" s="28"/>
      <c r="G44" s="29">
        <f t="shared" si="0"/>
        <v>14462.12</v>
      </c>
      <c r="H44" s="30"/>
      <c r="I44" s="31">
        <v>-2035</v>
      </c>
      <c r="J44" s="32">
        <v>-1426</v>
      </c>
      <c r="K44" s="32"/>
      <c r="L44" s="29">
        <f t="shared" si="1"/>
        <v>-3461</v>
      </c>
      <c r="M44" s="33">
        <f t="shared" si="2"/>
        <v>11001.12</v>
      </c>
    </row>
    <row r="45" spans="1:13" s="2" customFormat="1" x14ac:dyDescent="0.3">
      <c r="A45" s="25">
        <v>8</v>
      </c>
      <c r="B45" s="26">
        <v>1950</v>
      </c>
      <c r="C45" s="36" t="s">
        <v>50</v>
      </c>
      <c r="D45" s="28">
        <v>64090.6</v>
      </c>
      <c r="E45" s="28"/>
      <c r="F45" s="28"/>
      <c r="G45" s="29">
        <f t="shared" si="0"/>
        <v>64090.6</v>
      </c>
      <c r="H45" s="30"/>
      <c r="I45" s="39">
        <v>-5768</v>
      </c>
      <c r="J45" s="32">
        <v>-6429</v>
      </c>
      <c r="K45" s="32"/>
      <c r="L45" s="29">
        <f t="shared" si="1"/>
        <v>-12197</v>
      </c>
      <c r="M45" s="33">
        <f t="shared" si="2"/>
        <v>51893.599999999999</v>
      </c>
    </row>
    <row r="46" spans="1:13" s="2" customFormat="1" x14ac:dyDescent="0.3">
      <c r="A46" s="25">
        <v>8</v>
      </c>
      <c r="B46" s="26">
        <v>1955</v>
      </c>
      <c r="C46" s="36" t="s">
        <v>51</v>
      </c>
      <c r="D46" s="28"/>
      <c r="E46" s="28"/>
      <c r="F46" s="28"/>
      <c r="G46" s="29">
        <f t="shared" si="0"/>
        <v>0</v>
      </c>
      <c r="H46" s="30"/>
      <c r="I46" s="31"/>
      <c r="J46" s="32"/>
      <c r="K46" s="32"/>
      <c r="L46" s="29">
        <f t="shared" si="1"/>
        <v>0</v>
      </c>
      <c r="M46" s="33">
        <f t="shared" si="2"/>
        <v>0</v>
      </c>
    </row>
    <row r="47" spans="1:13" s="2" customFormat="1" x14ac:dyDescent="0.3">
      <c r="A47" s="40">
        <v>8</v>
      </c>
      <c r="B47" s="38">
        <v>1955</v>
      </c>
      <c r="C47" s="41" t="s">
        <v>52</v>
      </c>
      <c r="D47" s="28"/>
      <c r="E47" s="28"/>
      <c r="F47" s="28"/>
      <c r="G47" s="29">
        <f t="shared" si="0"/>
        <v>0</v>
      </c>
      <c r="H47" s="30"/>
      <c r="I47" s="31"/>
      <c r="J47" s="32"/>
      <c r="K47" s="32"/>
      <c r="L47" s="29">
        <f t="shared" si="1"/>
        <v>0</v>
      </c>
      <c r="M47" s="33">
        <f t="shared" si="2"/>
        <v>0</v>
      </c>
    </row>
    <row r="48" spans="1:13" s="2" customFormat="1" x14ac:dyDescent="0.3">
      <c r="A48" s="40">
        <v>8</v>
      </c>
      <c r="B48" s="42">
        <v>1960</v>
      </c>
      <c r="C48" s="27" t="s">
        <v>53</v>
      </c>
      <c r="D48" s="28"/>
      <c r="E48" s="28"/>
      <c r="F48" s="28"/>
      <c r="G48" s="29">
        <f t="shared" si="0"/>
        <v>0</v>
      </c>
      <c r="H48" s="30"/>
      <c r="I48" s="31"/>
      <c r="J48" s="32"/>
      <c r="K48" s="32"/>
      <c r="L48" s="29">
        <f t="shared" si="1"/>
        <v>0</v>
      </c>
      <c r="M48" s="33">
        <f t="shared" si="2"/>
        <v>0</v>
      </c>
    </row>
    <row r="49" spans="1:15" ht="26.4" x14ac:dyDescent="0.3">
      <c r="A49" s="43">
        <v>47</v>
      </c>
      <c r="B49" s="42">
        <v>1970</v>
      </c>
      <c r="C49" s="36" t="s">
        <v>54</v>
      </c>
      <c r="D49" s="28"/>
      <c r="E49" s="28"/>
      <c r="F49" s="28"/>
      <c r="G49" s="29">
        <f t="shared" si="0"/>
        <v>0</v>
      </c>
      <c r="H49" s="30"/>
      <c r="I49" s="31"/>
      <c r="J49" s="32"/>
      <c r="K49" s="32"/>
      <c r="L49" s="29">
        <f t="shared" si="1"/>
        <v>0</v>
      </c>
      <c r="M49" s="33">
        <f t="shared" si="2"/>
        <v>0</v>
      </c>
    </row>
    <row r="50" spans="1:15" x14ac:dyDescent="0.3">
      <c r="A50" s="25">
        <v>47</v>
      </c>
      <c r="B50" s="26">
        <v>1975</v>
      </c>
      <c r="C50" s="36" t="s">
        <v>55</v>
      </c>
      <c r="D50" s="28"/>
      <c r="E50" s="28"/>
      <c r="F50" s="28"/>
      <c r="G50" s="29">
        <f t="shared" si="0"/>
        <v>0</v>
      </c>
      <c r="H50" s="30"/>
      <c r="I50" s="31"/>
      <c r="J50" s="32"/>
      <c r="K50" s="32"/>
      <c r="L50" s="29">
        <f t="shared" si="1"/>
        <v>0</v>
      </c>
      <c r="M50" s="33">
        <f t="shared" si="2"/>
        <v>0</v>
      </c>
    </row>
    <row r="51" spans="1:15" x14ac:dyDescent="0.3">
      <c r="A51" s="25">
        <v>47</v>
      </c>
      <c r="B51" s="26">
        <v>1980</v>
      </c>
      <c r="C51" s="36" t="s">
        <v>56</v>
      </c>
      <c r="D51" s="28"/>
      <c r="E51" s="28">
        <v>213964.79</v>
      </c>
      <c r="F51" s="28"/>
      <c r="G51" s="29">
        <f t="shared" si="0"/>
        <v>213964.79</v>
      </c>
      <c r="H51" s="30"/>
      <c r="I51" s="31"/>
      <c r="J51" s="32">
        <v>-10698</v>
      </c>
      <c r="K51" s="32"/>
      <c r="L51" s="29">
        <f t="shared" si="1"/>
        <v>-10698</v>
      </c>
      <c r="M51" s="33">
        <f t="shared" si="2"/>
        <v>203266.79</v>
      </c>
    </row>
    <row r="52" spans="1:15" x14ac:dyDescent="0.3">
      <c r="A52" s="25">
        <v>47</v>
      </c>
      <c r="B52" s="26">
        <v>1985</v>
      </c>
      <c r="C52" s="36" t="s">
        <v>57</v>
      </c>
      <c r="D52" s="28"/>
      <c r="E52" s="28"/>
      <c r="F52" s="28"/>
      <c r="G52" s="29">
        <f t="shared" si="0"/>
        <v>0</v>
      </c>
      <c r="H52" s="30"/>
      <c r="I52" s="31"/>
      <c r="J52" s="32"/>
      <c r="K52" s="32"/>
      <c r="L52" s="29">
        <f t="shared" si="1"/>
        <v>0</v>
      </c>
      <c r="M52" s="33">
        <f t="shared" si="2"/>
        <v>0</v>
      </c>
    </row>
    <row r="53" spans="1:15" x14ac:dyDescent="0.3">
      <c r="A53" s="43">
        <v>47</v>
      </c>
      <c r="B53" s="26">
        <v>1990</v>
      </c>
      <c r="C53" s="45" t="s">
        <v>58</v>
      </c>
      <c r="D53" s="28"/>
      <c r="E53" s="28"/>
      <c r="F53" s="28"/>
      <c r="G53" s="29">
        <f t="shared" si="0"/>
        <v>0</v>
      </c>
      <c r="H53" s="30"/>
      <c r="I53" s="31"/>
      <c r="J53" s="32"/>
      <c r="K53" s="32"/>
      <c r="L53" s="29">
        <f t="shared" si="1"/>
        <v>0</v>
      </c>
      <c r="M53" s="33">
        <f t="shared" si="2"/>
        <v>0</v>
      </c>
    </row>
    <row r="54" spans="1:15" x14ac:dyDescent="0.3">
      <c r="A54" s="25">
        <v>47</v>
      </c>
      <c r="B54" s="26">
        <v>1995</v>
      </c>
      <c r="C54" s="36" t="s">
        <v>59</v>
      </c>
      <c r="D54" s="28">
        <v>-4773539.49</v>
      </c>
      <c r="E54" s="28">
        <v>-1316274</v>
      </c>
      <c r="F54" s="28"/>
      <c r="G54" s="29">
        <f t="shared" si="0"/>
        <v>-6089813.4900000002</v>
      </c>
      <c r="H54" s="30"/>
      <c r="I54" s="31">
        <v>647119.04</v>
      </c>
      <c r="J54" s="32">
        <v>217267.04</v>
      </c>
      <c r="K54" s="32"/>
      <c r="L54" s="29">
        <f t="shared" si="1"/>
        <v>864386.08000000007</v>
      </c>
      <c r="M54" s="33">
        <f t="shared" si="2"/>
        <v>-5225427.41</v>
      </c>
    </row>
    <row r="55" spans="1:15" ht="15.6" x14ac:dyDescent="0.3">
      <c r="A55" s="25">
        <v>47</v>
      </c>
      <c r="B55" s="26">
        <v>2440</v>
      </c>
      <c r="C55" s="36" t="s">
        <v>60</v>
      </c>
      <c r="D55" s="28"/>
      <c r="E55" s="28"/>
      <c r="F55" s="28"/>
      <c r="G55" s="29"/>
      <c r="I55" s="31"/>
      <c r="J55" s="32"/>
      <c r="K55" s="32"/>
      <c r="L55" s="29"/>
      <c r="M55" s="33"/>
    </row>
    <row r="56" spans="1:15" x14ac:dyDescent="0.3">
      <c r="A56" s="46"/>
      <c r="B56" s="46"/>
      <c r="C56" s="47"/>
      <c r="D56" s="48"/>
      <c r="E56" s="48"/>
      <c r="F56" s="48"/>
      <c r="G56" s="29">
        <f t="shared" si="0"/>
        <v>0</v>
      </c>
      <c r="I56" s="48"/>
      <c r="J56" s="48"/>
      <c r="K56" s="48"/>
      <c r="L56" s="29">
        <f t="shared" si="1"/>
        <v>0</v>
      </c>
      <c r="M56" s="33">
        <f t="shared" si="2"/>
        <v>0</v>
      </c>
    </row>
    <row r="57" spans="1:15" x14ac:dyDescent="0.3">
      <c r="A57" s="46"/>
      <c r="B57" s="46"/>
      <c r="C57" s="49" t="s">
        <v>61</v>
      </c>
      <c r="D57" s="50">
        <f>SUM(D17:D56)</f>
        <v>36715081.410000004</v>
      </c>
      <c r="E57" s="50">
        <f>SUM(E17:E56)</f>
        <v>2870369.41</v>
      </c>
      <c r="F57" s="50">
        <f>SUM(F17:F56)</f>
        <v>-220985.36</v>
      </c>
      <c r="G57" s="50">
        <f>SUM(G17:G56)</f>
        <v>39364465.459999993</v>
      </c>
      <c r="H57" s="50"/>
      <c r="I57" s="50">
        <f>SUM(I17:I56)</f>
        <v>-14546686.549999997</v>
      </c>
      <c r="J57" s="50">
        <f>SUM(J17:J56)</f>
        <v>-1727485.19</v>
      </c>
      <c r="K57" s="50">
        <f>SUM(K17:K56)</f>
        <v>220985</v>
      </c>
      <c r="L57" s="50">
        <f>SUM(L17:L56)</f>
        <v>-16053186.74</v>
      </c>
      <c r="M57" s="50">
        <f>SUM(M17:M56)</f>
        <v>23311278.719999999</v>
      </c>
      <c r="N57" s="161"/>
      <c r="O57" s="161"/>
    </row>
    <row r="58" spans="1:15" ht="26.4" x14ac:dyDescent="0.3">
      <c r="A58" s="46"/>
      <c r="B58" s="46"/>
      <c r="C58" s="51" t="s">
        <v>62</v>
      </c>
      <c r="D58" s="48"/>
      <c r="E58" s="48"/>
      <c r="F58" s="48"/>
      <c r="G58" s="29">
        <f>D58+E58+F58</f>
        <v>0</v>
      </c>
      <c r="I58" s="48"/>
      <c r="J58" s="48"/>
      <c r="K58" s="48"/>
      <c r="L58" s="29">
        <f>I58+J58+K58</f>
        <v>0</v>
      </c>
      <c r="M58" s="33">
        <f>G58+L58</f>
        <v>0</v>
      </c>
      <c r="N58" s="161"/>
      <c r="O58" s="161"/>
    </row>
    <row r="59" spans="1:15" ht="26.4" x14ac:dyDescent="0.3">
      <c r="A59" s="46"/>
      <c r="B59" s="46"/>
      <c r="C59" s="52" t="s">
        <v>63</v>
      </c>
      <c r="D59" s="48"/>
      <c r="E59" s="48"/>
      <c r="F59" s="48"/>
      <c r="G59" s="29">
        <f t="shared" si="0"/>
        <v>0</v>
      </c>
      <c r="I59" s="48"/>
      <c r="J59" s="48"/>
      <c r="K59" s="48"/>
      <c r="L59" s="29">
        <f>I59+J59+K59</f>
        <v>0</v>
      </c>
      <c r="M59" s="33">
        <f t="shared" si="2"/>
        <v>0</v>
      </c>
      <c r="N59" s="161"/>
      <c r="O59" s="161"/>
    </row>
    <row r="60" spans="1:15" x14ac:dyDescent="0.3">
      <c r="A60" s="46"/>
      <c r="B60" s="46"/>
      <c r="C60" s="49" t="s">
        <v>65</v>
      </c>
      <c r="D60" s="50">
        <f>SUM(D57:D59)</f>
        <v>36715081.410000004</v>
      </c>
      <c r="E60" s="50">
        <f>SUM(E57:E59)</f>
        <v>2870369.41</v>
      </c>
      <c r="F60" s="50">
        <f>SUM(F57:F59)</f>
        <v>-220985.36</v>
      </c>
      <c r="G60" s="50">
        <f>SUM(G57:G59)</f>
        <v>39364465.459999993</v>
      </c>
      <c r="H60" s="50"/>
      <c r="I60" s="50">
        <f t="shared" ref="I60:N60" si="3">SUM(I57:I59)</f>
        <v>-14546686.549999997</v>
      </c>
      <c r="J60" s="50">
        <f t="shared" si="3"/>
        <v>-1727485.19</v>
      </c>
      <c r="K60" s="50">
        <f t="shared" si="3"/>
        <v>220985</v>
      </c>
      <c r="L60" s="50">
        <f t="shared" si="3"/>
        <v>-16053186.74</v>
      </c>
      <c r="M60" s="50">
        <f t="shared" si="3"/>
        <v>23311278.719999999</v>
      </c>
      <c r="N60" s="161"/>
      <c r="O60" s="165"/>
    </row>
    <row r="61" spans="1:15" ht="16.2" x14ac:dyDescent="0.3">
      <c r="A61" s="46"/>
      <c r="B61" s="46"/>
      <c r="C61" s="139" t="s">
        <v>66</v>
      </c>
      <c r="D61" s="140"/>
      <c r="E61" s="140"/>
      <c r="F61" s="140"/>
      <c r="G61" s="140"/>
      <c r="H61" s="140"/>
      <c r="I61" s="141"/>
      <c r="J61" s="48"/>
      <c r="K61" s="54"/>
      <c r="L61" s="55"/>
      <c r="M61" s="56" t="s">
        <v>64</v>
      </c>
    </row>
    <row r="62" spans="1:15" x14ac:dyDescent="0.3">
      <c r="A62" s="46"/>
      <c r="B62" s="46"/>
      <c r="C62" s="139" t="s">
        <v>67</v>
      </c>
      <c r="D62" s="140"/>
      <c r="E62" s="140"/>
      <c r="F62" s="140"/>
      <c r="G62" s="140"/>
      <c r="H62" s="140"/>
      <c r="I62" s="141"/>
      <c r="J62" s="50">
        <f>J60+J61</f>
        <v>-1727485.19</v>
      </c>
      <c r="K62" s="54"/>
      <c r="L62" s="55"/>
      <c r="M62" s="56"/>
    </row>
    <row r="64" spans="1:15" x14ac:dyDescent="0.3">
      <c r="D64" s="57"/>
      <c r="I64" s="58" t="s">
        <v>68</v>
      </c>
      <c r="J64" s="59"/>
    </row>
    <row r="65" spans="1:15" x14ac:dyDescent="0.3">
      <c r="A65" s="46">
        <v>10</v>
      </c>
      <c r="B65" s="46"/>
      <c r="C65" s="47" t="s">
        <v>69</v>
      </c>
      <c r="I65" s="59" t="s">
        <v>69</v>
      </c>
      <c r="J65" s="59"/>
      <c r="K65" s="60"/>
      <c r="N65" s="2"/>
      <c r="O65" s="2"/>
    </row>
    <row r="66" spans="1:15" x14ac:dyDescent="0.3">
      <c r="A66" s="46">
        <v>8</v>
      </c>
      <c r="B66" s="46"/>
      <c r="C66" s="47" t="s">
        <v>47</v>
      </c>
      <c r="D66" s="57"/>
      <c r="I66" s="59" t="s">
        <v>47</v>
      </c>
      <c r="J66" s="59"/>
      <c r="K66" s="61"/>
      <c r="N66" s="2"/>
      <c r="O66" s="2"/>
    </row>
    <row r="67" spans="1:15" x14ac:dyDescent="0.3">
      <c r="I67" s="62" t="s">
        <v>70</v>
      </c>
      <c r="K67" s="63">
        <f>J62-K65-K66</f>
        <v>-1727485.19</v>
      </c>
      <c r="N67" s="2"/>
      <c r="O67" s="2"/>
    </row>
    <row r="69" spans="1:15" ht="13.2" x14ac:dyDescent="0.25">
      <c r="A69" s="64" t="s">
        <v>71</v>
      </c>
      <c r="N69" s="2"/>
      <c r="O69" s="2"/>
    </row>
    <row r="71" spans="1:15" ht="13.2" x14ac:dyDescent="0.25">
      <c r="A71" s="1">
        <v>1</v>
      </c>
      <c r="B71" s="142" t="s">
        <v>72</v>
      </c>
      <c r="C71" s="142"/>
      <c r="D71" s="142"/>
      <c r="E71" s="142"/>
      <c r="F71" s="142"/>
      <c r="G71" s="142"/>
      <c r="H71" s="142"/>
      <c r="I71" s="142"/>
      <c r="J71" s="142"/>
      <c r="K71" s="142"/>
      <c r="L71" s="142"/>
      <c r="M71" s="142"/>
      <c r="N71" s="2"/>
      <c r="O71" s="2"/>
    </row>
    <row r="72" spans="1:15" ht="13.2" x14ac:dyDescent="0.25">
      <c r="B72" s="142"/>
      <c r="C72" s="142"/>
      <c r="D72" s="142"/>
      <c r="E72" s="142"/>
      <c r="F72" s="142"/>
      <c r="G72" s="142"/>
      <c r="H72" s="142"/>
      <c r="I72" s="142"/>
      <c r="J72" s="142"/>
      <c r="K72" s="142"/>
      <c r="L72" s="142"/>
      <c r="M72" s="142"/>
      <c r="N72" s="2"/>
      <c r="O72" s="2"/>
    </row>
    <row r="73" spans="1:15" ht="13.2" x14ac:dyDescent="0.25">
      <c r="N73" s="2"/>
      <c r="O73" s="2"/>
    </row>
    <row r="74" spans="1:15" ht="13.2" x14ac:dyDescent="0.25">
      <c r="A74" s="1">
        <v>2</v>
      </c>
      <c r="B74" s="143" t="s">
        <v>73</v>
      </c>
      <c r="C74" s="143"/>
      <c r="D74" s="143"/>
      <c r="E74" s="143"/>
      <c r="F74" s="143"/>
      <c r="G74" s="143"/>
      <c r="H74" s="143"/>
      <c r="I74" s="143"/>
      <c r="J74" s="143"/>
      <c r="K74" s="143"/>
      <c r="L74" s="143"/>
      <c r="M74" s="143"/>
      <c r="N74" s="2"/>
      <c r="O74" s="2"/>
    </row>
    <row r="75" spans="1:15" ht="13.2" x14ac:dyDescent="0.25">
      <c r="B75" s="143"/>
      <c r="C75" s="143"/>
      <c r="D75" s="143"/>
      <c r="E75" s="143"/>
      <c r="F75" s="143"/>
      <c r="G75" s="143"/>
      <c r="H75" s="143"/>
      <c r="I75" s="143"/>
      <c r="J75" s="143"/>
      <c r="K75" s="143"/>
      <c r="L75" s="143"/>
      <c r="M75" s="143"/>
      <c r="N75" s="2"/>
      <c r="O75" s="2"/>
    </row>
    <row r="77" spans="1:15" ht="13.2" x14ac:dyDescent="0.25">
      <c r="A77" s="1">
        <v>3</v>
      </c>
      <c r="B77" s="144" t="s">
        <v>74</v>
      </c>
      <c r="C77" s="144"/>
      <c r="D77" s="144"/>
      <c r="E77" s="144"/>
      <c r="F77" s="144"/>
      <c r="G77" s="144"/>
      <c r="H77" s="144"/>
      <c r="I77" s="144"/>
      <c r="J77" s="144"/>
      <c r="K77" s="144"/>
      <c r="L77" s="144"/>
      <c r="M77" s="144"/>
      <c r="N77" s="2"/>
      <c r="O77" s="2"/>
    </row>
    <row r="79" spans="1:15" ht="13.2" x14ac:dyDescent="0.25">
      <c r="A79" s="1">
        <v>4</v>
      </c>
      <c r="B79" s="65" t="s">
        <v>75</v>
      </c>
      <c r="C79" s="12"/>
      <c r="N79" s="2"/>
      <c r="O79" s="2"/>
    </row>
    <row r="81" spans="1:15" ht="13.2" x14ac:dyDescent="0.25">
      <c r="A81" s="1">
        <v>5</v>
      </c>
      <c r="B81" s="66" t="s">
        <v>76</v>
      </c>
      <c r="N81" s="2"/>
      <c r="O81" s="2"/>
    </row>
    <row r="83" spans="1:15" ht="13.2" x14ac:dyDescent="0.25">
      <c r="A83" s="1">
        <v>6</v>
      </c>
      <c r="B83" s="144" t="s">
        <v>77</v>
      </c>
      <c r="C83" s="144"/>
      <c r="D83" s="144"/>
      <c r="E83" s="144"/>
      <c r="F83" s="144"/>
      <c r="G83" s="144"/>
      <c r="H83" s="144"/>
      <c r="I83" s="144"/>
      <c r="J83" s="144"/>
      <c r="K83" s="144"/>
      <c r="L83" s="144"/>
      <c r="M83" s="144"/>
      <c r="N83" s="2"/>
      <c r="O83" s="2"/>
    </row>
    <row r="84" spans="1:15" ht="13.2" x14ac:dyDescent="0.25">
      <c r="B84" s="144"/>
      <c r="C84" s="144"/>
      <c r="D84" s="144"/>
      <c r="E84" s="144"/>
      <c r="F84" s="144"/>
      <c r="G84" s="144"/>
      <c r="H84" s="144"/>
      <c r="I84" s="144"/>
      <c r="J84" s="144"/>
      <c r="K84" s="144"/>
      <c r="L84" s="144"/>
      <c r="M84" s="144"/>
      <c r="N84" s="2"/>
      <c r="O84" s="2"/>
    </row>
    <row r="85" spans="1:15" ht="13.2" x14ac:dyDescent="0.25">
      <c r="B85" s="144"/>
      <c r="C85" s="144"/>
      <c r="D85" s="144"/>
      <c r="E85" s="144"/>
      <c r="F85" s="144"/>
      <c r="G85" s="144"/>
      <c r="H85" s="144"/>
      <c r="I85" s="144"/>
      <c r="J85" s="144"/>
      <c r="K85" s="144"/>
      <c r="L85" s="144"/>
      <c r="M85" s="144"/>
      <c r="N85" s="2"/>
      <c r="O85" s="2"/>
    </row>
    <row r="86" spans="1:15" ht="13.2" x14ac:dyDescent="0.25">
      <c r="N86" s="2"/>
      <c r="O86" s="2"/>
    </row>
    <row r="87" spans="1:15" ht="13.2" x14ac:dyDescent="0.25">
      <c r="B87" s="67"/>
      <c r="C87" s="67"/>
      <c r="D87" s="67"/>
      <c r="E87" s="67"/>
      <c r="F87" s="67"/>
      <c r="G87" s="67"/>
      <c r="H87" s="67"/>
      <c r="I87" s="67"/>
      <c r="J87" s="67"/>
      <c r="K87" s="67"/>
      <c r="L87" s="67"/>
      <c r="M87" s="67"/>
      <c r="N87" s="2"/>
      <c r="O87" s="2"/>
    </row>
    <row r="88" spans="1:15" ht="13.2" x14ac:dyDescent="0.25">
      <c r="B88" s="67"/>
      <c r="C88" s="67"/>
      <c r="D88" s="67"/>
      <c r="E88" s="67"/>
      <c r="F88" s="67"/>
      <c r="G88" s="67"/>
      <c r="H88" s="67"/>
      <c r="I88" s="67"/>
      <c r="J88" s="67"/>
      <c r="K88" s="67"/>
      <c r="L88" s="67"/>
      <c r="M88" s="67"/>
      <c r="N88" s="2"/>
      <c r="O88" s="2"/>
    </row>
    <row r="89" spans="1:15" ht="13.2" x14ac:dyDescent="0.25">
      <c r="N89" s="2"/>
      <c r="O89" s="2"/>
    </row>
    <row r="90" spans="1:15" ht="13.2" x14ac:dyDescent="0.25">
      <c r="N90" s="2"/>
      <c r="O90" s="2"/>
    </row>
    <row r="91" spans="1:15" x14ac:dyDescent="0.3">
      <c r="C91"/>
      <c r="D91"/>
      <c r="E91"/>
      <c r="F91"/>
      <c r="G91"/>
      <c r="H91"/>
      <c r="I91"/>
      <c r="J91"/>
      <c r="K91"/>
      <c r="L91" s="68"/>
      <c r="M91" s="69"/>
      <c r="N91" s="2"/>
      <c r="O91" s="2"/>
    </row>
    <row r="92" spans="1:15" x14ac:dyDescent="0.3">
      <c r="C92"/>
      <c r="D92"/>
      <c r="E92"/>
      <c r="F92"/>
      <c r="G92"/>
      <c r="H92"/>
      <c r="I92"/>
      <c r="J92"/>
      <c r="K92"/>
      <c r="L92" s="68"/>
      <c r="M92" s="70"/>
      <c r="N92" s="2"/>
      <c r="O92" s="2"/>
    </row>
    <row r="93" spans="1:15" x14ac:dyDescent="0.3">
      <c r="C93"/>
      <c r="D93"/>
      <c r="E93"/>
      <c r="F93"/>
      <c r="G93"/>
      <c r="H93"/>
      <c r="I93"/>
      <c r="J93"/>
      <c r="K93"/>
      <c r="L93" s="68"/>
      <c r="M93" s="70"/>
      <c r="N93" s="2"/>
      <c r="O93" s="2"/>
    </row>
    <row r="94" spans="1:15" x14ac:dyDescent="0.3">
      <c r="C94"/>
      <c r="D94"/>
      <c r="E94"/>
      <c r="F94"/>
      <c r="G94"/>
      <c r="H94"/>
      <c r="I94"/>
      <c r="J94"/>
      <c r="K94"/>
      <c r="L94" s="68"/>
      <c r="M94" s="70"/>
      <c r="N94" s="2"/>
      <c r="O94" s="2"/>
    </row>
    <row r="95" spans="1:15" x14ac:dyDescent="0.3">
      <c r="C95"/>
      <c r="D95"/>
      <c r="E95"/>
      <c r="F95"/>
      <c r="G95"/>
      <c r="H95"/>
      <c r="I95"/>
      <c r="J95"/>
      <c r="K95"/>
      <c r="L95" s="68"/>
      <c r="M95" s="71"/>
      <c r="N95" s="2"/>
      <c r="O95" s="2"/>
    </row>
    <row r="96" spans="1:15" x14ac:dyDescent="0.3">
      <c r="C96"/>
      <c r="D96"/>
      <c r="E96"/>
      <c r="F96"/>
      <c r="G96"/>
      <c r="H96"/>
      <c r="I96"/>
      <c r="J96"/>
      <c r="K96"/>
      <c r="L96" s="68"/>
      <c r="M96" s="71"/>
      <c r="N96" s="2"/>
      <c r="O96" s="2"/>
    </row>
    <row r="97" spans="1:13" s="2" customFormat="1" x14ac:dyDescent="0.3">
      <c r="A97" s="1"/>
      <c r="B97" s="1"/>
      <c r="C97"/>
      <c r="D97"/>
      <c r="E97"/>
      <c r="F97"/>
      <c r="G97"/>
      <c r="H97"/>
      <c r="I97"/>
      <c r="J97"/>
      <c r="K97"/>
      <c r="L97" s="68"/>
      <c r="M97" s="71"/>
    </row>
    <row r="98" spans="1:13" s="2" customFormat="1" x14ac:dyDescent="0.3">
      <c r="A98" s="1"/>
      <c r="B98" s="1"/>
      <c r="C98"/>
      <c r="D98"/>
      <c r="E98"/>
      <c r="F98"/>
      <c r="G98"/>
      <c r="H98"/>
      <c r="I98"/>
      <c r="J98"/>
      <c r="K98"/>
      <c r="L98"/>
      <c r="M98"/>
    </row>
    <row r="99" spans="1:13" s="2" customFormat="1" ht="17.399999999999999" x14ac:dyDescent="0.25">
      <c r="A99" s="138" t="s">
        <v>6</v>
      </c>
      <c r="B99" s="138"/>
      <c r="C99" s="138"/>
      <c r="D99" s="138"/>
      <c r="E99" s="138"/>
      <c r="F99" s="138"/>
      <c r="G99" s="138"/>
      <c r="H99" s="138"/>
      <c r="I99" s="138"/>
      <c r="J99" s="138"/>
      <c r="K99" s="138"/>
      <c r="L99" s="138"/>
      <c r="M99" s="138"/>
    </row>
    <row r="100" spans="1:13" s="2" customFormat="1" ht="19.2" x14ac:dyDescent="0.25">
      <c r="A100" s="138" t="s">
        <v>7</v>
      </c>
      <c r="B100" s="138"/>
      <c r="C100" s="138"/>
      <c r="D100" s="138"/>
      <c r="E100" s="138"/>
      <c r="F100" s="138"/>
      <c r="G100" s="138"/>
      <c r="H100" s="138"/>
      <c r="I100" s="138"/>
      <c r="J100" s="138"/>
      <c r="K100" s="138"/>
      <c r="L100" s="138"/>
      <c r="M100" s="138"/>
    </row>
    <row r="101" spans="1:13" s="2" customFormat="1" x14ac:dyDescent="0.3">
      <c r="A101" s="1"/>
      <c r="B101" s="1"/>
      <c r="C101"/>
      <c r="D101"/>
      <c r="E101"/>
      <c r="F101"/>
      <c r="G101"/>
      <c r="I101"/>
      <c r="J101"/>
      <c r="K101"/>
      <c r="L101"/>
      <c r="M101"/>
    </row>
    <row r="102" spans="1:13" s="2" customFormat="1" x14ac:dyDescent="0.3">
      <c r="A102" s="1"/>
      <c r="B102" s="1"/>
      <c r="C102"/>
      <c r="D102"/>
      <c r="E102" s="10" t="s">
        <v>8</v>
      </c>
      <c r="F102" s="11" t="s">
        <v>9</v>
      </c>
      <c r="G102"/>
      <c r="I102"/>
      <c r="J102"/>
      <c r="K102"/>
      <c r="L102"/>
      <c r="M102"/>
    </row>
    <row r="103" spans="1:13" s="2" customFormat="1" x14ac:dyDescent="0.3">
      <c r="A103" s="1"/>
      <c r="B103" s="1"/>
      <c r="C103" s="12"/>
      <c r="D103"/>
      <c r="E103" s="10" t="s">
        <v>10</v>
      </c>
      <c r="F103" s="13">
        <v>2013</v>
      </c>
      <c r="G103" s="14"/>
      <c r="H103"/>
      <c r="I103"/>
      <c r="J103"/>
      <c r="K103"/>
      <c r="L103"/>
      <c r="M103"/>
    </row>
    <row r="104" spans="1:13" s="2" customFormat="1" x14ac:dyDescent="0.3">
      <c r="A104" s="1"/>
      <c r="B104" s="1"/>
      <c r="C104"/>
      <c r="D104"/>
      <c r="E104"/>
      <c r="F104"/>
      <c r="G104"/>
      <c r="H104"/>
      <c r="I104"/>
      <c r="J104"/>
      <c r="K104"/>
      <c r="L104"/>
      <c r="M104"/>
    </row>
    <row r="105" spans="1:13" s="2" customFormat="1" x14ac:dyDescent="0.3">
      <c r="A105" s="1"/>
      <c r="B105" s="1"/>
      <c r="C105"/>
      <c r="D105" s="135" t="s">
        <v>11</v>
      </c>
      <c r="E105" s="136"/>
      <c r="F105" s="136"/>
      <c r="G105" s="137"/>
      <c r="H105"/>
      <c r="I105" s="15"/>
      <c r="J105" s="16" t="s">
        <v>12</v>
      </c>
      <c r="K105" s="16"/>
      <c r="L105" s="17"/>
      <c r="M105" s="3"/>
    </row>
    <row r="106" spans="1:13" s="2" customFormat="1" ht="28.95" x14ac:dyDescent="0.25">
      <c r="A106" s="18" t="s">
        <v>13</v>
      </c>
      <c r="B106" s="18" t="s">
        <v>14</v>
      </c>
      <c r="C106" s="19" t="s">
        <v>15</v>
      </c>
      <c r="D106" s="18" t="s">
        <v>16</v>
      </c>
      <c r="E106" s="20" t="s">
        <v>17</v>
      </c>
      <c r="F106" s="20" t="s">
        <v>18</v>
      </c>
      <c r="G106" s="18" t="s">
        <v>19</v>
      </c>
      <c r="H106" s="21"/>
      <c r="I106" s="22" t="s">
        <v>16</v>
      </c>
      <c r="J106" s="23" t="s">
        <v>20</v>
      </c>
      <c r="K106" s="23" t="s">
        <v>18</v>
      </c>
      <c r="L106" s="24" t="s">
        <v>19</v>
      </c>
      <c r="M106" s="18" t="s">
        <v>21</v>
      </c>
    </row>
    <row r="107" spans="1:13" s="2" customFormat="1" ht="26.4" x14ac:dyDescent="0.3">
      <c r="A107" s="25">
        <v>12</v>
      </c>
      <c r="B107" s="26">
        <v>1611</v>
      </c>
      <c r="C107" s="27" t="s">
        <v>22</v>
      </c>
      <c r="D107" s="32">
        <f>G17</f>
        <v>1085462.72</v>
      </c>
      <c r="E107" s="72">
        <v>54670.75</v>
      </c>
      <c r="F107" s="72"/>
      <c r="G107" s="29">
        <f>SUM(D107:F107)</f>
        <v>1140133.47</v>
      </c>
      <c r="H107" s="30"/>
      <c r="I107" s="31">
        <f>+L17</f>
        <v>-630087.06999999995</v>
      </c>
      <c r="J107" s="31">
        <v>-107453.90000000002</v>
      </c>
      <c r="K107" s="31">
        <v>0</v>
      </c>
      <c r="L107" s="29">
        <f>SUM(I107:K107)</f>
        <v>-737540.97</v>
      </c>
      <c r="M107" s="33">
        <f>+G107+L107</f>
        <v>402592.5</v>
      </c>
    </row>
    <row r="108" spans="1:13" s="2" customFormat="1" ht="26.4" x14ac:dyDescent="0.3">
      <c r="A108" s="25" t="s">
        <v>23</v>
      </c>
      <c r="B108" s="73">
        <v>1612</v>
      </c>
      <c r="C108" s="27" t="s">
        <v>24</v>
      </c>
      <c r="D108" s="32">
        <f t="shared" ref="D108:D144" si="4">G18</f>
        <v>42932.04</v>
      </c>
      <c r="E108" s="72">
        <v>947</v>
      </c>
      <c r="F108" s="72"/>
      <c r="G108" s="29">
        <f t="shared" ref="G108:G144" si="5">SUM(D108:F108)</f>
        <v>43879.040000000001</v>
      </c>
      <c r="H108" s="30"/>
      <c r="I108" s="31">
        <f t="shared" ref="I108:I146" si="6">+L18</f>
        <v>0</v>
      </c>
      <c r="J108" s="31">
        <v>0</v>
      </c>
      <c r="K108" s="31">
        <v>0</v>
      </c>
      <c r="L108" s="29">
        <f t="shared" ref="L108:L144" si="7">SUM(I108:K108)</f>
        <v>0</v>
      </c>
      <c r="M108" s="33">
        <f t="shared" ref="M108:M144" si="8">+G108+L108</f>
        <v>43879.040000000001</v>
      </c>
    </row>
    <row r="109" spans="1:13" s="2" customFormat="1" x14ac:dyDescent="0.3">
      <c r="A109" s="25" t="s">
        <v>25</v>
      </c>
      <c r="B109" s="73">
        <v>1805</v>
      </c>
      <c r="C109" s="35" t="s">
        <v>26</v>
      </c>
      <c r="D109" s="32">
        <f t="shared" si="4"/>
        <v>103344.08</v>
      </c>
      <c r="E109" s="72">
        <v>695</v>
      </c>
      <c r="F109" s="72"/>
      <c r="G109" s="29">
        <f t="shared" si="5"/>
        <v>104039.08</v>
      </c>
      <c r="H109" s="30"/>
      <c r="I109" s="31">
        <f t="shared" si="6"/>
        <v>0</v>
      </c>
      <c r="J109" s="31">
        <v>0</v>
      </c>
      <c r="K109" s="31">
        <v>0</v>
      </c>
      <c r="L109" s="29">
        <f t="shared" si="7"/>
        <v>0</v>
      </c>
      <c r="M109" s="33">
        <f t="shared" si="8"/>
        <v>104039.08</v>
      </c>
    </row>
    <row r="110" spans="1:13" s="2" customFormat="1" x14ac:dyDescent="0.3">
      <c r="A110" s="25">
        <v>47</v>
      </c>
      <c r="B110" s="73">
        <v>1808</v>
      </c>
      <c r="C110" s="36" t="s">
        <v>27</v>
      </c>
      <c r="D110" s="32">
        <f t="shared" si="4"/>
        <v>195950.97</v>
      </c>
      <c r="E110" s="72">
        <v>24917.26</v>
      </c>
      <c r="F110" s="72"/>
      <c r="G110" s="29">
        <f t="shared" si="5"/>
        <v>220868.23</v>
      </c>
      <c r="H110" s="30"/>
      <c r="I110" s="31">
        <f t="shared" si="6"/>
        <v>-71326.63</v>
      </c>
      <c r="J110" s="31">
        <v>-3747.429999999993</v>
      </c>
      <c r="K110" s="31">
        <v>0</v>
      </c>
      <c r="L110" s="29">
        <f t="shared" si="7"/>
        <v>-75074.06</v>
      </c>
      <c r="M110" s="33">
        <f t="shared" si="8"/>
        <v>145794.17000000001</v>
      </c>
    </row>
    <row r="111" spans="1:13" s="2" customFormat="1" x14ac:dyDescent="0.3">
      <c r="A111" s="25">
        <v>13</v>
      </c>
      <c r="B111" s="34">
        <v>1810</v>
      </c>
      <c r="C111" s="36" t="s">
        <v>28</v>
      </c>
      <c r="D111" s="32">
        <f t="shared" si="4"/>
        <v>0</v>
      </c>
      <c r="E111" s="72"/>
      <c r="F111" s="72"/>
      <c r="G111" s="29">
        <f t="shared" si="5"/>
        <v>0</v>
      </c>
      <c r="H111" s="30"/>
      <c r="I111" s="31">
        <f t="shared" si="6"/>
        <v>0</v>
      </c>
      <c r="J111" s="31">
        <v>0</v>
      </c>
      <c r="K111" s="31">
        <v>0</v>
      </c>
      <c r="L111" s="29">
        <f t="shared" si="7"/>
        <v>0</v>
      </c>
      <c r="M111" s="33">
        <f t="shared" si="8"/>
        <v>0</v>
      </c>
    </row>
    <row r="112" spans="1:13" s="2" customFormat="1" x14ac:dyDescent="0.3">
      <c r="A112" s="25">
        <v>47</v>
      </c>
      <c r="B112" s="34">
        <v>1815</v>
      </c>
      <c r="C112" s="36" t="s">
        <v>29</v>
      </c>
      <c r="D112" s="32">
        <f t="shared" si="4"/>
        <v>0</v>
      </c>
      <c r="E112" s="72"/>
      <c r="F112" s="72"/>
      <c r="G112" s="29">
        <f t="shared" si="5"/>
        <v>0</v>
      </c>
      <c r="H112" s="30"/>
      <c r="I112" s="31">
        <f t="shared" si="6"/>
        <v>0</v>
      </c>
      <c r="J112" s="31">
        <v>0</v>
      </c>
      <c r="K112" s="31">
        <v>0</v>
      </c>
      <c r="L112" s="29">
        <f t="shared" si="7"/>
        <v>0</v>
      </c>
      <c r="M112" s="33">
        <f t="shared" si="8"/>
        <v>0</v>
      </c>
    </row>
    <row r="113" spans="1:13" s="2" customFormat="1" x14ac:dyDescent="0.3">
      <c r="A113" s="25">
        <v>47</v>
      </c>
      <c r="B113" s="34">
        <v>1820</v>
      </c>
      <c r="C113" s="27" t="s">
        <v>30</v>
      </c>
      <c r="D113" s="32">
        <f t="shared" si="4"/>
        <v>604688.71</v>
      </c>
      <c r="E113" s="72">
        <v>12875</v>
      </c>
      <c r="F113" s="72"/>
      <c r="G113" s="29">
        <f t="shared" si="5"/>
        <v>617563.71</v>
      </c>
      <c r="H113" s="30"/>
      <c r="I113" s="31">
        <f t="shared" si="6"/>
        <v>-187749.95</v>
      </c>
      <c r="J113" s="31">
        <v>-10484.459999999992</v>
      </c>
      <c r="K113" s="31">
        <v>0</v>
      </c>
      <c r="L113" s="29">
        <f t="shared" si="7"/>
        <v>-198234.41</v>
      </c>
      <c r="M113" s="33">
        <f t="shared" si="8"/>
        <v>419329.29999999993</v>
      </c>
    </row>
    <row r="114" spans="1:13" s="2" customFormat="1" x14ac:dyDescent="0.3">
      <c r="A114" s="25">
        <v>47</v>
      </c>
      <c r="B114" s="34">
        <v>1825</v>
      </c>
      <c r="C114" s="36" t="s">
        <v>31</v>
      </c>
      <c r="D114" s="32">
        <f t="shared" si="4"/>
        <v>0</v>
      </c>
      <c r="E114" s="72"/>
      <c r="F114" s="72"/>
      <c r="G114" s="29">
        <f t="shared" si="5"/>
        <v>0</v>
      </c>
      <c r="H114" s="30"/>
      <c r="I114" s="31">
        <f t="shared" si="6"/>
        <v>0</v>
      </c>
      <c r="J114" s="31">
        <v>0</v>
      </c>
      <c r="K114" s="31">
        <v>0</v>
      </c>
      <c r="L114" s="29">
        <f t="shared" si="7"/>
        <v>0</v>
      </c>
      <c r="M114" s="33">
        <f t="shared" si="8"/>
        <v>0</v>
      </c>
    </row>
    <row r="115" spans="1:13" s="2" customFormat="1" x14ac:dyDescent="0.3">
      <c r="A115" s="25">
        <v>47</v>
      </c>
      <c r="B115" s="34">
        <v>1830</v>
      </c>
      <c r="C115" s="36" t="s">
        <v>32</v>
      </c>
      <c r="D115" s="32">
        <f t="shared" si="4"/>
        <v>6051734.2299999995</v>
      </c>
      <c r="E115" s="72">
        <v>471688.41</v>
      </c>
      <c r="F115" s="72"/>
      <c r="G115" s="29">
        <f t="shared" si="5"/>
        <v>6523422.6399999997</v>
      </c>
      <c r="H115" s="30"/>
      <c r="I115" s="31">
        <f t="shared" si="6"/>
        <v>-2426443.2000000002</v>
      </c>
      <c r="J115" s="31">
        <v>-118541.81999999983</v>
      </c>
      <c r="K115" s="31">
        <v>0</v>
      </c>
      <c r="L115" s="29">
        <f t="shared" si="7"/>
        <v>-2544985.02</v>
      </c>
      <c r="M115" s="33">
        <f t="shared" si="8"/>
        <v>3978437.6199999996</v>
      </c>
    </row>
    <row r="116" spans="1:13" s="2" customFormat="1" x14ac:dyDescent="0.3">
      <c r="A116" s="25">
        <v>47</v>
      </c>
      <c r="B116" s="34">
        <v>1835</v>
      </c>
      <c r="C116" s="36" t="s">
        <v>33</v>
      </c>
      <c r="D116" s="32">
        <f t="shared" si="4"/>
        <v>11314398.559999999</v>
      </c>
      <c r="E116" s="72">
        <v>700608.48</v>
      </c>
      <c r="F116" s="72"/>
      <c r="G116" s="29">
        <f t="shared" si="5"/>
        <v>12015007.039999999</v>
      </c>
      <c r="H116" s="30"/>
      <c r="I116" s="31">
        <f t="shared" si="6"/>
        <v>-7340455.6299999999</v>
      </c>
      <c r="J116" s="31">
        <v>-194411.70999999996</v>
      </c>
      <c r="K116" s="32">
        <v>499791</v>
      </c>
      <c r="L116" s="29">
        <f t="shared" si="7"/>
        <v>-7035076.3399999999</v>
      </c>
      <c r="M116" s="33">
        <f t="shared" si="8"/>
        <v>4979930.6999999993</v>
      </c>
    </row>
    <row r="117" spans="1:13" s="2" customFormat="1" x14ac:dyDescent="0.3">
      <c r="A117" s="25">
        <v>47</v>
      </c>
      <c r="B117" s="34">
        <v>1840</v>
      </c>
      <c r="C117" s="36" t="s">
        <v>34</v>
      </c>
      <c r="D117" s="32">
        <f t="shared" si="4"/>
        <v>2687172.22</v>
      </c>
      <c r="E117" s="72">
        <v>30269.8</v>
      </c>
      <c r="F117" s="72"/>
      <c r="G117" s="29">
        <f t="shared" si="5"/>
        <v>2717442.02</v>
      </c>
      <c r="H117" s="30"/>
      <c r="I117" s="31">
        <f t="shared" si="6"/>
        <v>-289607.53000000003</v>
      </c>
      <c r="J117" s="31">
        <v>-65746.189999999944</v>
      </c>
      <c r="K117" s="31">
        <v>0</v>
      </c>
      <c r="L117" s="29">
        <f t="shared" si="7"/>
        <v>-355353.72</v>
      </c>
      <c r="M117" s="33">
        <f t="shared" si="8"/>
        <v>2362088.2999999998</v>
      </c>
    </row>
    <row r="118" spans="1:13" s="2" customFormat="1" x14ac:dyDescent="0.3">
      <c r="A118" s="25">
        <v>47</v>
      </c>
      <c r="B118" s="34">
        <v>1845</v>
      </c>
      <c r="C118" s="36" t="s">
        <v>35</v>
      </c>
      <c r="D118" s="32">
        <f t="shared" si="4"/>
        <v>5677682.96</v>
      </c>
      <c r="E118" s="72">
        <v>344472.73</v>
      </c>
      <c r="F118" s="72"/>
      <c r="G118" s="29">
        <f t="shared" si="5"/>
        <v>6022155.6899999995</v>
      </c>
      <c r="H118" s="30"/>
      <c r="I118" s="31">
        <f t="shared" si="6"/>
        <v>-805638.42</v>
      </c>
      <c r="J118" s="31">
        <v>-148259.65999999992</v>
      </c>
      <c r="K118" s="31">
        <v>0</v>
      </c>
      <c r="L118" s="29">
        <f t="shared" si="7"/>
        <v>-953898.08</v>
      </c>
      <c r="M118" s="33">
        <f t="shared" si="8"/>
        <v>5068257.6099999994</v>
      </c>
    </row>
    <row r="119" spans="1:13" s="2" customFormat="1" x14ac:dyDescent="0.3">
      <c r="A119" s="25">
        <v>47</v>
      </c>
      <c r="B119" s="34">
        <v>1850</v>
      </c>
      <c r="C119" s="36" t="s">
        <v>36</v>
      </c>
      <c r="D119" s="32">
        <f t="shared" si="4"/>
        <v>7280069.7399999993</v>
      </c>
      <c r="E119" s="72">
        <v>604927.6</v>
      </c>
      <c r="F119" s="72">
        <v>-110118</v>
      </c>
      <c r="G119" s="29">
        <f t="shared" si="5"/>
        <v>7774879.3399999989</v>
      </c>
      <c r="H119" s="30"/>
      <c r="I119" s="31">
        <f t="shared" si="6"/>
        <v>-1226137.47</v>
      </c>
      <c r="J119" s="31">
        <v>-151650.67999999993</v>
      </c>
      <c r="K119" s="31">
        <v>110118</v>
      </c>
      <c r="L119" s="29">
        <f t="shared" si="7"/>
        <v>-1267670.1499999999</v>
      </c>
      <c r="M119" s="33">
        <f t="shared" si="8"/>
        <v>6507209.1899999995</v>
      </c>
    </row>
    <row r="120" spans="1:13" s="2" customFormat="1" x14ac:dyDescent="0.3">
      <c r="A120" s="25">
        <v>47</v>
      </c>
      <c r="B120" s="34">
        <v>1855</v>
      </c>
      <c r="C120" s="36" t="s">
        <v>37</v>
      </c>
      <c r="D120" s="32">
        <f t="shared" si="4"/>
        <v>3903443.2900000005</v>
      </c>
      <c r="E120" s="72">
        <v>308079.99</v>
      </c>
      <c r="F120" s="72"/>
      <c r="G120" s="29">
        <f t="shared" si="5"/>
        <v>4211523.28</v>
      </c>
      <c r="H120" s="30"/>
      <c r="I120" s="31">
        <f t="shared" si="6"/>
        <v>-1418655.71</v>
      </c>
      <c r="J120" s="31">
        <v>-67624.720000000118</v>
      </c>
      <c r="K120" s="31">
        <v>0</v>
      </c>
      <c r="L120" s="29">
        <f t="shared" si="7"/>
        <v>-1486280.4300000002</v>
      </c>
      <c r="M120" s="33">
        <f t="shared" si="8"/>
        <v>2725242.85</v>
      </c>
    </row>
    <row r="121" spans="1:13" s="2" customFormat="1" x14ac:dyDescent="0.3">
      <c r="A121" s="25">
        <v>47</v>
      </c>
      <c r="B121" s="34">
        <v>1860</v>
      </c>
      <c r="C121" s="36" t="s">
        <v>38</v>
      </c>
      <c r="D121" s="32">
        <f t="shared" si="4"/>
        <v>2945678</v>
      </c>
      <c r="E121" s="72">
        <v>237156</v>
      </c>
      <c r="F121" s="72">
        <v>-1313442</v>
      </c>
      <c r="G121" s="28">
        <f t="shared" si="5"/>
        <v>1869392</v>
      </c>
      <c r="H121" s="30"/>
      <c r="I121" s="31">
        <f t="shared" si="6"/>
        <v>-470562.30000000005</v>
      </c>
      <c r="J121" s="31">
        <f>-310677.16-417194</f>
        <v>-727871.15999999992</v>
      </c>
      <c r="K121" s="31"/>
      <c r="L121" s="29">
        <f t="shared" si="7"/>
        <v>-1198433.46</v>
      </c>
      <c r="M121" s="33">
        <f t="shared" si="8"/>
        <v>670958.54</v>
      </c>
    </row>
    <row r="122" spans="1:13" s="2" customFormat="1" x14ac:dyDescent="0.3">
      <c r="A122" s="25">
        <v>47</v>
      </c>
      <c r="B122" s="34">
        <v>1860</v>
      </c>
      <c r="C122" s="35" t="s">
        <v>39</v>
      </c>
      <c r="D122" s="32">
        <f t="shared" si="4"/>
        <v>0</v>
      </c>
      <c r="E122" s="72">
        <v>2887735</v>
      </c>
      <c r="F122" s="72"/>
      <c r="G122" s="28">
        <f t="shared" si="5"/>
        <v>2887735</v>
      </c>
      <c r="H122" s="30"/>
      <c r="I122" s="31">
        <f t="shared" si="6"/>
        <v>0</v>
      </c>
      <c r="J122" s="31">
        <v>0</v>
      </c>
      <c r="K122" s="31">
        <v>0</v>
      </c>
      <c r="L122" s="29">
        <f t="shared" si="7"/>
        <v>0</v>
      </c>
      <c r="M122" s="33">
        <f t="shared" si="8"/>
        <v>2887735</v>
      </c>
    </row>
    <row r="123" spans="1:13" s="2" customFormat="1" x14ac:dyDescent="0.3">
      <c r="A123" s="25" t="s">
        <v>25</v>
      </c>
      <c r="B123" s="34">
        <v>1905</v>
      </c>
      <c r="C123" s="35" t="s">
        <v>26</v>
      </c>
      <c r="D123" s="32">
        <f t="shared" si="4"/>
        <v>0</v>
      </c>
      <c r="E123" s="72"/>
      <c r="F123" s="72"/>
      <c r="G123" s="29">
        <f t="shared" si="5"/>
        <v>0</v>
      </c>
      <c r="H123" s="30"/>
      <c r="I123" s="31">
        <f t="shared" si="6"/>
        <v>0</v>
      </c>
      <c r="J123" s="31">
        <v>0</v>
      </c>
      <c r="K123" s="31">
        <v>0</v>
      </c>
      <c r="L123" s="29">
        <f t="shared" si="7"/>
        <v>0</v>
      </c>
      <c r="M123" s="33">
        <f t="shared" si="8"/>
        <v>0</v>
      </c>
    </row>
    <row r="124" spans="1:13" s="2" customFormat="1" x14ac:dyDescent="0.3">
      <c r="A124" s="25">
        <v>47</v>
      </c>
      <c r="B124" s="34">
        <v>1908</v>
      </c>
      <c r="C124" s="36" t="s">
        <v>40</v>
      </c>
      <c r="D124" s="32">
        <f t="shared" si="4"/>
        <v>0</v>
      </c>
      <c r="E124" s="72"/>
      <c r="F124" s="72"/>
      <c r="G124" s="29">
        <f t="shared" si="5"/>
        <v>0</v>
      </c>
      <c r="H124" s="30"/>
      <c r="I124" s="31">
        <f t="shared" si="6"/>
        <v>0</v>
      </c>
      <c r="J124" s="31">
        <v>0</v>
      </c>
      <c r="K124" s="31">
        <v>0</v>
      </c>
      <c r="L124" s="29">
        <f t="shared" si="7"/>
        <v>0</v>
      </c>
      <c r="M124" s="33">
        <f t="shared" si="8"/>
        <v>0</v>
      </c>
    </row>
    <row r="125" spans="1:13" s="2" customFormat="1" x14ac:dyDescent="0.3">
      <c r="A125" s="25">
        <v>13</v>
      </c>
      <c r="B125" s="34">
        <v>1910</v>
      </c>
      <c r="C125" s="36" t="s">
        <v>28</v>
      </c>
      <c r="D125" s="32">
        <f t="shared" si="4"/>
        <v>187457.04</v>
      </c>
      <c r="E125" s="72">
        <v>53272.5</v>
      </c>
      <c r="F125" s="72"/>
      <c r="G125" s="29">
        <f t="shared" si="5"/>
        <v>240729.54</v>
      </c>
      <c r="H125" s="30"/>
      <c r="I125" s="31">
        <f t="shared" si="6"/>
        <v>-13198.16</v>
      </c>
      <c r="J125" s="31">
        <v>-3892.5999999999985</v>
      </c>
      <c r="K125" s="31">
        <v>0</v>
      </c>
      <c r="L125" s="29">
        <f t="shared" si="7"/>
        <v>-17090.759999999998</v>
      </c>
      <c r="M125" s="33">
        <f t="shared" si="8"/>
        <v>223638.78</v>
      </c>
    </row>
    <row r="126" spans="1:13" s="2" customFormat="1" x14ac:dyDescent="0.3">
      <c r="A126" s="25">
        <v>8</v>
      </c>
      <c r="B126" s="34">
        <v>1915</v>
      </c>
      <c r="C126" s="36" t="s">
        <v>41</v>
      </c>
      <c r="D126" s="32">
        <f t="shared" si="4"/>
        <v>86363.57</v>
      </c>
      <c r="E126" s="72">
        <v>3059.23</v>
      </c>
      <c r="F126" s="72"/>
      <c r="G126" s="29">
        <f t="shared" si="5"/>
        <v>89422.8</v>
      </c>
      <c r="H126" s="30"/>
      <c r="I126" s="31">
        <f t="shared" si="6"/>
        <v>-63198.229999999996</v>
      </c>
      <c r="J126" s="31">
        <v>-5093.2200000000012</v>
      </c>
      <c r="K126" s="31">
        <v>0</v>
      </c>
      <c r="L126" s="29">
        <f t="shared" si="7"/>
        <v>-68291.45</v>
      </c>
      <c r="M126" s="33">
        <f t="shared" si="8"/>
        <v>21131.350000000006</v>
      </c>
    </row>
    <row r="127" spans="1:13" s="2" customFormat="1" x14ac:dyDescent="0.3">
      <c r="A127" s="25">
        <v>8</v>
      </c>
      <c r="B127" s="34">
        <v>1915</v>
      </c>
      <c r="C127" s="36" t="s">
        <v>42</v>
      </c>
      <c r="D127" s="32">
        <f t="shared" si="4"/>
        <v>0</v>
      </c>
      <c r="E127" s="72"/>
      <c r="F127" s="72"/>
      <c r="G127" s="29">
        <f t="shared" si="5"/>
        <v>0</v>
      </c>
      <c r="H127" s="30"/>
      <c r="I127" s="31">
        <f t="shared" si="6"/>
        <v>0</v>
      </c>
      <c r="J127" s="31">
        <v>0</v>
      </c>
      <c r="K127" s="31">
        <v>0</v>
      </c>
      <c r="L127" s="29">
        <f t="shared" si="7"/>
        <v>0</v>
      </c>
      <c r="M127" s="33">
        <f t="shared" si="8"/>
        <v>0</v>
      </c>
    </row>
    <row r="128" spans="1:13" s="2" customFormat="1" x14ac:dyDescent="0.3">
      <c r="A128" s="25">
        <v>10</v>
      </c>
      <c r="B128" s="34">
        <v>1920</v>
      </c>
      <c r="C128" s="36" t="s">
        <v>43</v>
      </c>
      <c r="D128" s="32">
        <f t="shared" si="4"/>
        <v>97941</v>
      </c>
      <c r="E128" s="72"/>
      <c r="F128" s="72"/>
      <c r="G128" s="29">
        <f t="shared" si="5"/>
        <v>97941</v>
      </c>
      <c r="H128" s="30"/>
      <c r="I128" s="31">
        <f t="shared" si="6"/>
        <v>-97941</v>
      </c>
      <c r="J128" s="31">
        <v>0</v>
      </c>
      <c r="K128" s="31">
        <v>0</v>
      </c>
      <c r="L128" s="29">
        <f t="shared" si="7"/>
        <v>-97941</v>
      </c>
      <c r="M128" s="33">
        <f t="shared" si="8"/>
        <v>0</v>
      </c>
    </row>
    <row r="129" spans="1:13" s="2" customFormat="1" ht="26.4" x14ac:dyDescent="0.3">
      <c r="A129" s="25">
        <v>45</v>
      </c>
      <c r="B129" s="38">
        <v>1920</v>
      </c>
      <c r="C129" s="27" t="s">
        <v>44</v>
      </c>
      <c r="D129" s="32">
        <f t="shared" si="4"/>
        <v>3892</v>
      </c>
      <c r="E129" s="72"/>
      <c r="F129" s="72"/>
      <c r="G129" s="29">
        <f t="shared" si="5"/>
        <v>3892</v>
      </c>
      <c r="H129" s="30"/>
      <c r="I129" s="31">
        <f t="shared" si="6"/>
        <v>-3892</v>
      </c>
      <c r="J129" s="31">
        <v>0</v>
      </c>
      <c r="K129" s="31">
        <v>0</v>
      </c>
      <c r="L129" s="29">
        <f t="shared" si="7"/>
        <v>-3892</v>
      </c>
      <c r="M129" s="33">
        <f t="shared" si="8"/>
        <v>0</v>
      </c>
    </row>
    <row r="130" spans="1:13" s="2" customFormat="1" ht="26.4" x14ac:dyDescent="0.3">
      <c r="A130" s="25">
        <v>45.1</v>
      </c>
      <c r="B130" s="38">
        <v>1920</v>
      </c>
      <c r="C130" s="27" t="s">
        <v>45</v>
      </c>
      <c r="D130" s="32">
        <f t="shared" si="4"/>
        <v>45925</v>
      </c>
      <c r="E130" s="72">
        <v>57213.91</v>
      </c>
      <c r="F130" s="72"/>
      <c r="G130" s="29">
        <f t="shared" si="5"/>
        <v>103138.91</v>
      </c>
      <c r="H130" s="30"/>
      <c r="I130" s="31">
        <f t="shared" si="6"/>
        <v>-4593</v>
      </c>
      <c r="J130" s="31">
        <v>-14850.16</v>
      </c>
      <c r="K130" s="31">
        <v>0</v>
      </c>
      <c r="L130" s="29">
        <f t="shared" si="7"/>
        <v>-19443.16</v>
      </c>
      <c r="M130" s="33">
        <f t="shared" si="8"/>
        <v>83695.75</v>
      </c>
    </row>
    <row r="131" spans="1:13" s="2" customFormat="1" x14ac:dyDescent="0.3">
      <c r="A131" s="25">
        <v>10</v>
      </c>
      <c r="B131" s="26">
        <v>1930</v>
      </c>
      <c r="C131" s="36" t="s">
        <v>46</v>
      </c>
      <c r="D131" s="32">
        <f t="shared" si="4"/>
        <v>2671827.7200000007</v>
      </c>
      <c r="E131" s="72">
        <v>386631.99</v>
      </c>
      <c r="F131" s="72">
        <v>-46600</v>
      </c>
      <c r="G131" s="29">
        <f t="shared" si="5"/>
        <v>3011859.7100000009</v>
      </c>
      <c r="H131" s="30"/>
      <c r="I131" s="31">
        <f t="shared" si="6"/>
        <v>-1745872.5199999998</v>
      </c>
      <c r="J131" s="31">
        <v>-260859.20999999996</v>
      </c>
      <c r="K131" s="31">
        <v>46600</v>
      </c>
      <c r="L131" s="29">
        <f t="shared" si="7"/>
        <v>-1960131.7299999997</v>
      </c>
      <c r="M131" s="33">
        <f t="shared" si="8"/>
        <v>1051727.9800000011</v>
      </c>
    </row>
    <row r="132" spans="1:13" s="2" customFormat="1" x14ac:dyDescent="0.3">
      <c r="A132" s="25">
        <v>8</v>
      </c>
      <c r="B132" s="26">
        <v>1935</v>
      </c>
      <c r="C132" s="36" t="s">
        <v>47</v>
      </c>
      <c r="D132" s="32">
        <f t="shared" si="4"/>
        <v>0</v>
      </c>
      <c r="E132" s="72"/>
      <c r="F132" s="72"/>
      <c r="G132" s="29">
        <f t="shared" si="5"/>
        <v>0</v>
      </c>
      <c r="H132" s="30"/>
      <c r="I132" s="31">
        <f t="shared" si="6"/>
        <v>0</v>
      </c>
      <c r="J132" s="31">
        <v>0</v>
      </c>
      <c r="K132" s="31">
        <v>0</v>
      </c>
      <c r="L132" s="29">
        <f t="shared" si="7"/>
        <v>0</v>
      </c>
      <c r="M132" s="33">
        <f t="shared" si="8"/>
        <v>0</v>
      </c>
    </row>
    <row r="133" spans="1:13" s="2" customFormat="1" x14ac:dyDescent="0.3">
      <c r="A133" s="25">
        <v>8</v>
      </c>
      <c r="B133" s="26">
        <v>1940</v>
      </c>
      <c r="C133" s="36" t="s">
        <v>48</v>
      </c>
      <c r="D133" s="32">
        <f t="shared" si="4"/>
        <v>175797.59</v>
      </c>
      <c r="E133" s="72">
        <v>16441.830000000002</v>
      </c>
      <c r="F133" s="72"/>
      <c r="G133" s="29">
        <f t="shared" si="5"/>
        <v>192239.41999999998</v>
      </c>
      <c r="H133" s="30"/>
      <c r="I133" s="31">
        <f t="shared" si="6"/>
        <v>-95858</v>
      </c>
      <c r="J133" s="31">
        <v>-21830.309999999998</v>
      </c>
      <c r="K133" s="31">
        <v>0</v>
      </c>
      <c r="L133" s="29">
        <f t="shared" si="7"/>
        <v>-117688.31</v>
      </c>
      <c r="M133" s="33">
        <f t="shared" si="8"/>
        <v>74551.109999999986</v>
      </c>
    </row>
    <row r="134" spans="1:13" s="2" customFormat="1" x14ac:dyDescent="0.3">
      <c r="A134" s="25">
        <v>8</v>
      </c>
      <c r="B134" s="26">
        <v>1945</v>
      </c>
      <c r="C134" s="36" t="s">
        <v>49</v>
      </c>
      <c r="D134" s="32">
        <f t="shared" si="4"/>
        <v>14462.12</v>
      </c>
      <c r="E134" s="72"/>
      <c r="F134" s="72"/>
      <c r="G134" s="29">
        <f t="shared" si="5"/>
        <v>14462.12</v>
      </c>
      <c r="H134" s="30"/>
      <c r="I134" s="31">
        <f t="shared" si="6"/>
        <v>-3461</v>
      </c>
      <c r="J134" s="31">
        <v>-1807.9799999999996</v>
      </c>
      <c r="K134" s="31">
        <v>0</v>
      </c>
      <c r="L134" s="29">
        <f t="shared" si="7"/>
        <v>-5268.98</v>
      </c>
      <c r="M134" s="33">
        <f t="shared" si="8"/>
        <v>9193.1400000000012</v>
      </c>
    </row>
    <row r="135" spans="1:13" s="2" customFormat="1" x14ac:dyDescent="0.3">
      <c r="A135" s="25">
        <v>8</v>
      </c>
      <c r="B135" s="26">
        <v>1950</v>
      </c>
      <c r="C135" s="36" t="s">
        <v>50</v>
      </c>
      <c r="D135" s="32">
        <f t="shared" si="4"/>
        <v>64090.6</v>
      </c>
      <c r="E135" s="72"/>
      <c r="F135" s="72"/>
      <c r="G135" s="29">
        <f t="shared" si="5"/>
        <v>64090.6</v>
      </c>
      <c r="H135" s="30"/>
      <c r="I135" s="31">
        <f t="shared" si="6"/>
        <v>-12197</v>
      </c>
      <c r="J135" s="31">
        <v>-8011.7799999999988</v>
      </c>
      <c r="K135" s="31">
        <v>0</v>
      </c>
      <c r="L135" s="29">
        <f t="shared" si="7"/>
        <v>-20208.78</v>
      </c>
      <c r="M135" s="33">
        <f t="shared" si="8"/>
        <v>43881.82</v>
      </c>
    </row>
    <row r="136" spans="1:13" s="2" customFormat="1" x14ac:dyDescent="0.3">
      <c r="A136" s="25">
        <v>8</v>
      </c>
      <c r="B136" s="26">
        <v>1955</v>
      </c>
      <c r="C136" s="36" t="s">
        <v>51</v>
      </c>
      <c r="D136" s="32">
        <f t="shared" si="4"/>
        <v>0</v>
      </c>
      <c r="E136" s="72"/>
      <c r="F136" s="72"/>
      <c r="G136" s="29">
        <f t="shared" si="5"/>
        <v>0</v>
      </c>
      <c r="H136" s="30"/>
      <c r="I136" s="31">
        <f t="shared" si="6"/>
        <v>0</v>
      </c>
      <c r="J136" s="31">
        <v>0</v>
      </c>
      <c r="K136" s="31">
        <v>0</v>
      </c>
      <c r="L136" s="29">
        <f t="shared" si="7"/>
        <v>0</v>
      </c>
      <c r="M136" s="33">
        <f t="shared" si="8"/>
        <v>0</v>
      </c>
    </row>
    <row r="137" spans="1:13" s="2" customFormat="1" x14ac:dyDescent="0.3">
      <c r="A137" s="40">
        <v>8</v>
      </c>
      <c r="B137" s="38">
        <v>1955</v>
      </c>
      <c r="C137" s="41" t="s">
        <v>52</v>
      </c>
      <c r="D137" s="32">
        <f t="shared" si="4"/>
        <v>0</v>
      </c>
      <c r="E137" s="72"/>
      <c r="F137" s="72"/>
      <c r="G137" s="29">
        <f t="shared" si="5"/>
        <v>0</v>
      </c>
      <c r="H137" s="30"/>
      <c r="I137" s="31">
        <f t="shared" si="6"/>
        <v>0</v>
      </c>
      <c r="J137" s="31">
        <v>0</v>
      </c>
      <c r="K137" s="31">
        <v>0</v>
      </c>
      <c r="L137" s="29">
        <f t="shared" si="7"/>
        <v>0</v>
      </c>
      <c r="M137" s="33">
        <f t="shared" si="8"/>
        <v>0</v>
      </c>
    </row>
    <row r="138" spans="1:13" s="2" customFormat="1" x14ac:dyDescent="0.3">
      <c r="A138" s="40">
        <v>8</v>
      </c>
      <c r="B138" s="42">
        <v>1960</v>
      </c>
      <c r="C138" s="27" t="s">
        <v>53</v>
      </c>
      <c r="D138" s="32">
        <f t="shared" si="4"/>
        <v>0</v>
      </c>
      <c r="E138" s="72"/>
      <c r="F138" s="72"/>
      <c r="G138" s="29">
        <f t="shared" si="5"/>
        <v>0</v>
      </c>
      <c r="H138" s="30"/>
      <c r="I138" s="31">
        <f t="shared" si="6"/>
        <v>0</v>
      </c>
      <c r="J138" s="31">
        <v>0</v>
      </c>
      <c r="K138" s="31">
        <v>0</v>
      </c>
      <c r="L138" s="29">
        <f t="shared" si="7"/>
        <v>0</v>
      </c>
      <c r="M138" s="33">
        <f t="shared" si="8"/>
        <v>0</v>
      </c>
    </row>
    <row r="139" spans="1:13" s="2" customFormat="1" ht="26.4" x14ac:dyDescent="0.3">
      <c r="A139" s="43">
        <v>47</v>
      </c>
      <c r="B139" s="42">
        <v>1970</v>
      </c>
      <c r="C139" s="36" t="s">
        <v>54</v>
      </c>
      <c r="D139" s="32">
        <f t="shared" si="4"/>
        <v>0</v>
      </c>
      <c r="E139" s="72"/>
      <c r="F139" s="72"/>
      <c r="G139" s="29">
        <f t="shared" si="5"/>
        <v>0</v>
      </c>
      <c r="H139" s="30"/>
      <c r="I139" s="31">
        <f t="shared" si="6"/>
        <v>0</v>
      </c>
      <c r="J139" s="31">
        <v>0</v>
      </c>
      <c r="K139" s="31">
        <v>0</v>
      </c>
      <c r="L139" s="29">
        <f t="shared" si="7"/>
        <v>0</v>
      </c>
      <c r="M139" s="33">
        <f t="shared" si="8"/>
        <v>0</v>
      </c>
    </row>
    <row r="140" spans="1:13" s="2" customFormat="1" x14ac:dyDescent="0.3">
      <c r="A140" s="25">
        <v>47</v>
      </c>
      <c r="B140" s="26">
        <v>1975</v>
      </c>
      <c r="C140" s="36" t="s">
        <v>55</v>
      </c>
      <c r="D140" s="32">
        <f t="shared" si="4"/>
        <v>0</v>
      </c>
      <c r="E140" s="72"/>
      <c r="F140" s="72"/>
      <c r="G140" s="29">
        <f t="shared" si="5"/>
        <v>0</v>
      </c>
      <c r="H140" s="30"/>
      <c r="I140" s="31">
        <f t="shared" si="6"/>
        <v>0</v>
      </c>
      <c r="J140" s="31">
        <v>0</v>
      </c>
      <c r="K140" s="31">
        <v>0</v>
      </c>
      <c r="L140" s="29">
        <f t="shared" si="7"/>
        <v>0</v>
      </c>
      <c r="M140" s="33">
        <f t="shared" si="8"/>
        <v>0</v>
      </c>
    </row>
    <row r="141" spans="1:13" s="2" customFormat="1" x14ac:dyDescent="0.3">
      <c r="A141" s="25">
        <v>47</v>
      </c>
      <c r="B141" s="26">
        <v>1980</v>
      </c>
      <c r="C141" s="36" t="s">
        <v>56</v>
      </c>
      <c r="D141" s="32">
        <f t="shared" si="4"/>
        <v>213964.79</v>
      </c>
      <c r="E141" s="72">
        <v>42215.85</v>
      </c>
      <c r="F141" s="72"/>
      <c r="G141" s="29">
        <f t="shared" si="5"/>
        <v>256180.64</v>
      </c>
      <c r="H141" s="30"/>
      <c r="I141" s="31">
        <f t="shared" si="6"/>
        <v>-10698</v>
      </c>
      <c r="J141" s="31">
        <v>-47014.75</v>
      </c>
      <c r="K141" s="31">
        <v>0</v>
      </c>
      <c r="L141" s="29">
        <f t="shared" si="7"/>
        <v>-57712.75</v>
      </c>
      <c r="M141" s="33">
        <f t="shared" si="8"/>
        <v>198467.89</v>
      </c>
    </row>
    <row r="142" spans="1:13" s="2" customFormat="1" x14ac:dyDescent="0.3">
      <c r="A142" s="25">
        <v>47</v>
      </c>
      <c r="B142" s="26">
        <v>1985</v>
      </c>
      <c r="C142" s="36" t="s">
        <v>57</v>
      </c>
      <c r="D142" s="32">
        <f t="shared" si="4"/>
        <v>0</v>
      </c>
      <c r="E142" s="72"/>
      <c r="F142" s="72"/>
      <c r="G142" s="29">
        <f t="shared" si="5"/>
        <v>0</v>
      </c>
      <c r="H142" s="30"/>
      <c r="I142" s="31">
        <f t="shared" si="6"/>
        <v>0</v>
      </c>
      <c r="J142" s="31">
        <v>0</v>
      </c>
      <c r="K142" s="31">
        <v>0</v>
      </c>
      <c r="L142" s="29">
        <f t="shared" si="7"/>
        <v>0</v>
      </c>
      <c r="M142" s="33">
        <f t="shared" si="8"/>
        <v>0</v>
      </c>
    </row>
    <row r="143" spans="1:13" s="2" customFormat="1" x14ac:dyDescent="0.3">
      <c r="A143" s="43">
        <v>47</v>
      </c>
      <c r="B143" s="26">
        <v>1990</v>
      </c>
      <c r="C143" s="45" t="s">
        <v>58</v>
      </c>
      <c r="D143" s="32">
        <f t="shared" si="4"/>
        <v>0</v>
      </c>
      <c r="E143" s="72"/>
      <c r="F143" s="72"/>
      <c r="G143" s="29">
        <f t="shared" si="5"/>
        <v>0</v>
      </c>
      <c r="H143" s="30"/>
      <c r="I143" s="31">
        <f t="shared" si="6"/>
        <v>0</v>
      </c>
      <c r="J143" s="31">
        <v>0</v>
      </c>
      <c r="K143" s="31">
        <v>0</v>
      </c>
      <c r="L143" s="29">
        <f t="shared" si="7"/>
        <v>0</v>
      </c>
      <c r="M143" s="33">
        <f t="shared" si="8"/>
        <v>0</v>
      </c>
    </row>
    <row r="144" spans="1:13" s="2" customFormat="1" x14ac:dyDescent="0.3">
      <c r="A144" s="25">
        <v>47</v>
      </c>
      <c r="B144" s="26">
        <v>1995</v>
      </c>
      <c r="C144" s="36" t="s">
        <v>59</v>
      </c>
      <c r="D144" s="32">
        <f t="shared" si="4"/>
        <v>-6089813.4900000002</v>
      </c>
      <c r="E144" s="72">
        <v>-700622</v>
      </c>
      <c r="F144" s="72"/>
      <c r="G144" s="29">
        <f t="shared" si="5"/>
        <v>-6790435.4900000002</v>
      </c>
      <c r="H144" s="30"/>
      <c r="I144" s="31">
        <f t="shared" si="6"/>
        <v>864386.08000000007</v>
      </c>
      <c r="J144" s="31">
        <v>106624.45999999996</v>
      </c>
      <c r="K144" s="31">
        <v>0</v>
      </c>
      <c r="L144" s="29">
        <f t="shared" si="7"/>
        <v>971010.54</v>
      </c>
      <c r="M144" s="33">
        <f t="shared" si="8"/>
        <v>-5819424.9500000002</v>
      </c>
    </row>
    <row r="145" spans="1:15" ht="15.6" x14ac:dyDescent="0.3">
      <c r="A145" s="25">
        <v>47</v>
      </c>
      <c r="B145" s="26">
        <v>2440</v>
      </c>
      <c r="C145" s="36" t="s">
        <v>60</v>
      </c>
      <c r="D145" s="32"/>
      <c r="E145" s="32"/>
      <c r="F145" s="32"/>
      <c r="G145" s="29"/>
      <c r="H145"/>
      <c r="I145" s="31">
        <f t="shared" si="6"/>
        <v>0</v>
      </c>
      <c r="J145" s="31">
        <v>0</v>
      </c>
      <c r="K145" s="31">
        <v>0</v>
      </c>
      <c r="L145" s="29">
        <v>0</v>
      </c>
      <c r="M145" s="33"/>
    </row>
    <row r="146" spans="1:15" x14ac:dyDescent="0.3">
      <c r="A146" s="46"/>
      <c r="B146" s="46"/>
      <c r="C146" s="47"/>
      <c r="D146" s="32"/>
      <c r="E146" s="48"/>
      <c r="F146" s="48"/>
      <c r="G146" s="29">
        <v>0</v>
      </c>
      <c r="H146"/>
      <c r="I146" s="31">
        <f t="shared" si="6"/>
        <v>0</v>
      </c>
      <c r="J146" s="31">
        <v>0</v>
      </c>
      <c r="K146" s="31">
        <v>0</v>
      </c>
      <c r="L146" s="29">
        <v>0</v>
      </c>
      <c r="M146" s="33">
        <v>0</v>
      </c>
    </row>
    <row r="147" spans="1:15" x14ac:dyDescent="0.3">
      <c r="A147" s="46"/>
      <c r="B147" s="46"/>
      <c r="C147" s="49" t="s">
        <v>61</v>
      </c>
      <c r="D147" s="50">
        <f>SUM(D107:D146)</f>
        <v>39364465.459999993</v>
      </c>
      <c r="E147" s="50">
        <f t="shared" ref="E147:G147" si="9">SUM(E107:E146)</f>
        <v>5537256.3300000001</v>
      </c>
      <c r="F147" s="50">
        <f t="shared" si="9"/>
        <v>-1470160</v>
      </c>
      <c r="G147" s="50">
        <f t="shared" si="9"/>
        <v>43431561.789999992</v>
      </c>
      <c r="H147" s="50"/>
      <c r="I147" s="50">
        <f>SUM(I107:I146)</f>
        <v>-16053186.74</v>
      </c>
      <c r="J147" s="50">
        <f t="shared" ref="J147:K147" si="10">SUM(J107:J146)</f>
        <v>-1852527.2799999996</v>
      </c>
      <c r="K147" s="50">
        <f t="shared" si="10"/>
        <v>656509</v>
      </c>
      <c r="L147" s="50">
        <f>SUM(L107:L146)</f>
        <v>-17249205.02</v>
      </c>
      <c r="M147" s="50">
        <f>SUM(M107:M146)</f>
        <v>26182356.770000003</v>
      </c>
    </row>
    <row r="148" spans="1:15" ht="26.4" x14ac:dyDescent="0.3">
      <c r="A148" s="46"/>
      <c r="B148" s="46"/>
      <c r="C148" s="51" t="s">
        <v>62</v>
      </c>
      <c r="D148" s="48"/>
      <c r="E148" s="48"/>
      <c r="F148" s="48"/>
      <c r="G148" s="29">
        <v>0</v>
      </c>
      <c r="H148"/>
      <c r="I148" s="48"/>
      <c r="J148" s="48"/>
      <c r="K148" s="48"/>
      <c r="L148" s="29">
        <v>0</v>
      </c>
      <c r="M148" s="33">
        <v>0</v>
      </c>
    </row>
    <row r="149" spans="1:15" ht="26.4" x14ac:dyDescent="0.3">
      <c r="A149" s="46"/>
      <c r="B149" s="46"/>
      <c r="C149" s="52" t="s">
        <v>63</v>
      </c>
      <c r="D149" s="48"/>
      <c r="E149" s="48"/>
      <c r="F149" s="48"/>
      <c r="G149" s="29">
        <v>0</v>
      </c>
      <c r="H149"/>
      <c r="I149" s="48"/>
      <c r="J149" s="48"/>
      <c r="K149" s="48"/>
      <c r="L149" s="29">
        <v>0</v>
      </c>
      <c r="M149" s="33">
        <v>0</v>
      </c>
      <c r="N149" s="161"/>
    </row>
    <row r="150" spans="1:15" x14ac:dyDescent="0.3">
      <c r="A150" s="46"/>
      <c r="B150" s="46"/>
      <c r="C150" s="49" t="s">
        <v>65</v>
      </c>
      <c r="D150" s="50">
        <f>SUM(D147:D149)</f>
        <v>39364465.459999993</v>
      </c>
      <c r="E150" s="50">
        <f t="shared" ref="E150:G150" si="11">SUM(E147:E149)</f>
        <v>5537256.3300000001</v>
      </c>
      <c r="F150" s="50">
        <f t="shared" si="11"/>
        <v>-1470160</v>
      </c>
      <c r="G150" s="50">
        <f t="shared" si="11"/>
        <v>43431561.789999992</v>
      </c>
      <c r="H150" s="50"/>
      <c r="I150" s="50">
        <f t="shared" ref="I150:L150" si="12">SUM(I147:I149)</f>
        <v>-16053186.74</v>
      </c>
      <c r="J150" s="50">
        <f t="shared" si="12"/>
        <v>-1852527.2799999996</v>
      </c>
      <c r="K150" s="50">
        <f t="shared" si="12"/>
        <v>656509</v>
      </c>
      <c r="L150" s="50">
        <f t="shared" si="12"/>
        <v>-17249205.02</v>
      </c>
      <c r="M150" s="50">
        <f>SUM(M147:M149)</f>
        <v>26182356.770000003</v>
      </c>
      <c r="N150" s="164"/>
      <c r="O150" s="53"/>
    </row>
    <row r="151" spans="1:15" ht="16.2" x14ac:dyDescent="0.3">
      <c r="A151" s="46"/>
      <c r="B151" s="46"/>
      <c r="C151" s="139" t="s">
        <v>66</v>
      </c>
      <c r="D151" s="140"/>
      <c r="E151" s="140"/>
      <c r="F151" s="140"/>
      <c r="G151" s="140"/>
      <c r="H151" s="140"/>
      <c r="I151" s="141"/>
      <c r="J151" s="48"/>
      <c r="K151" s="54"/>
      <c r="L151" s="55"/>
      <c r="M151" s="56"/>
    </row>
    <row r="152" spans="1:15" x14ac:dyDescent="0.3">
      <c r="A152" s="46"/>
      <c r="B152" s="46"/>
      <c r="C152" s="139" t="s">
        <v>67</v>
      </c>
      <c r="D152" s="140"/>
      <c r="E152" s="140"/>
      <c r="F152" s="140"/>
      <c r="G152" s="140"/>
      <c r="H152" s="140"/>
      <c r="I152" s="141"/>
      <c r="J152" s="50">
        <v>-1435333.2799999998</v>
      </c>
      <c r="K152" s="54"/>
      <c r="L152" s="55"/>
      <c r="M152" s="56"/>
    </row>
    <row r="153" spans="1:15" x14ac:dyDescent="0.3">
      <c r="C153"/>
      <c r="D153" s="74">
        <f>D150-G60</f>
        <v>0</v>
      </c>
      <c r="E153" s="74"/>
      <c r="F153" s="74"/>
      <c r="G153" s="74"/>
      <c r="H153" s="75"/>
      <c r="I153" s="74"/>
      <c r="J153" s="74"/>
      <c r="K153" s="74"/>
      <c r="L153" s="76"/>
      <c r="M153" s="76"/>
    </row>
    <row r="154" spans="1:15" x14ac:dyDescent="0.3">
      <c r="C154"/>
      <c r="D154" s="77"/>
      <c r="E154"/>
      <c r="F154"/>
      <c r="G154"/>
      <c r="H154"/>
      <c r="I154" s="58" t="s">
        <v>68</v>
      </c>
      <c r="J154" s="59"/>
      <c r="K154"/>
      <c r="L154"/>
      <c r="M154"/>
    </row>
    <row r="155" spans="1:15" x14ac:dyDescent="0.3">
      <c r="A155" s="46">
        <v>10</v>
      </c>
      <c r="B155" s="46"/>
      <c r="C155" s="47" t="s">
        <v>69</v>
      </c>
      <c r="D155"/>
      <c r="E155"/>
      <c r="F155"/>
      <c r="G155" s="77"/>
      <c r="H155"/>
      <c r="I155" s="59" t="s">
        <v>69</v>
      </c>
      <c r="J155" s="59"/>
      <c r="K155" s="60"/>
      <c r="L155" s="78"/>
      <c r="M155"/>
    </row>
    <row r="156" spans="1:15" x14ac:dyDescent="0.3">
      <c r="A156" s="46">
        <v>8</v>
      </c>
      <c r="B156" s="46"/>
      <c r="C156" s="47" t="s">
        <v>47</v>
      </c>
      <c r="D156"/>
      <c r="E156"/>
      <c r="F156"/>
      <c r="G156"/>
      <c r="H156"/>
      <c r="I156" s="59" t="s">
        <v>47</v>
      </c>
      <c r="J156" s="59"/>
      <c r="K156" s="61"/>
      <c r="L156" s="79"/>
      <c r="M156"/>
    </row>
    <row r="157" spans="1:15" x14ac:dyDescent="0.3">
      <c r="C157"/>
      <c r="D157" s="80"/>
      <c r="E157"/>
      <c r="F157"/>
      <c r="G157" s="77"/>
      <c r="H157"/>
      <c r="I157" s="62" t="s">
        <v>70</v>
      </c>
      <c r="J157"/>
      <c r="K157" s="63">
        <v>-1435333.2799999998</v>
      </c>
      <c r="L157"/>
      <c r="M157"/>
    </row>
    <row r="159" spans="1:15" x14ac:dyDescent="0.3">
      <c r="D159" s="57"/>
    </row>
    <row r="160" spans="1:15" x14ac:dyDescent="0.3">
      <c r="E160" s="57"/>
      <c r="I160" s="57"/>
    </row>
    <row r="164" spans="1:15" ht="13.2" x14ac:dyDescent="0.25">
      <c r="N164" s="2"/>
      <c r="O164" s="2"/>
    </row>
    <row r="165" spans="1:15" x14ac:dyDescent="0.3">
      <c r="C165"/>
      <c r="D165"/>
      <c r="E165"/>
      <c r="F165"/>
      <c r="G165"/>
      <c r="H165"/>
      <c r="I165"/>
      <c r="J165"/>
      <c r="K165"/>
      <c r="L165" s="68"/>
      <c r="M165" s="69"/>
      <c r="N165" s="2"/>
      <c r="O165" s="2"/>
    </row>
    <row r="166" spans="1:15" x14ac:dyDescent="0.3">
      <c r="C166"/>
      <c r="D166"/>
      <c r="E166"/>
      <c r="F166"/>
      <c r="G166"/>
      <c r="H166"/>
      <c r="I166"/>
      <c r="J166"/>
      <c r="K166"/>
      <c r="L166" s="68"/>
      <c r="M166" s="70"/>
      <c r="N166" s="2"/>
      <c r="O166" s="2"/>
    </row>
    <row r="167" spans="1:15" x14ac:dyDescent="0.3">
      <c r="C167"/>
      <c r="D167"/>
      <c r="E167"/>
      <c r="F167"/>
      <c r="G167"/>
      <c r="H167"/>
      <c r="I167"/>
      <c r="J167"/>
      <c r="K167"/>
      <c r="L167" s="68"/>
      <c r="M167" s="70"/>
      <c r="N167" s="2"/>
      <c r="O167" s="2"/>
    </row>
    <row r="168" spans="1:15" x14ac:dyDescent="0.3">
      <c r="C168"/>
      <c r="D168"/>
      <c r="E168"/>
      <c r="F168"/>
      <c r="G168"/>
      <c r="H168"/>
      <c r="I168"/>
      <c r="J168"/>
      <c r="K168"/>
      <c r="L168" s="68"/>
      <c r="M168" s="70"/>
      <c r="N168" s="2"/>
      <c r="O168" s="2"/>
    </row>
    <row r="169" spans="1:15" x14ac:dyDescent="0.3">
      <c r="C169"/>
      <c r="D169"/>
      <c r="E169"/>
      <c r="F169"/>
      <c r="G169"/>
      <c r="H169"/>
      <c r="I169"/>
      <c r="J169"/>
      <c r="K169"/>
      <c r="L169" s="68"/>
      <c r="M169" s="71"/>
      <c r="N169" s="2"/>
      <c r="O169" s="2"/>
    </row>
    <row r="170" spans="1:15" x14ac:dyDescent="0.3">
      <c r="C170"/>
      <c r="D170"/>
      <c r="E170"/>
      <c r="F170"/>
      <c r="G170"/>
      <c r="H170"/>
      <c r="I170"/>
      <c r="J170"/>
      <c r="K170"/>
      <c r="L170" s="68"/>
      <c r="M170" s="71"/>
      <c r="N170" s="2"/>
      <c r="O170" s="2"/>
    </row>
    <row r="171" spans="1:15" x14ac:dyDescent="0.3">
      <c r="C171"/>
      <c r="D171"/>
      <c r="E171"/>
      <c r="F171"/>
      <c r="G171"/>
      <c r="H171"/>
      <c r="I171"/>
      <c r="J171"/>
      <c r="K171"/>
      <c r="L171" s="68"/>
      <c r="M171" s="71"/>
      <c r="N171" s="2"/>
      <c r="O171" s="2"/>
    </row>
    <row r="172" spans="1:15" x14ac:dyDescent="0.3">
      <c r="C172"/>
      <c r="D172"/>
      <c r="E172"/>
      <c r="F172"/>
      <c r="G172"/>
      <c r="H172"/>
      <c r="I172"/>
      <c r="J172"/>
      <c r="K172"/>
      <c r="L172"/>
      <c r="M172"/>
      <c r="N172" s="2"/>
      <c r="O172" s="2"/>
    </row>
    <row r="173" spans="1:15" ht="17.399999999999999" x14ac:dyDescent="0.25">
      <c r="A173" s="138" t="s">
        <v>6</v>
      </c>
      <c r="B173" s="138"/>
      <c r="C173" s="138"/>
      <c r="D173" s="138"/>
      <c r="E173" s="138"/>
      <c r="F173" s="138"/>
      <c r="G173" s="138"/>
      <c r="H173" s="138"/>
      <c r="I173" s="138"/>
      <c r="J173" s="138"/>
      <c r="K173" s="138"/>
      <c r="L173" s="138"/>
      <c r="M173" s="138"/>
      <c r="N173" s="2"/>
      <c r="O173" s="2"/>
    </row>
    <row r="174" spans="1:15" ht="19.2" x14ac:dyDescent="0.25">
      <c r="A174" s="138" t="s">
        <v>7</v>
      </c>
      <c r="B174" s="138"/>
      <c r="C174" s="138"/>
      <c r="D174" s="138"/>
      <c r="E174" s="138"/>
      <c r="F174" s="138"/>
      <c r="G174" s="138"/>
      <c r="H174" s="138"/>
      <c r="I174" s="138"/>
      <c r="J174" s="138"/>
      <c r="K174" s="138"/>
      <c r="L174" s="138"/>
      <c r="M174" s="138"/>
      <c r="N174" s="2"/>
      <c r="O174" s="2"/>
    </row>
    <row r="175" spans="1:15" x14ac:dyDescent="0.3">
      <c r="C175"/>
      <c r="D175"/>
      <c r="E175"/>
      <c r="F175"/>
      <c r="G175"/>
      <c r="H175" s="2"/>
      <c r="I175"/>
      <c r="J175"/>
      <c r="K175"/>
      <c r="L175"/>
      <c r="M175"/>
      <c r="N175" s="2"/>
      <c r="O175" s="2"/>
    </row>
    <row r="176" spans="1:15" x14ac:dyDescent="0.3">
      <c r="C176"/>
      <c r="D176"/>
      <c r="E176" s="10" t="s">
        <v>8</v>
      </c>
      <c r="F176" s="11" t="s">
        <v>9</v>
      </c>
      <c r="G176" s="2" t="s">
        <v>78</v>
      </c>
      <c r="H176" s="2"/>
      <c r="I176"/>
      <c r="J176"/>
      <c r="K176"/>
      <c r="L176"/>
      <c r="M176"/>
      <c r="N176" s="2"/>
      <c r="O176" s="2"/>
    </row>
    <row r="177" spans="1:13" s="2" customFormat="1" x14ac:dyDescent="0.3">
      <c r="A177" s="1"/>
      <c r="B177" s="1"/>
      <c r="C177" s="12"/>
      <c r="D177"/>
      <c r="E177" s="10" t="s">
        <v>10</v>
      </c>
      <c r="F177" s="13">
        <v>2013</v>
      </c>
      <c r="G177" s="14"/>
      <c r="H177"/>
      <c r="I177"/>
      <c r="J177"/>
      <c r="K177"/>
      <c r="L177"/>
      <c r="M177"/>
    </row>
    <row r="178" spans="1:13" s="2" customFormat="1" x14ac:dyDescent="0.3">
      <c r="A178" s="1"/>
      <c r="B178" s="1"/>
      <c r="C178"/>
      <c r="D178"/>
      <c r="E178"/>
      <c r="F178"/>
      <c r="G178"/>
      <c r="H178"/>
      <c r="I178"/>
      <c r="J178"/>
      <c r="K178"/>
      <c r="L178"/>
      <c r="M178"/>
    </row>
    <row r="179" spans="1:13" s="2" customFormat="1" x14ac:dyDescent="0.3">
      <c r="A179" s="1"/>
      <c r="B179" s="1"/>
      <c r="C179"/>
      <c r="D179" s="135" t="s">
        <v>11</v>
      </c>
      <c r="E179" s="136"/>
      <c r="F179" s="136"/>
      <c r="G179" s="137"/>
      <c r="H179"/>
      <c r="I179" s="15"/>
      <c r="J179" s="16" t="s">
        <v>12</v>
      </c>
      <c r="K179" s="16"/>
      <c r="L179" s="17"/>
      <c r="M179" s="3"/>
    </row>
    <row r="180" spans="1:13" s="2" customFormat="1" ht="28.95" x14ac:dyDescent="0.25">
      <c r="A180" s="18" t="s">
        <v>13</v>
      </c>
      <c r="B180" s="18" t="s">
        <v>14</v>
      </c>
      <c r="C180" s="19" t="s">
        <v>15</v>
      </c>
      <c r="D180" s="18" t="s">
        <v>16</v>
      </c>
      <c r="E180" s="20" t="s">
        <v>17</v>
      </c>
      <c r="F180" s="20" t="s">
        <v>18</v>
      </c>
      <c r="G180" s="18" t="s">
        <v>19</v>
      </c>
      <c r="H180" s="21"/>
      <c r="I180" s="22" t="s">
        <v>16</v>
      </c>
      <c r="J180" s="23" t="s">
        <v>20</v>
      </c>
      <c r="K180" s="23" t="s">
        <v>18</v>
      </c>
      <c r="L180" s="24" t="s">
        <v>19</v>
      </c>
      <c r="M180" s="18" t="s">
        <v>21</v>
      </c>
    </row>
    <row r="181" spans="1:13" s="2" customFormat="1" ht="26.4" x14ac:dyDescent="0.3">
      <c r="A181" s="25">
        <v>12</v>
      </c>
      <c r="B181" s="73">
        <v>1611</v>
      </c>
      <c r="C181" s="27" t="s">
        <v>22</v>
      </c>
      <c r="D181" s="32">
        <f>+G17</f>
        <v>1085462.72</v>
      </c>
      <c r="E181" s="72">
        <v>54670.75</v>
      </c>
      <c r="F181" s="72"/>
      <c r="G181" s="29">
        <f>SUM(D181:F181)</f>
        <v>1140133.47</v>
      </c>
      <c r="H181" s="30"/>
      <c r="I181" s="31">
        <f>+L17</f>
        <v>-630087.06999999995</v>
      </c>
      <c r="J181" s="32">
        <v>-107453.90000000002</v>
      </c>
      <c r="K181" s="32"/>
      <c r="L181" s="29">
        <f>SUM(I181:K181)</f>
        <v>-737540.97</v>
      </c>
      <c r="M181" s="33">
        <f>+G181+L181</f>
        <v>402592.5</v>
      </c>
    </row>
    <row r="182" spans="1:13" s="2" customFormat="1" ht="26.4" x14ac:dyDescent="0.3">
      <c r="A182" s="25" t="s">
        <v>23</v>
      </c>
      <c r="B182" s="73">
        <v>1612</v>
      </c>
      <c r="C182" s="27" t="s">
        <v>24</v>
      </c>
      <c r="D182" s="32">
        <f t="shared" ref="D182:D220" si="13">+G18</f>
        <v>42932.04</v>
      </c>
      <c r="E182" s="72">
        <v>947</v>
      </c>
      <c r="F182" s="72"/>
      <c r="G182" s="29">
        <f t="shared" ref="G182:G219" si="14">SUM(D182:F182)</f>
        <v>43879.040000000001</v>
      </c>
      <c r="H182" s="30"/>
      <c r="I182" s="31">
        <f t="shared" ref="I182:I220" si="15">+L18</f>
        <v>0</v>
      </c>
      <c r="J182" s="32"/>
      <c r="K182" s="32"/>
      <c r="L182" s="29">
        <f t="shared" ref="L182:L220" si="16">SUM(I182:K182)</f>
        <v>0</v>
      </c>
      <c r="M182" s="33">
        <f t="shared" ref="M182:M220" si="17">+G182+L182</f>
        <v>43879.040000000001</v>
      </c>
    </row>
    <row r="183" spans="1:13" s="2" customFormat="1" x14ac:dyDescent="0.3">
      <c r="A183" s="25" t="s">
        <v>25</v>
      </c>
      <c r="B183" s="73">
        <v>1805</v>
      </c>
      <c r="C183" s="35" t="s">
        <v>26</v>
      </c>
      <c r="D183" s="32">
        <f t="shared" si="13"/>
        <v>103344.08</v>
      </c>
      <c r="E183" s="72">
        <v>695</v>
      </c>
      <c r="F183" s="72"/>
      <c r="G183" s="29">
        <f t="shared" si="14"/>
        <v>104039.08</v>
      </c>
      <c r="H183" s="30"/>
      <c r="I183" s="31">
        <f t="shared" si="15"/>
        <v>0</v>
      </c>
      <c r="J183" s="32"/>
      <c r="K183" s="32"/>
      <c r="L183" s="29">
        <f t="shared" si="16"/>
        <v>0</v>
      </c>
      <c r="M183" s="33">
        <f t="shared" si="17"/>
        <v>104039.08</v>
      </c>
    </row>
    <row r="184" spans="1:13" s="2" customFormat="1" x14ac:dyDescent="0.3">
      <c r="A184" s="25">
        <v>47</v>
      </c>
      <c r="B184" s="73">
        <v>1808</v>
      </c>
      <c r="C184" s="36" t="s">
        <v>27</v>
      </c>
      <c r="D184" s="32">
        <f t="shared" si="13"/>
        <v>195950.97</v>
      </c>
      <c r="E184" s="72">
        <v>24917.26</v>
      </c>
      <c r="F184" s="72"/>
      <c r="G184" s="29">
        <f t="shared" si="14"/>
        <v>220868.23</v>
      </c>
      <c r="H184" s="30"/>
      <c r="I184" s="31">
        <f t="shared" si="15"/>
        <v>-71326.63</v>
      </c>
      <c r="J184" s="32">
        <v>-3747.429999999993</v>
      </c>
      <c r="K184" s="32"/>
      <c r="L184" s="29">
        <f t="shared" si="16"/>
        <v>-75074.06</v>
      </c>
      <c r="M184" s="33">
        <f t="shared" si="17"/>
        <v>145794.17000000001</v>
      </c>
    </row>
    <row r="185" spans="1:13" s="2" customFormat="1" x14ac:dyDescent="0.3">
      <c r="A185" s="25">
        <v>13</v>
      </c>
      <c r="B185" s="73">
        <v>1810</v>
      </c>
      <c r="C185" s="36" t="s">
        <v>28</v>
      </c>
      <c r="D185" s="32">
        <f t="shared" si="13"/>
        <v>0</v>
      </c>
      <c r="E185" s="72"/>
      <c r="F185" s="72"/>
      <c r="G185" s="29">
        <f t="shared" si="14"/>
        <v>0</v>
      </c>
      <c r="H185" s="30"/>
      <c r="I185" s="31">
        <f t="shared" si="15"/>
        <v>0</v>
      </c>
      <c r="J185" s="32"/>
      <c r="K185" s="32"/>
      <c r="L185" s="29">
        <f t="shared" si="16"/>
        <v>0</v>
      </c>
      <c r="M185" s="33">
        <f t="shared" si="17"/>
        <v>0</v>
      </c>
    </row>
    <row r="186" spans="1:13" s="2" customFormat="1" x14ac:dyDescent="0.3">
      <c r="A186" s="25">
        <v>47</v>
      </c>
      <c r="B186" s="73">
        <v>1815</v>
      </c>
      <c r="C186" s="36" t="s">
        <v>29</v>
      </c>
      <c r="D186" s="32">
        <f t="shared" si="13"/>
        <v>0</v>
      </c>
      <c r="E186" s="72"/>
      <c r="F186" s="72"/>
      <c r="G186" s="29">
        <f t="shared" si="14"/>
        <v>0</v>
      </c>
      <c r="H186" s="30"/>
      <c r="I186" s="31">
        <f t="shared" si="15"/>
        <v>0</v>
      </c>
      <c r="J186" s="32"/>
      <c r="K186" s="32"/>
      <c r="L186" s="29">
        <f t="shared" si="16"/>
        <v>0</v>
      </c>
      <c r="M186" s="33">
        <f t="shared" si="17"/>
        <v>0</v>
      </c>
    </row>
    <row r="187" spans="1:13" s="2" customFormat="1" x14ac:dyDescent="0.3">
      <c r="A187" s="25">
        <v>47</v>
      </c>
      <c r="B187" s="73">
        <v>1820</v>
      </c>
      <c r="C187" s="27" t="s">
        <v>30</v>
      </c>
      <c r="D187" s="32">
        <f t="shared" si="13"/>
        <v>604688.71</v>
      </c>
      <c r="E187" s="72">
        <v>12875</v>
      </c>
      <c r="F187" s="72"/>
      <c r="G187" s="29">
        <f t="shared" si="14"/>
        <v>617563.71</v>
      </c>
      <c r="H187" s="30"/>
      <c r="I187" s="31">
        <f t="shared" si="15"/>
        <v>-187749.95</v>
      </c>
      <c r="J187" s="32">
        <v>-10484.459999999992</v>
      </c>
      <c r="K187" s="32"/>
      <c r="L187" s="29">
        <f t="shared" si="16"/>
        <v>-198234.41</v>
      </c>
      <c r="M187" s="33">
        <f t="shared" si="17"/>
        <v>419329.29999999993</v>
      </c>
    </row>
    <row r="188" spans="1:13" s="2" customFormat="1" x14ac:dyDescent="0.3">
      <c r="A188" s="25">
        <v>47</v>
      </c>
      <c r="B188" s="73">
        <v>1825</v>
      </c>
      <c r="C188" s="36" t="s">
        <v>31</v>
      </c>
      <c r="D188" s="32">
        <f t="shared" si="13"/>
        <v>0</v>
      </c>
      <c r="E188" s="72"/>
      <c r="F188" s="72"/>
      <c r="G188" s="29">
        <f t="shared" si="14"/>
        <v>0</v>
      </c>
      <c r="H188" s="30"/>
      <c r="I188" s="31">
        <f t="shared" si="15"/>
        <v>0</v>
      </c>
      <c r="J188" s="32"/>
      <c r="K188" s="32"/>
      <c r="L188" s="29">
        <f t="shared" si="16"/>
        <v>0</v>
      </c>
      <c r="M188" s="33">
        <f t="shared" si="17"/>
        <v>0</v>
      </c>
    </row>
    <row r="189" spans="1:13" s="2" customFormat="1" x14ac:dyDescent="0.3">
      <c r="A189" s="25">
        <v>47</v>
      </c>
      <c r="B189" s="73">
        <v>1830</v>
      </c>
      <c r="C189" s="36" t="s">
        <v>32</v>
      </c>
      <c r="D189" s="32">
        <f t="shared" si="13"/>
        <v>6051734.2299999995</v>
      </c>
      <c r="E189" s="72">
        <v>471688.41</v>
      </c>
      <c r="F189" s="72"/>
      <c r="G189" s="29">
        <f t="shared" si="14"/>
        <v>6523422.6399999997</v>
      </c>
      <c r="H189" s="30"/>
      <c r="I189" s="31">
        <f t="shared" si="15"/>
        <v>-2426443.2000000002</v>
      </c>
      <c r="J189" s="32">
        <v>-118541.81999999983</v>
      </c>
      <c r="K189" s="32"/>
      <c r="L189" s="29">
        <f t="shared" si="16"/>
        <v>-2544985.02</v>
      </c>
      <c r="M189" s="33">
        <f t="shared" si="17"/>
        <v>3978437.6199999996</v>
      </c>
    </row>
    <row r="190" spans="1:13" s="2" customFormat="1" x14ac:dyDescent="0.3">
      <c r="A190" s="25">
        <v>47</v>
      </c>
      <c r="B190" s="73">
        <v>1835</v>
      </c>
      <c r="C190" s="36" t="s">
        <v>33</v>
      </c>
      <c r="D190" s="32">
        <f t="shared" si="13"/>
        <v>11314398.559999999</v>
      </c>
      <c r="E190" s="72">
        <v>700608.48</v>
      </c>
      <c r="F190" s="72"/>
      <c r="G190" s="29">
        <f t="shared" si="14"/>
        <v>12015007.039999999</v>
      </c>
      <c r="H190" s="30"/>
      <c r="I190" s="31">
        <f t="shared" si="15"/>
        <v>-7340455.6299999999</v>
      </c>
      <c r="J190" s="32">
        <v>-194411.70999999996</v>
      </c>
      <c r="K190" s="32">
        <v>499791</v>
      </c>
      <c r="L190" s="29">
        <f t="shared" si="16"/>
        <v>-7035076.3399999999</v>
      </c>
      <c r="M190" s="33">
        <f t="shared" si="17"/>
        <v>4979930.6999999993</v>
      </c>
    </row>
    <row r="191" spans="1:13" s="2" customFormat="1" x14ac:dyDescent="0.3">
      <c r="A191" s="25">
        <v>47</v>
      </c>
      <c r="B191" s="73">
        <v>1840</v>
      </c>
      <c r="C191" s="36" t="s">
        <v>34</v>
      </c>
      <c r="D191" s="32">
        <f t="shared" si="13"/>
        <v>2687172.22</v>
      </c>
      <c r="E191" s="72">
        <v>30269.8</v>
      </c>
      <c r="F191" s="72"/>
      <c r="G191" s="29">
        <f t="shared" si="14"/>
        <v>2717442.02</v>
      </c>
      <c r="H191" s="30"/>
      <c r="I191" s="31">
        <f t="shared" si="15"/>
        <v>-289607.53000000003</v>
      </c>
      <c r="J191" s="32">
        <v>-65746.189999999944</v>
      </c>
      <c r="K191" s="32"/>
      <c r="L191" s="29">
        <f t="shared" si="16"/>
        <v>-355353.72</v>
      </c>
      <c r="M191" s="33">
        <f t="shared" si="17"/>
        <v>2362088.2999999998</v>
      </c>
    </row>
    <row r="192" spans="1:13" s="2" customFormat="1" x14ac:dyDescent="0.3">
      <c r="A192" s="25">
        <v>47</v>
      </c>
      <c r="B192" s="73">
        <v>1845</v>
      </c>
      <c r="C192" s="36" t="s">
        <v>35</v>
      </c>
      <c r="D192" s="32">
        <f t="shared" si="13"/>
        <v>5677682.96</v>
      </c>
      <c r="E192" s="72">
        <v>344472.73</v>
      </c>
      <c r="F192" s="72"/>
      <c r="G192" s="29">
        <f t="shared" si="14"/>
        <v>6022155.6899999995</v>
      </c>
      <c r="H192" s="30"/>
      <c r="I192" s="31">
        <f t="shared" si="15"/>
        <v>-805638.42</v>
      </c>
      <c r="J192" s="32">
        <v>-148259.65999999992</v>
      </c>
      <c r="K192" s="32"/>
      <c r="L192" s="29">
        <f t="shared" si="16"/>
        <v>-953898.08</v>
      </c>
      <c r="M192" s="33">
        <f t="shared" si="17"/>
        <v>5068257.6099999994</v>
      </c>
    </row>
    <row r="193" spans="1:13" s="2" customFormat="1" x14ac:dyDescent="0.3">
      <c r="A193" s="25">
        <v>47</v>
      </c>
      <c r="B193" s="73">
        <v>1850</v>
      </c>
      <c r="C193" s="36" t="s">
        <v>36</v>
      </c>
      <c r="D193" s="32">
        <f t="shared" si="13"/>
        <v>7280069.7399999993</v>
      </c>
      <c r="E193" s="72">
        <v>604927.6</v>
      </c>
      <c r="F193" s="72">
        <v>-110118</v>
      </c>
      <c r="G193" s="29">
        <f t="shared" si="14"/>
        <v>7774879.3399999989</v>
      </c>
      <c r="H193" s="30"/>
      <c r="I193" s="31">
        <f t="shared" si="15"/>
        <v>-1226137.47</v>
      </c>
      <c r="J193" s="32">
        <v>-151650.67999999993</v>
      </c>
      <c r="K193" s="32">
        <v>110118</v>
      </c>
      <c r="L193" s="29">
        <f t="shared" si="16"/>
        <v>-1267670.1499999999</v>
      </c>
      <c r="M193" s="33">
        <f t="shared" si="17"/>
        <v>6507209.1899999995</v>
      </c>
    </row>
    <row r="194" spans="1:13" s="2" customFormat="1" x14ac:dyDescent="0.3">
      <c r="A194" s="25">
        <v>47</v>
      </c>
      <c r="B194" s="73">
        <v>1855</v>
      </c>
      <c r="C194" s="36" t="s">
        <v>37</v>
      </c>
      <c r="D194" s="32">
        <f t="shared" si="13"/>
        <v>3903443.2900000005</v>
      </c>
      <c r="E194" s="72">
        <v>308079.99</v>
      </c>
      <c r="F194" s="72"/>
      <c r="G194" s="29">
        <f t="shared" si="14"/>
        <v>4211523.28</v>
      </c>
      <c r="H194" s="30"/>
      <c r="I194" s="31">
        <f t="shared" si="15"/>
        <v>-1418655.71</v>
      </c>
      <c r="J194" s="32">
        <v>-67624.720000000118</v>
      </c>
      <c r="K194" s="32"/>
      <c r="L194" s="29">
        <f t="shared" si="16"/>
        <v>-1486280.4300000002</v>
      </c>
      <c r="M194" s="33">
        <f t="shared" si="17"/>
        <v>2725242.85</v>
      </c>
    </row>
    <row r="195" spans="1:13" s="2" customFormat="1" x14ac:dyDescent="0.3">
      <c r="A195" s="25">
        <v>47</v>
      </c>
      <c r="B195" s="73">
        <v>1860</v>
      </c>
      <c r="C195" s="36" t="s">
        <v>38</v>
      </c>
      <c r="D195" s="32">
        <f t="shared" si="13"/>
        <v>2945678</v>
      </c>
      <c r="E195" s="72">
        <v>237156</v>
      </c>
      <c r="F195" s="72">
        <v>-1313442</v>
      </c>
      <c r="G195" s="29">
        <f t="shared" si="14"/>
        <v>1869392</v>
      </c>
      <c r="H195" s="30"/>
      <c r="I195" s="31">
        <f t="shared" si="15"/>
        <v>-470562.30000000005</v>
      </c>
      <c r="J195" s="32">
        <f>-310677.16-176549</f>
        <v>-487226.16</v>
      </c>
      <c r="K195" s="32"/>
      <c r="L195" s="29">
        <f t="shared" si="16"/>
        <v>-957788.46</v>
      </c>
      <c r="M195" s="33">
        <f t="shared" si="17"/>
        <v>911603.54</v>
      </c>
    </row>
    <row r="196" spans="1:13" s="2" customFormat="1" x14ac:dyDescent="0.3">
      <c r="A196" s="25">
        <v>47</v>
      </c>
      <c r="B196" s="73">
        <v>1860</v>
      </c>
      <c r="C196" s="35" t="s">
        <v>39</v>
      </c>
      <c r="D196" s="32">
        <f t="shared" si="13"/>
        <v>0</v>
      </c>
      <c r="E196" s="72">
        <v>2887735</v>
      </c>
      <c r="F196" s="72"/>
      <c r="G196" s="29">
        <f t="shared" si="14"/>
        <v>2887735</v>
      </c>
      <c r="H196" s="30"/>
      <c r="I196" s="31">
        <f t="shared" si="15"/>
        <v>0</v>
      </c>
      <c r="J196" s="32">
        <v>-240645</v>
      </c>
      <c r="K196" s="32"/>
      <c r="L196" s="29">
        <f t="shared" si="16"/>
        <v>-240645</v>
      </c>
      <c r="M196" s="33">
        <f t="shared" si="17"/>
        <v>2647090</v>
      </c>
    </row>
    <row r="197" spans="1:13" s="2" customFormat="1" x14ac:dyDescent="0.3">
      <c r="A197" s="25" t="s">
        <v>25</v>
      </c>
      <c r="B197" s="73">
        <v>1905</v>
      </c>
      <c r="C197" s="35" t="s">
        <v>26</v>
      </c>
      <c r="D197" s="32">
        <f t="shared" si="13"/>
        <v>0</v>
      </c>
      <c r="E197" s="72"/>
      <c r="F197" s="72"/>
      <c r="G197" s="29">
        <f t="shared" si="14"/>
        <v>0</v>
      </c>
      <c r="H197" s="30"/>
      <c r="I197" s="31">
        <f t="shared" si="15"/>
        <v>0</v>
      </c>
      <c r="J197" s="32"/>
      <c r="K197" s="32"/>
      <c r="L197" s="29">
        <f t="shared" si="16"/>
        <v>0</v>
      </c>
      <c r="M197" s="33">
        <f t="shared" si="17"/>
        <v>0</v>
      </c>
    </row>
    <row r="198" spans="1:13" s="2" customFormat="1" x14ac:dyDescent="0.3">
      <c r="A198" s="25">
        <v>47</v>
      </c>
      <c r="B198" s="73">
        <v>1908</v>
      </c>
      <c r="C198" s="36" t="s">
        <v>40</v>
      </c>
      <c r="D198" s="32">
        <f t="shared" si="13"/>
        <v>0</v>
      </c>
      <c r="E198" s="72"/>
      <c r="F198" s="72"/>
      <c r="G198" s="29">
        <f t="shared" si="14"/>
        <v>0</v>
      </c>
      <c r="H198" s="30"/>
      <c r="I198" s="31">
        <f t="shared" si="15"/>
        <v>0</v>
      </c>
      <c r="J198" s="32"/>
      <c r="K198" s="32"/>
      <c r="L198" s="29">
        <f t="shared" si="16"/>
        <v>0</v>
      </c>
      <c r="M198" s="33">
        <f t="shared" si="17"/>
        <v>0</v>
      </c>
    </row>
    <row r="199" spans="1:13" s="2" customFormat="1" x14ac:dyDescent="0.3">
      <c r="A199" s="25">
        <v>13</v>
      </c>
      <c r="B199" s="73">
        <v>1910</v>
      </c>
      <c r="C199" s="36" t="s">
        <v>28</v>
      </c>
      <c r="D199" s="32">
        <f t="shared" si="13"/>
        <v>187457.04</v>
      </c>
      <c r="E199" s="72">
        <v>53272.5</v>
      </c>
      <c r="F199" s="72"/>
      <c r="G199" s="29">
        <f t="shared" si="14"/>
        <v>240729.54</v>
      </c>
      <c r="H199" s="30"/>
      <c r="I199" s="31">
        <f t="shared" si="15"/>
        <v>-13198.16</v>
      </c>
      <c r="J199" s="32">
        <v>-3892.5999999999985</v>
      </c>
      <c r="K199" s="32"/>
      <c r="L199" s="29">
        <f t="shared" si="16"/>
        <v>-17090.759999999998</v>
      </c>
      <c r="M199" s="33">
        <f t="shared" si="17"/>
        <v>223638.78</v>
      </c>
    </row>
    <row r="200" spans="1:13" s="2" customFormat="1" x14ac:dyDescent="0.3">
      <c r="A200" s="25">
        <v>8</v>
      </c>
      <c r="B200" s="73">
        <v>1915</v>
      </c>
      <c r="C200" s="36" t="s">
        <v>41</v>
      </c>
      <c r="D200" s="32">
        <f t="shared" si="13"/>
        <v>86363.57</v>
      </c>
      <c r="E200" s="72">
        <v>3059.23</v>
      </c>
      <c r="F200" s="72"/>
      <c r="G200" s="29">
        <f t="shared" si="14"/>
        <v>89422.8</v>
      </c>
      <c r="H200" s="30"/>
      <c r="I200" s="31">
        <f t="shared" si="15"/>
        <v>-63198.229999999996</v>
      </c>
      <c r="J200" s="32">
        <v>-5093.2200000000012</v>
      </c>
      <c r="K200" s="32"/>
      <c r="L200" s="29">
        <f t="shared" si="16"/>
        <v>-68291.45</v>
      </c>
      <c r="M200" s="33">
        <f t="shared" si="17"/>
        <v>21131.350000000006</v>
      </c>
    </row>
    <row r="201" spans="1:13" s="2" customFormat="1" x14ac:dyDescent="0.3">
      <c r="A201" s="25">
        <v>8</v>
      </c>
      <c r="B201" s="73">
        <v>1915</v>
      </c>
      <c r="C201" s="36" t="s">
        <v>42</v>
      </c>
      <c r="D201" s="32">
        <f t="shared" si="13"/>
        <v>0</v>
      </c>
      <c r="E201" s="72"/>
      <c r="F201" s="72"/>
      <c r="G201" s="29">
        <f t="shared" si="14"/>
        <v>0</v>
      </c>
      <c r="H201" s="30"/>
      <c r="I201" s="31">
        <f t="shared" si="15"/>
        <v>0</v>
      </c>
      <c r="J201" s="32"/>
      <c r="K201" s="32"/>
      <c r="L201" s="29">
        <f t="shared" si="16"/>
        <v>0</v>
      </c>
      <c r="M201" s="33">
        <f t="shared" si="17"/>
        <v>0</v>
      </c>
    </row>
    <row r="202" spans="1:13" s="2" customFormat="1" x14ac:dyDescent="0.3">
      <c r="A202" s="25">
        <v>10</v>
      </c>
      <c r="B202" s="73">
        <v>1920</v>
      </c>
      <c r="C202" s="36" t="s">
        <v>43</v>
      </c>
      <c r="D202" s="32">
        <f t="shared" si="13"/>
        <v>97941</v>
      </c>
      <c r="E202" s="72"/>
      <c r="F202" s="72"/>
      <c r="G202" s="29">
        <f t="shared" si="14"/>
        <v>97941</v>
      </c>
      <c r="H202" s="30"/>
      <c r="I202" s="31">
        <f t="shared" si="15"/>
        <v>-97941</v>
      </c>
      <c r="J202" s="32"/>
      <c r="K202" s="32"/>
      <c r="L202" s="29">
        <f t="shared" si="16"/>
        <v>-97941</v>
      </c>
      <c r="M202" s="33">
        <f t="shared" si="17"/>
        <v>0</v>
      </c>
    </row>
    <row r="203" spans="1:13" s="2" customFormat="1" ht="26.4" x14ac:dyDescent="0.3">
      <c r="A203" s="25">
        <v>45</v>
      </c>
      <c r="B203" s="81">
        <v>1920</v>
      </c>
      <c r="C203" s="27" t="s">
        <v>44</v>
      </c>
      <c r="D203" s="32">
        <f t="shared" si="13"/>
        <v>3892</v>
      </c>
      <c r="E203" s="72"/>
      <c r="F203" s="72"/>
      <c r="G203" s="29">
        <f t="shared" si="14"/>
        <v>3892</v>
      </c>
      <c r="H203" s="30"/>
      <c r="I203" s="31">
        <f t="shared" si="15"/>
        <v>-3892</v>
      </c>
      <c r="J203" s="32"/>
      <c r="K203" s="32"/>
      <c r="L203" s="29">
        <f t="shared" si="16"/>
        <v>-3892</v>
      </c>
      <c r="M203" s="33">
        <f t="shared" si="17"/>
        <v>0</v>
      </c>
    </row>
    <row r="204" spans="1:13" s="2" customFormat="1" ht="26.4" x14ac:dyDescent="0.3">
      <c r="A204" s="25">
        <v>45.1</v>
      </c>
      <c r="B204" s="81">
        <v>1920</v>
      </c>
      <c r="C204" s="27" t="s">
        <v>45</v>
      </c>
      <c r="D204" s="32">
        <f t="shared" si="13"/>
        <v>45925</v>
      </c>
      <c r="E204" s="72">
        <v>57213.91</v>
      </c>
      <c r="F204" s="72"/>
      <c r="G204" s="29">
        <f t="shared" si="14"/>
        <v>103138.91</v>
      </c>
      <c r="H204" s="30"/>
      <c r="I204" s="31">
        <f t="shared" si="15"/>
        <v>-4593</v>
      </c>
      <c r="J204" s="32">
        <v>-14850.16</v>
      </c>
      <c r="K204" s="32"/>
      <c r="L204" s="29">
        <f t="shared" si="16"/>
        <v>-19443.16</v>
      </c>
      <c r="M204" s="33">
        <f t="shared" si="17"/>
        <v>83695.75</v>
      </c>
    </row>
    <row r="205" spans="1:13" s="2" customFormat="1" x14ac:dyDescent="0.3">
      <c r="A205" s="25">
        <v>10</v>
      </c>
      <c r="B205" s="73">
        <v>1930</v>
      </c>
      <c r="C205" s="36" t="s">
        <v>46</v>
      </c>
      <c r="D205" s="32">
        <f t="shared" si="13"/>
        <v>2671827.7200000007</v>
      </c>
      <c r="E205" s="72">
        <v>386631.99</v>
      </c>
      <c r="F205" s="72">
        <v>-46600</v>
      </c>
      <c r="G205" s="29">
        <f t="shared" si="14"/>
        <v>3011859.7100000009</v>
      </c>
      <c r="H205" s="30"/>
      <c r="I205" s="31">
        <f t="shared" si="15"/>
        <v>-1745872.5199999998</v>
      </c>
      <c r="J205" s="32">
        <v>-260859.20999999996</v>
      </c>
      <c r="K205" s="32">
        <v>46600</v>
      </c>
      <c r="L205" s="29">
        <f t="shared" si="16"/>
        <v>-1960131.7299999997</v>
      </c>
      <c r="M205" s="33">
        <f t="shared" si="17"/>
        <v>1051727.9800000011</v>
      </c>
    </row>
    <row r="206" spans="1:13" s="2" customFormat="1" x14ac:dyDescent="0.3">
      <c r="A206" s="25">
        <v>8</v>
      </c>
      <c r="B206" s="26">
        <v>1935</v>
      </c>
      <c r="C206" s="36" t="s">
        <v>47</v>
      </c>
      <c r="D206" s="32">
        <f t="shared" si="13"/>
        <v>0</v>
      </c>
      <c r="E206" s="72"/>
      <c r="F206" s="72"/>
      <c r="G206" s="29">
        <f t="shared" si="14"/>
        <v>0</v>
      </c>
      <c r="H206" s="30"/>
      <c r="I206" s="31">
        <f t="shared" si="15"/>
        <v>0</v>
      </c>
      <c r="J206" s="32"/>
      <c r="K206" s="32"/>
      <c r="L206" s="29">
        <f t="shared" si="16"/>
        <v>0</v>
      </c>
      <c r="M206" s="33">
        <f t="shared" si="17"/>
        <v>0</v>
      </c>
    </row>
    <row r="207" spans="1:13" s="2" customFormat="1" x14ac:dyDescent="0.3">
      <c r="A207" s="25">
        <v>8</v>
      </c>
      <c r="B207" s="73">
        <v>1940</v>
      </c>
      <c r="C207" s="36" t="s">
        <v>48</v>
      </c>
      <c r="D207" s="32">
        <f t="shared" si="13"/>
        <v>175797.59</v>
      </c>
      <c r="E207" s="72">
        <v>16441.830000000002</v>
      </c>
      <c r="F207" s="72"/>
      <c r="G207" s="29">
        <f t="shared" si="14"/>
        <v>192239.41999999998</v>
      </c>
      <c r="H207" s="30"/>
      <c r="I207" s="31">
        <f t="shared" si="15"/>
        <v>-95858</v>
      </c>
      <c r="J207" s="32">
        <v>-21830.309999999998</v>
      </c>
      <c r="K207" s="32"/>
      <c r="L207" s="29">
        <f t="shared" si="16"/>
        <v>-117688.31</v>
      </c>
      <c r="M207" s="33">
        <f t="shared" si="17"/>
        <v>74551.109999999986</v>
      </c>
    </row>
    <row r="208" spans="1:13" s="2" customFormat="1" x14ac:dyDescent="0.3">
      <c r="A208" s="25">
        <v>8</v>
      </c>
      <c r="B208" s="73">
        <v>1945</v>
      </c>
      <c r="C208" s="36" t="s">
        <v>49</v>
      </c>
      <c r="D208" s="32">
        <f t="shared" si="13"/>
        <v>14462.12</v>
      </c>
      <c r="E208" s="72"/>
      <c r="F208" s="72"/>
      <c r="G208" s="29">
        <f t="shared" si="14"/>
        <v>14462.12</v>
      </c>
      <c r="H208" s="30"/>
      <c r="I208" s="31">
        <f t="shared" si="15"/>
        <v>-3461</v>
      </c>
      <c r="J208" s="32">
        <v>-1807.9799999999996</v>
      </c>
      <c r="K208" s="32"/>
      <c r="L208" s="29">
        <f t="shared" si="16"/>
        <v>-5268.98</v>
      </c>
      <c r="M208" s="33">
        <f t="shared" si="17"/>
        <v>9193.1400000000012</v>
      </c>
    </row>
    <row r="209" spans="1:17" x14ac:dyDescent="0.3">
      <c r="A209" s="25">
        <v>8</v>
      </c>
      <c r="B209" s="73">
        <v>1950</v>
      </c>
      <c r="C209" s="36" t="s">
        <v>50</v>
      </c>
      <c r="D209" s="32">
        <f t="shared" si="13"/>
        <v>64090.6</v>
      </c>
      <c r="E209" s="72"/>
      <c r="F209" s="72"/>
      <c r="G209" s="29">
        <f t="shared" si="14"/>
        <v>64090.6</v>
      </c>
      <c r="H209" s="30"/>
      <c r="I209" s="31">
        <f t="shared" si="15"/>
        <v>-12197</v>
      </c>
      <c r="J209" s="32">
        <v>-8011.7799999999988</v>
      </c>
      <c r="K209" s="32"/>
      <c r="L209" s="29">
        <f t="shared" si="16"/>
        <v>-20208.78</v>
      </c>
      <c r="M209" s="33">
        <f t="shared" si="17"/>
        <v>43881.82</v>
      </c>
    </row>
    <row r="210" spans="1:17" x14ac:dyDescent="0.3">
      <c r="A210" s="25">
        <v>8</v>
      </c>
      <c r="B210" s="26">
        <v>1955</v>
      </c>
      <c r="C210" s="36" t="s">
        <v>51</v>
      </c>
      <c r="D210" s="32">
        <f t="shared" si="13"/>
        <v>0</v>
      </c>
      <c r="E210" s="72"/>
      <c r="F210" s="72"/>
      <c r="G210" s="29">
        <f t="shared" si="14"/>
        <v>0</v>
      </c>
      <c r="H210" s="30"/>
      <c r="I210" s="31">
        <f t="shared" si="15"/>
        <v>0</v>
      </c>
      <c r="J210" s="32"/>
      <c r="K210" s="32"/>
      <c r="L210" s="29">
        <f t="shared" si="16"/>
        <v>0</v>
      </c>
      <c r="M210" s="33">
        <f t="shared" si="17"/>
        <v>0</v>
      </c>
    </row>
    <row r="211" spans="1:17" x14ac:dyDescent="0.3">
      <c r="A211" s="40">
        <v>8</v>
      </c>
      <c r="B211" s="38">
        <v>1955</v>
      </c>
      <c r="C211" s="41" t="s">
        <v>52</v>
      </c>
      <c r="D211" s="32">
        <f t="shared" si="13"/>
        <v>0</v>
      </c>
      <c r="E211" s="72"/>
      <c r="F211" s="72"/>
      <c r="G211" s="29">
        <f t="shared" si="14"/>
        <v>0</v>
      </c>
      <c r="H211" s="30"/>
      <c r="I211" s="31">
        <f t="shared" si="15"/>
        <v>0</v>
      </c>
      <c r="J211" s="32"/>
      <c r="K211" s="32"/>
      <c r="L211" s="29">
        <f t="shared" si="16"/>
        <v>0</v>
      </c>
      <c r="M211" s="33">
        <f t="shared" si="17"/>
        <v>0</v>
      </c>
    </row>
    <row r="212" spans="1:17" x14ac:dyDescent="0.3">
      <c r="A212" s="40">
        <v>8</v>
      </c>
      <c r="B212" s="42">
        <v>1960</v>
      </c>
      <c r="C212" s="27" t="s">
        <v>53</v>
      </c>
      <c r="D212" s="32">
        <f t="shared" si="13"/>
        <v>0</v>
      </c>
      <c r="E212" s="72"/>
      <c r="F212" s="72"/>
      <c r="G212" s="29">
        <f t="shared" si="14"/>
        <v>0</v>
      </c>
      <c r="H212" s="30"/>
      <c r="I212" s="31">
        <f t="shared" si="15"/>
        <v>0</v>
      </c>
      <c r="J212" s="32"/>
      <c r="K212" s="32"/>
      <c r="L212" s="29">
        <f t="shared" si="16"/>
        <v>0</v>
      </c>
      <c r="M212" s="33">
        <f t="shared" si="17"/>
        <v>0</v>
      </c>
    </row>
    <row r="213" spans="1:17" ht="26.4" x14ac:dyDescent="0.3">
      <c r="A213" s="43">
        <v>47</v>
      </c>
      <c r="B213" s="42">
        <v>1970</v>
      </c>
      <c r="C213" s="36" t="s">
        <v>54</v>
      </c>
      <c r="D213" s="32">
        <f t="shared" si="13"/>
        <v>0</v>
      </c>
      <c r="E213" s="72"/>
      <c r="F213" s="72"/>
      <c r="G213" s="29">
        <f t="shared" si="14"/>
        <v>0</v>
      </c>
      <c r="H213" s="30"/>
      <c r="I213" s="31">
        <f t="shared" si="15"/>
        <v>0</v>
      </c>
      <c r="J213" s="32"/>
      <c r="K213" s="32"/>
      <c r="L213" s="29">
        <f t="shared" si="16"/>
        <v>0</v>
      </c>
      <c r="M213" s="33">
        <f t="shared" si="17"/>
        <v>0</v>
      </c>
    </row>
    <row r="214" spans="1:17" x14ac:dyDescent="0.3">
      <c r="A214" s="25">
        <v>47</v>
      </c>
      <c r="B214" s="26">
        <v>1975</v>
      </c>
      <c r="C214" s="36" t="s">
        <v>55</v>
      </c>
      <c r="D214" s="32">
        <f t="shared" si="13"/>
        <v>0</v>
      </c>
      <c r="E214" s="72"/>
      <c r="F214" s="72"/>
      <c r="G214" s="29">
        <f t="shared" si="14"/>
        <v>0</v>
      </c>
      <c r="H214" s="30"/>
      <c r="I214" s="31">
        <f t="shared" si="15"/>
        <v>0</v>
      </c>
      <c r="J214" s="32"/>
      <c r="K214" s="32"/>
      <c r="L214" s="29">
        <f t="shared" si="16"/>
        <v>0</v>
      </c>
      <c r="M214" s="33">
        <f t="shared" si="17"/>
        <v>0</v>
      </c>
    </row>
    <row r="215" spans="1:17" x14ac:dyDescent="0.3">
      <c r="A215" s="25">
        <v>47</v>
      </c>
      <c r="B215" s="73">
        <v>1980</v>
      </c>
      <c r="C215" s="36" t="s">
        <v>56</v>
      </c>
      <c r="D215" s="32">
        <f t="shared" si="13"/>
        <v>213964.79</v>
      </c>
      <c r="E215" s="72">
        <v>42215.85</v>
      </c>
      <c r="F215" s="72"/>
      <c r="G215" s="29">
        <f t="shared" si="14"/>
        <v>256180.64</v>
      </c>
      <c r="H215" s="30"/>
      <c r="I215" s="31">
        <f t="shared" si="15"/>
        <v>-10698</v>
      </c>
      <c r="J215" s="32">
        <v>-47014.75</v>
      </c>
      <c r="K215" s="32"/>
      <c r="L215" s="29">
        <f t="shared" si="16"/>
        <v>-57712.75</v>
      </c>
      <c r="M215" s="33">
        <f t="shared" si="17"/>
        <v>198467.89</v>
      </c>
    </row>
    <row r="216" spans="1:17" x14ac:dyDescent="0.3">
      <c r="A216" s="25">
        <v>47</v>
      </c>
      <c r="B216" s="26">
        <v>1985</v>
      </c>
      <c r="C216" s="36" t="s">
        <v>57</v>
      </c>
      <c r="D216" s="32">
        <f t="shared" si="13"/>
        <v>0</v>
      </c>
      <c r="E216" s="72"/>
      <c r="F216" s="72"/>
      <c r="G216" s="29">
        <f t="shared" si="14"/>
        <v>0</v>
      </c>
      <c r="H216" s="30"/>
      <c r="I216" s="31">
        <f t="shared" si="15"/>
        <v>0</v>
      </c>
      <c r="J216" s="32"/>
      <c r="K216" s="32"/>
      <c r="L216" s="29">
        <f t="shared" si="16"/>
        <v>0</v>
      </c>
      <c r="M216" s="33">
        <f t="shared" si="17"/>
        <v>0</v>
      </c>
    </row>
    <row r="217" spans="1:17" x14ac:dyDescent="0.3">
      <c r="A217" s="43">
        <v>47</v>
      </c>
      <c r="B217" s="26">
        <v>1990</v>
      </c>
      <c r="C217" s="45" t="s">
        <v>58</v>
      </c>
      <c r="D217" s="32">
        <f t="shared" si="13"/>
        <v>0</v>
      </c>
      <c r="E217" s="72"/>
      <c r="F217" s="72"/>
      <c r="G217" s="29">
        <f t="shared" si="14"/>
        <v>0</v>
      </c>
      <c r="H217" s="30"/>
      <c r="I217" s="31">
        <f t="shared" si="15"/>
        <v>0</v>
      </c>
      <c r="J217" s="32"/>
      <c r="K217" s="32"/>
      <c r="L217" s="29">
        <f t="shared" si="16"/>
        <v>0</v>
      </c>
      <c r="M217" s="33">
        <f t="shared" si="17"/>
        <v>0</v>
      </c>
    </row>
    <row r="218" spans="1:17" x14ac:dyDescent="0.3">
      <c r="A218" s="25">
        <v>47</v>
      </c>
      <c r="B218" s="73">
        <v>1995</v>
      </c>
      <c r="C218" s="36" t="s">
        <v>59</v>
      </c>
      <c r="D218" s="32">
        <f t="shared" si="13"/>
        <v>-6089813.4900000002</v>
      </c>
      <c r="E218" s="72">
        <v>-700622</v>
      </c>
      <c r="F218" s="72"/>
      <c r="G218" s="29">
        <f t="shared" si="14"/>
        <v>-6790435.4900000002</v>
      </c>
      <c r="H218" s="30"/>
      <c r="I218" s="31">
        <f t="shared" si="15"/>
        <v>864386.08000000007</v>
      </c>
      <c r="J218" s="32">
        <v>106624.45999999996</v>
      </c>
      <c r="K218" s="32"/>
      <c r="L218" s="29">
        <f t="shared" si="16"/>
        <v>971010.54</v>
      </c>
      <c r="M218" s="33">
        <f t="shared" si="17"/>
        <v>-5819424.9500000002</v>
      </c>
    </row>
    <row r="219" spans="1:17" ht="15.6" x14ac:dyDescent="0.3">
      <c r="A219" s="25">
        <v>47</v>
      </c>
      <c r="B219" s="26">
        <v>2440</v>
      </c>
      <c r="C219" s="36" t="s">
        <v>60</v>
      </c>
      <c r="D219" s="32">
        <f t="shared" si="13"/>
        <v>0</v>
      </c>
      <c r="E219" s="32"/>
      <c r="F219" s="32"/>
      <c r="G219" s="29">
        <f t="shared" si="14"/>
        <v>0</v>
      </c>
      <c r="H219"/>
      <c r="I219" s="31">
        <f t="shared" si="15"/>
        <v>0</v>
      </c>
      <c r="J219" s="32"/>
      <c r="K219" s="32"/>
      <c r="L219" s="29">
        <f t="shared" si="16"/>
        <v>0</v>
      </c>
      <c r="M219" s="33">
        <f t="shared" si="17"/>
        <v>0</v>
      </c>
    </row>
    <row r="220" spans="1:17" x14ac:dyDescent="0.3">
      <c r="A220" s="46"/>
      <c r="B220" s="46"/>
      <c r="C220" s="47"/>
      <c r="D220" s="32">
        <f t="shared" si="13"/>
        <v>0</v>
      </c>
      <c r="E220" s="48"/>
      <c r="F220" s="48"/>
      <c r="G220" s="29">
        <v>0</v>
      </c>
      <c r="H220"/>
      <c r="I220" s="31">
        <f t="shared" si="15"/>
        <v>0</v>
      </c>
      <c r="J220" s="48"/>
      <c r="K220" s="48"/>
      <c r="L220" s="29">
        <f t="shared" si="16"/>
        <v>0</v>
      </c>
      <c r="M220" s="33">
        <f t="shared" si="17"/>
        <v>0</v>
      </c>
    </row>
    <row r="221" spans="1:17" x14ac:dyDescent="0.3">
      <c r="A221" s="46"/>
      <c r="B221" s="46"/>
      <c r="C221" s="49" t="s">
        <v>61</v>
      </c>
      <c r="D221" s="50">
        <f>SUM(D181:D220)</f>
        <v>39364465.459999993</v>
      </c>
      <c r="E221" s="50">
        <f t="shared" ref="E221:G221" si="18">SUM(E181:E220)</f>
        <v>5537256.3300000001</v>
      </c>
      <c r="F221" s="50">
        <f t="shared" si="18"/>
        <v>-1470160</v>
      </c>
      <c r="G221" s="50">
        <f t="shared" si="18"/>
        <v>43431561.789999992</v>
      </c>
      <c r="H221" s="50"/>
      <c r="I221" s="50">
        <f>SUM(I181:I220)</f>
        <v>-16053186.74</v>
      </c>
      <c r="J221" s="50">
        <f t="shared" ref="J221:L221" si="19">SUM(J181:J220)</f>
        <v>-1852527.2799999998</v>
      </c>
      <c r="K221" s="50">
        <f t="shared" si="19"/>
        <v>656509</v>
      </c>
      <c r="L221" s="50">
        <f t="shared" si="19"/>
        <v>-17249205.02</v>
      </c>
      <c r="M221" s="50">
        <f>SUM(M181:M220)</f>
        <v>26182356.770000003</v>
      </c>
      <c r="Q221" s="57"/>
    </row>
    <row r="222" spans="1:17" ht="26.4" x14ac:dyDescent="0.3">
      <c r="A222" s="46"/>
      <c r="B222" s="46"/>
      <c r="C222" s="51" t="s">
        <v>62</v>
      </c>
      <c r="D222" s="48"/>
      <c r="E222" s="48"/>
      <c r="F222" s="48"/>
      <c r="G222" s="29">
        <v>0</v>
      </c>
      <c r="H222"/>
      <c r="I222" s="48"/>
      <c r="J222" s="48"/>
      <c r="K222" s="48"/>
      <c r="L222" s="29">
        <v>0</v>
      </c>
      <c r="M222" s="33">
        <v>0</v>
      </c>
    </row>
    <row r="223" spans="1:17" ht="26.4" x14ac:dyDescent="0.3">
      <c r="A223" s="46"/>
      <c r="B223" s="46"/>
      <c r="C223" s="52" t="s">
        <v>63</v>
      </c>
      <c r="D223" s="48"/>
      <c r="E223" s="48"/>
      <c r="F223" s="48"/>
      <c r="G223" s="29">
        <v>0</v>
      </c>
      <c r="H223"/>
      <c r="I223" s="48"/>
      <c r="J223" s="48"/>
      <c r="K223" s="48"/>
      <c r="L223" s="29">
        <v>0</v>
      </c>
      <c r="M223" s="33">
        <v>0</v>
      </c>
    </row>
    <row r="224" spans="1:17" x14ac:dyDescent="0.3">
      <c r="A224" s="46"/>
      <c r="B224" s="46"/>
      <c r="C224" s="49" t="s">
        <v>65</v>
      </c>
      <c r="D224" s="50">
        <f>SUM(D221:D223)</f>
        <v>39364465.459999993</v>
      </c>
      <c r="E224" s="50">
        <f t="shared" ref="E224:G224" si="20">SUM(E221:E223)</f>
        <v>5537256.3300000001</v>
      </c>
      <c r="F224" s="50">
        <f t="shared" si="20"/>
        <v>-1470160</v>
      </c>
      <c r="G224" s="50">
        <f t="shared" si="20"/>
        <v>43431561.789999992</v>
      </c>
      <c r="H224" s="50"/>
      <c r="I224" s="50">
        <f>SUM(I221:I223)</f>
        <v>-16053186.74</v>
      </c>
      <c r="J224" s="50">
        <f t="shared" ref="J224:M224" si="21">SUM(J221:J223)</f>
        <v>-1852527.2799999998</v>
      </c>
      <c r="K224" s="50">
        <f t="shared" si="21"/>
        <v>656509</v>
      </c>
      <c r="L224" s="50">
        <f t="shared" si="21"/>
        <v>-17249205.02</v>
      </c>
      <c r="M224" s="50">
        <f t="shared" si="21"/>
        <v>26182356.770000003</v>
      </c>
    </row>
    <row r="225" spans="1:15" ht="16.2" x14ac:dyDescent="0.3">
      <c r="A225" s="46"/>
      <c r="B225" s="46"/>
      <c r="C225" s="139" t="s">
        <v>66</v>
      </c>
      <c r="D225" s="140"/>
      <c r="E225" s="140"/>
      <c r="F225" s="140"/>
      <c r="G225" s="140"/>
      <c r="H225" s="140"/>
      <c r="I225" s="141"/>
      <c r="J225" s="48"/>
      <c r="K225" s="54"/>
      <c r="L225" s="55"/>
      <c r="M225" s="56"/>
      <c r="O225" s="2"/>
    </row>
    <row r="226" spans="1:15" x14ac:dyDescent="0.3">
      <c r="A226" s="46"/>
      <c r="B226" s="46"/>
      <c r="C226" s="139" t="s">
        <v>67</v>
      </c>
      <c r="D226" s="140"/>
      <c r="E226" s="140"/>
      <c r="F226" s="140"/>
      <c r="G226" s="140"/>
      <c r="H226" s="140"/>
      <c r="I226" s="141"/>
      <c r="J226" s="50">
        <v>-1435333.2799999998</v>
      </c>
      <c r="K226" s="54"/>
      <c r="L226" s="82"/>
      <c r="M226" s="83"/>
      <c r="O226" s="2"/>
    </row>
    <row r="227" spans="1:15" x14ac:dyDescent="0.3">
      <c r="C227"/>
      <c r="D227" s="74"/>
      <c r="E227" s="74"/>
      <c r="F227" s="76"/>
      <c r="G227" s="74"/>
      <c r="H227" s="75"/>
      <c r="I227" s="74"/>
      <c r="J227" s="74"/>
      <c r="K227" s="84"/>
      <c r="L227" s="74"/>
      <c r="M227" s="161"/>
      <c r="N227" s="161"/>
      <c r="O227" s="2"/>
    </row>
    <row r="228" spans="1:15" x14ac:dyDescent="0.3">
      <c r="C228"/>
      <c r="D228" s="44"/>
      <c r="E228" s="85"/>
      <c r="F228" s="74"/>
      <c r="G228" s="57"/>
      <c r="H228"/>
      <c r="I228" s="58" t="s">
        <v>68</v>
      </c>
      <c r="J228" s="59"/>
      <c r="K228"/>
      <c r="L228" s="80"/>
      <c r="M228" s="161"/>
      <c r="N228" s="161"/>
      <c r="O228" s="2"/>
    </row>
    <row r="229" spans="1:15" x14ac:dyDescent="0.3">
      <c r="A229" s="46">
        <v>10</v>
      </c>
      <c r="B229" s="46"/>
      <c r="C229" s="47" t="s">
        <v>69</v>
      </c>
      <c r="D229" s="80"/>
      <c r="E229"/>
      <c r="F229"/>
      <c r="G229"/>
      <c r="H229"/>
      <c r="I229" s="59" t="s">
        <v>69</v>
      </c>
      <c r="J229" s="59"/>
      <c r="K229" s="60"/>
      <c r="L229" s="80"/>
      <c r="M229" s="161"/>
      <c r="N229" s="161"/>
      <c r="O229" s="2"/>
    </row>
    <row r="230" spans="1:15" x14ac:dyDescent="0.3">
      <c r="A230" s="46">
        <v>8</v>
      </c>
      <c r="B230" s="46"/>
      <c r="C230" s="47" t="s">
        <v>47</v>
      </c>
      <c r="D230"/>
      <c r="E230"/>
      <c r="F230"/>
      <c r="G230"/>
      <c r="H230"/>
      <c r="I230" s="59" t="s">
        <v>47</v>
      </c>
      <c r="J230" s="59"/>
      <c r="K230" s="61"/>
      <c r="L230"/>
      <c r="M230" s="161"/>
      <c r="N230" s="161"/>
      <c r="O230" s="2"/>
    </row>
    <row r="231" spans="1:15" x14ac:dyDescent="0.3">
      <c r="C231"/>
      <c r="D231"/>
      <c r="E231"/>
      <c r="F231"/>
      <c r="G231" s="80"/>
      <c r="H231"/>
      <c r="I231" s="62" t="s">
        <v>70</v>
      </c>
      <c r="J231"/>
      <c r="K231" s="63">
        <v>-1435333.2799999998</v>
      </c>
      <c r="L231" s="57"/>
      <c r="M231" s="3"/>
      <c r="N231" s="161"/>
      <c r="O231" s="2"/>
    </row>
    <row r="232" spans="1:15" x14ac:dyDescent="0.3">
      <c r="C232"/>
      <c r="D232"/>
      <c r="E232"/>
      <c r="F232"/>
      <c r="G232" s="80"/>
      <c r="H232"/>
      <c r="I232"/>
      <c r="J232"/>
      <c r="K232"/>
      <c r="L232"/>
      <c r="M232" s="165"/>
      <c r="N232" s="161"/>
      <c r="O232" s="2"/>
    </row>
    <row r="233" spans="1:15" x14ac:dyDescent="0.3">
      <c r="M233"/>
      <c r="O233" s="2"/>
    </row>
    <row r="237" spans="1:15" x14ac:dyDescent="0.3">
      <c r="C237"/>
      <c r="D237"/>
      <c r="E237"/>
      <c r="F237"/>
      <c r="G237"/>
      <c r="H237"/>
      <c r="I237"/>
      <c r="J237"/>
      <c r="K237"/>
      <c r="L237" s="68"/>
      <c r="M237" s="69"/>
      <c r="O237" s="2"/>
    </row>
    <row r="238" spans="1:15" x14ac:dyDescent="0.3">
      <c r="C238"/>
      <c r="D238"/>
      <c r="E238"/>
      <c r="F238"/>
      <c r="G238"/>
      <c r="H238"/>
      <c r="I238"/>
      <c r="J238"/>
      <c r="K238"/>
      <c r="L238" s="68"/>
      <c r="M238" s="70"/>
      <c r="O238" s="2"/>
    </row>
    <row r="239" spans="1:15" x14ac:dyDescent="0.3">
      <c r="C239"/>
      <c r="D239"/>
      <c r="E239"/>
      <c r="F239"/>
      <c r="G239"/>
      <c r="H239"/>
      <c r="I239"/>
      <c r="J239"/>
      <c r="K239"/>
      <c r="L239" s="68"/>
      <c r="M239" s="70"/>
      <c r="O239" s="2"/>
    </row>
    <row r="240" spans="1:15" x14ac:dyDescent="0.3">
      <c r="C240"/>
      <c r="D240"/>
      <c r="E240"/>
      <c r="F240"/>
      <c r="G240"/>
      <c r="H240"/>
      <c r="I240"/>
      <c r="J240"/>
      <c r="K240"/>
      <c r="L240" s="68"/>
      <c r="M240" s="70"/>
      <c r="O240" s="2"/>
    </row>
    <row r="241" spans="1:14" s="2" customFormat="1" x14ac:dyDescent="0.3">
      <c r="A241" s="1"/>
      <c r="B241" s="1"/>
      <c r="C241"/>
      <c r="D241"/>
      <c r="E241"/>
      <c r="F241"/>
      <c r="G241"/>
      <c r="H241"/>
      <c r="I241"/>
      <c r="J241"/>
      <c r="K241"/>
      <c r="L241" s="68"/>
      <c r="M241" s="71"/>
      <c r="N241" s="44"/>
    </row>
    <row r="242" spans="1:14" s="2" customFormat="1" x14ac:dyDescent="0.3">
      <c r="A242" s="1"/>
      <c r="B242" s="1"/>
      <c r="C242"/>
      <c r="D242"/>
      <c r="E242"/>
      <c r="F242"/>
      <c r="G242"/>
      <c r="H242"/>
      <c r="I242"/>
      <c r="J242"/>
      <c r="K242"/>
      <c r="L242" s="68"/>
      <c r="M242" s="71"/>
      <c r="N242" s="44"/>
    </row>
    <row r="243" spans="1:14" s="2" customFormat="1" x14ac:dyDescent="0.3">
      <c r="A243" s="1"/>
      <c r="B243" s="1"/>
      <c r="C243"/>
      <c r="D243"/>
      <c r="E243"/>
      <c r="F243"/>
      <c r="G243"/>
      <c r="H243"/>
      <c r="I243"/>
      <c r="J243"/>
      <c r="K243"/>
      <c r="L243" s="68"/>
      <c r="M243" s="71"/>
      <c r="N243" s="44"/>
    </row>
    <row r="244" spans="1:14" s="2" customFormat="1" x14ac:dyDescent="0.3">
      <c r="A244" s="1"/>
      <c r="B244" s="1"/>
      <c r="C244"/>
      <c r="D244"/>
      <c r="E244"/>
      <c r="F244"/>
      <c r="G244"/>
      <c r="H244"/>
      <c r="I244"/>
      <c r="J244"/>
      <c r="K244"/>
      <c r="L244"/>
      <c r="M244"/>
      <c r="N244" s="44"/>
    </row>
    <row r="245" spans="1:14" s="2" customFormat="1" ht="17.399999999999999" x14ac:dyDescent="0.3">
      <c r="A245" s="138" t="s">
        <v>6</v>
      </c>
      <c r="B245" s="138"/>
      <c r="C245" s="138"/>
      <c r="D245" s="138"/>
      <c r="E245" s="138"/>
      <c r="F245" s="138"/>
      <c r="G245" s="138"/>
      <c r="H245" s="138"/>
      <c r="I245" s="138"/>
      <c r="J245" s="138"/>
      <c r="K245" s="138"/>
      <c r="L245" s="138"/>
      <c r="M245" s="138"/>
      <c r="N245" s="44"/>
    </row>
    <row r="246" spans="1:14" s="2" customFormat="1" ht="19.2" x14ac:dyDescent="0.3">
      <c r="A246" s="138" t="s">
        <v>7</v>
      </c>
      <c r="B246" s="138"/>
      <c r="C246" s="138"/>
      <c r="D246" s="138"/>
      <c r="E246" s="138"/>
      <c r="F246" s="138"/>
      <c r="G246" s="138"/>
      <c r="H246" s="138"/>
      <c r="I246" s="138"/>
      <c r="J246" s="138"/>
      <c r="K246" s="138"/>
      <c r="L246" s="138"/>
      <c r="M246" s="138"/>
      <c r="N246" s="44"/>
    </row>
    <row r="247" spans="1:14" s="2" customFormat="1" x14ac:dyDescent="0.3">
      <c r="A247" s="1"/>
      <c r="B247" s="1"/>
      <c r="C247"/>
      <c r="D247"/>
      <c r="E247"/>
      <c r="F247"/>
      <c r="G247"/>
      <c r="I247"/>
      <c r="J247"/>
      <c r="K247"/>
      <c r="L247"/>
      <c r="M247"/>
      <c r="N247" s="44"/>
    </row>
    <row r="248" spans="1:14" s="2" customFormat="1" x14ac:dyDescent="0.3">
      <c r="A248" s="1"/>
      <c r="B248" s="1"/>
      <c r="C248"/>
      <c r="D248"/>
      <c r="E248" s="10" t="s">
        <v>8</v>
      </c>
      <c r="F248" s="11" t="s">
        <v>9</v>
      </c>
      <c r="G248" s="2" t="s">
        <v>78</v>
      </c>
      <c r="I248"/>
      <c r="J248"/>
      <c r="K248"/>
      <c r="L248"/>
      <c r="M248"/>
      <c r="N248" s="44"/>
    </row>
    <row r="249" spans="1:14" s="2" customFormat="1" x14ac:dyDescent="0.3">
      <c r="A249" s="1"/>
      <c r="B249" s="1"/>
      <c r="C249" s="12"/>
      <c r="D249"/>
      <c r="E249" s="10" t="s">
        <v>10</v>
      </c>
      <c r="F249" s="13">
        <v>2014</v>
      </c>
      <c r="G249" s="14"/>
      <c r="H249"/>
      <c r="I249"/>
      <c r="J249"/>
      <c r="K249"/>
      <c r="L249"/>
      <c r="M249"/>
      <c r="N249" s="44"/>
    </row>
    <row r="250" spans="1:14" s="2" customFormat="1" x14ac:dyDescent="0.3">
      <c r="A250" s="1"/>
      <c r="B250" s="1"/>
      <c r="C250"/>
      <c r="D250"/>
      <c r="E250"/>
      <c r="F250"/>
      <c r="G250"/>
      <c r="H250"/>
      <c r="I250"/>
      <c r="J250"/>
      <c r="K250"/>
      <c r="L250"/>
      <c r="M250"/>
      <c r="N250" s="44"/>
    </row>
    <row r="251" spans="1:14" s="2" customFormat="1" x14ac:dyDescent="0.3">
      <c r="A251" s="1"/>
      <c r="B251" s="1"/>
      <c r="C251"/>
      <c r="D251" s="135" t="s">
        <v>11</v>
      </c>
      <c r="E251" s="136"/>
      <c r="F251" s="136"/>
      <c r="G251" s="137"/>
      <c r="H251"/>
      <c r="I251" s="15"/>
      <c r="J251" s="16" t="s">
        <v>12</v>
      </c>
      <c r="K251" s="16"/>
      <c r="L251" s="17"/>
      <c r="M251" s="3"/>
      <c r="N251" s="44"/>
    </row>
    <row r="252" spans="1:14" s="2" customFormat="1" ht="29.4" x14ac:dyDescent="0.3">
      <c r="A252" s="18" t="s">
        <v>13</v>
      </c>
      <c r="B252" s="18" t="s">
        <v>14</v>
      </c>
      <c r="C252" s="19" t="s">
        <v>15</v>
      </c>
      <c r="D252" s="18" t="s">
        <v>16</v>
      </c>
      <c r="E252" s="20" t="s">
        <v>17</v>
      </c>
      <c r="F252" s="20" t="s">
        <v>18</v>
      </c>
      <c r="G252" s="18" t="s">
        <v>19</v>
      </c>
      <c r="H252" s="21"/>
      <c r="I252" s="22" t="s">
        <v>16</v>
      </c>
      <c r="J252" s="23" t="s">
        <v>20</v>
      </c>
      <c r="K252" s="23" t="s">
        <v>18</v>
      </c>
      <c r="L252" s="24" t="s">
        <v>19</v>
      </c>
      <c r="M252" s="18" t="s">
        <v>21</v>
      </c>
      <c r="N252" s="44"/>
    </row>
    <row r="253" spans="1:14" s="2" customFormat="1" ht="26.4" x14ac:dyDescent="0.3">
      <c r="A253" s="25">
        <v>12</v>
      </c>
      <c r="B253" s="73">
        <v>1611</v>
      </c>
      <c r="C253" s="27" t="s">
        <v>22</v>
      </c>
      <c r="D253" s="32">
        <f>+G181</f>
        <v>1140133.47</v>
      </c>
      <c r="E253" s="32">
        <v>137557</v>
      </c>
      <c r="F253" s="32">
        <v>0</v>
      </c>
      <c r="G253" s="29">
        <f>SUM(D253:F253)</f>
        <v>1277690.47</v>
      </c>
      <c r="H253" s="30"/>
      <c r="I253" s="31">
        <f>+L181</f>
        <v>-737540.97</v>
      </c>
      <c r="J253" s="32">
        <v>-107619</v>
      </c>
      <c r="K253" s="32"/>
      <c r="L253" s="29">
        <f>SUM(I253:K253)</f>
        <v>-845159.97</v>
      </c>
      <c r="M253" s="33">
        <f>+G253+L253</f>
        <v>432530.5</v>
      </c>
      <c r="N253" s="44"/>
    </row>
    <row r="254" spans="1:14" s="2" customFormat="1" ht="26.4" x14ac:dyDescent="0.3">
      <c r="A254" s="25" t="s">
        <v>23</v>
      </c>
      <c r="B254" s="73">
        <v>1612</v>
      </c>
      <c r="C254" s="27" t="s">
        <v>24</v>
      </c>
      <c r="D254" s="32">
        <f t="shared" ref="D254:D291" si="22">+G182</f>
        <v>43879.040000000001</v>
      </c>
      <c r="E254" s="32">
        <v>0</v>
      </c>
      <c r="F254" s="32">
        <v>0</v>
      </c>
      <c r="G254" s="29">
        <f t="shared" ref="G254:G292" si="23">SUM(D254:F254)</f>
        <v>43879.040000000001</v>
      </c>
      <c r="H254" s="30"/>
      <c r="I254" s="31">
        <f t="shared" ref="I254:I291" si="24">+L182</f>
        <v>0</v>
      </c>
      <c r="J254" s="32"/>
      <c r="K254" s="32"/>
      <c r="L254" s="29">
        <f t="shared" ref="L254:L292" si="25">SUM(I254:K254)</f>
        <v>0</v>
      </c>
      <c r="M254" s="33">
        <f t="shared" ref="M254:M290" si="26">+G254+L254</f>
        <v>43879.040000000001</v>
      </c>
      <c r="N254" s="44"/>
    </row>
    <row r="255" spans="1:14" s="2" customFormat="1" x14ac:dyDescent="0.3">
      <c r="A255" s="25" t="s">
        <v>25</v>
      </c>
      <c r="B255" s="73">
        <v>1805</v>
      </c>
      <c r="C255" s="35" t="s">
        <v>26</v>
      </c>
      <c r="D255" s="32">
        <f t="shared" si="22"/>
        <v>104039.08</v>
      </c>
      <c r="E255" s="32">
        <v>0</v>
      </c>
      <c r="F255" s="32">
        <v>0</v>
      </c>
      <c r="G255" s="29">
        <f t="shared" si="23"/>
        <v>104039.08</v>
      </c>
      <c r="H255" s="30"/>
      <c r="I255" s="31">
        <f t="shared" si="24"/>
        <v>0</v>
      </c>
      <c r="J255" s="32"/>
      <c r="K255" s="32"/>
      <c r="L255" s="29">
        <f t="shared" si="25"/>
        <v>0</v>
      </c>
      <c r="M255" s="33">
        <f t="shared" si="26"/>
        <v>104039.08</v>
      </c>
      <c r="N255" s="44"/>
    </row>
    <row r="256" spans="1:14" s="2" customFormat="1" x14ac:dyDescent="0.3">
      <c r="A256" s="25">
        <v>47</v>
      </c>
      <c r="B256" s="73">
        <v>1808</v>
      </c>
      <c r="C256" s="36" t="s">
        <v>27</v>
      </c>
      <c r="D256" s="32">
        <f t="shared" si="22"/>
        <v>220868.23</v>
      </c>
      <c r="E256" s="32">
        <v>4014</v>
      </c>
      <c r="F256" s="32">
        <v>0</v>
      </c>
      <c r="G256" s="29">
        <f t="shared" si="23"/>
        <v>224882.23</v>
      </c>
      <c r="H256" s="30"/>
      <c r="I256" s="31">
        <f t="shared" si="24"/>
        <v>-75074.06</v>
      </c>
      <c r="J256" s="32">
        <v>-3989</v>
      </c>
      <c r="K256" s="32"/>
      <c r="L256" s="29">
        <f t="shared" si="25"/>
        <v>-79063.06</v>
      </c>
      <c r="M256" s="33">
        <f t="shared" si="26"/>
        <v>145819.17000000001</v>
      </c>
      <c r="N256" s="44"/>
    </row>
    <row r="257" spans="1:13" s="2" customFormat="1" x14ac:dyDescent="0.3">
      <c r="A257" s="25">
        <v>13</v>
      </c>
      <c r="B257" s="34">
        <v>1810</v>
      </c>
      <c r="C257" s="36" t="s">
        <v>28</v>
      </c>
      <c r="D257" s="32">
        <f t="shared" si="22"/>
        <v>0</v>
      </c>
      <c r="E257" s="32">
        <v>0</v>
      </c>
      <c r="F257" s="32">
        <v>0</v>
      </c>
      <c r="G257" s="29">
        <f t="shared" si="23"/>
        <v>0</v>
      </c>
      <c r="H257" s="30"/>
      <c r="I257" s="31">
        <f t="shared" si="24"/>
        <v>0</v>
      </c>
      <c r="J257" s="32"/>
      <c r="K257" s="32"/>
      <c r="L257" s="29">
        <f t="shared" si="25"/>
        <v>0</v>
      </c>
      <c r="M257" s="33">
        <f t="shared" si="26"/>
        <v>0</v>
      </c>
    </row>
    <row r="258" spans="1:13" s="2" customFormat="1" x14ac:dyDescent="0.3">
      <c r="A258" s="25">
        <v>47</v>
      </c>
      <c r="B258" s="34">
        <v>1815</v>
      </c>
      <c r="C258" s="36" t="s">
        <v>29</v>
      </c>
      <c r="D258" s="32">
        <f t="shared" si="22"/>
        <v>0</v>
      </c>
      <c r="E258" s="32">
        <v>0</v>
      </c>
      <c r="F258" s="32">
        <v>0</v>
      </c>
      <c r="G258" s="29">
        <f t="shared" si="23"/>
        <v>0</v>
      </c>
      <c r="H258" s="30"/>
      <c r="I258" s="31">
        <f t="shared" si="24"/>
        <v>0</v>
      </c>
      <c r="J258" s="32"/>
      <c r="K258" s="32"/>
      <c r="L258" s="29">
        <f t="shared" si="25"/>
        <v>0</v>
      </c>
      <c r="M258" s="33">
        <f t="shared" si="26"/>
        <v>0</v>
      </c>
    </row>
    <row r="259" spans="1:13" s="2" customFormat="1" x14ac:dyDescent="0.3">
      <c r="A259" s="25">
        <v>47</v>
      </c>
      <c r="B259" s="73">
        <v>1820</v>
      </c>
      <c r="C259" s="27" t="s">
        <v>30</v>
      </c>
      <c r="D259" s="32">
        <f t="shared" si="22"/>
        <v>617563.71</v>
      </c>
      <c r="E259" s="32">
        <v>0</v>
      </c>
      <c r="F259" s="32">
        <v>0</v>
      </c>
      <c r="G259" s="29">
        <f t="shared" si="23"/>
        <v>617563.71</v>
      </c>
      <c r="H259" s="30"/>
      <c r="I259" s="31">
        <f t="shared" si="24"/>
        <v>-198234.41</v>
      </c>
      <c r="J259" s="32">
        <v>-10591</v>
      </c>
      <c r="K259" s="32"/>
      <c r="L259" s="29">
        <f t="shared" si="25"/>
        <v>-208825.41</v>
      </c>
      <c r="M259" s="33">
        <f t="shared" si="26"/>
        <v>408738.29999999993</v>
      </c>
    </row>
    <row r="260" spans="1:13" s="2" customFormat="1" x14ac:dyDescent="0.3">
      <c r="A260" s="25">
        <v>47</v>
      </c>
      <c r="B260" s="34">
        <v>1825</v>
      </c>
      <c r="C260" s="36" t="s">
        <v>31</v>
      </c>
      <c r="D260" s="32">
        <f t="shared" si="22"/>
        <v>0</v>
      </c>
      <c r="E260" s="32">
        <v>0</v>
      </c>
      <c r="F260" s="32">
        <v>0</v>
      </c>
      <c r="G260" s="29">
        <f t="shared" si="23"/>
        <v>0</v>
      </c>
      <c r="H260" s="30"/>
      <c r="I260" s="31">
        <f t="shared" si="24"/>
        <v>0</v>
      </c>
      <c r="J260" s="32"/>
      <c r="K260" s="32"/>
      <c r="L260" s="29">
        <f t="shared" si="25"/>
        <v>0</v>
      </c>
      <c r="M260" s="33">
        <f t="shared" si="26"/>
        <v>0</v>
      </c>
    </row>
    <row r="261" spans="1:13" s="2" customFormat="1" x14ac:dyDescent="0.3">
      <c r="A261" s="25">
        <v>47</v>
      </c>
      <c r="B261" s="73">
        <v>1830</v>
      </c>
      <c r="C261" s="36" t="s">
        <v>32</v>
      </c>
      <c r="D261" s="32">
        <f t="shared" si="22"/>
        <v>6523422.6399999997</v>
      </c>
      <c r="E261" s="32">
        <v>1232100</v>
      </c>
      <c r="F261" s="32">
        <v>-44396</v>
      </c>
      <c r="G261" s="29">
        <f t="shared" si="23"/>
        <v>7711126.6399999997</v>
      </c>
      <c r="H261" s="30"/>
      <c r="I261" s="31">
        <f t="shared" si="24"/>
        <v>-2544985.02</v>
      </c>
      <c r="J261" s="32">
        <v>-142789</v>
      </c>
      <c r="K261" s="32">
        <v>41615.86</v>
      </c>
      <c r="L261" s="29">
        <f t="shared" si="25"/>
        <v>-2646158.16</v>
      </c>
      <c r="M261" s="33">
        <f t="shared" si="26"/>
        <v>5064968.4799999995</v>
      </c>
    </row>
    <row r="262" spans="1:13" s="2" customFormat="1" x14ac:dyDescent="0.3">
      <c r="A262" s="25">
        <v>47</v>
      </c>
      <c r="B262" s="73">
        <v>1835</v>
      </c>
      <c r="C262" s="36" t="s">
        <v>33</v>
      </c>
      <c r="D262" s="32">
        <f t="shared" si="22"/>
        <v>12015007.039999999</v>
      </c>
      <c r="E262" s="32">
        <v>1338932</v>
      </c>
      <c r="F262" s="32">
        <v>-1899.28</v>
      </c>
      <c r="G262" s="29">
        <f t="shared" si="23"/>
        <v>13352039.76</v>
      </c>
      <c r="H262" s="30"/>
      <c r="I262" s="31">
        <f t="shared" si="24"/>
        <v>-7035076.3399999999</v>
      </c>
      <c r="J262" s="32">
        <v>-211408</v>
      </c>
      <c r="K262" s="32">
        <v>1899.28</v>
      </c>
      <c r="L262" s="29">
        <f t="shared" si="25"/>
        <v>-7244585.0599999996</v>
      </c>
      <c r="M262" s="33">
        <f t="shared" si="26"/>
        <v>6107454.7000000002</v>
      </c>
    </row>
    <row r="263" spans="1:13" s="2" customFormat="1" x14ac:dyDescent="0.3">
      <c r="A263" s="25">
        <v>47</v>
      </c>
      <c r="B263" s="73">
        <v>1840</v>
      </c>
      <c r="C263" s="36" t="s">
        <v>34</v>
      </c>
      <c r="D263" s="32">
        <f t="shared" si="22"/>
        <v>2717442.02</v>
      </c>
      <c r="E263" s="32">
        <v>45672</v>
      </c>
      <c r="F263" s="32">
        <v>0</v>
      </c>
      <c r="G263" s="29">
        <f t="shared" si="23"/>
        <v>2763114.02</v>
      </c>
      <c r="H263" s="30"/>
      <c r="I263" s="31">
        <f t="shared" si="24"/>
        <v>-355353.72</v>
      </c>
      <c r="J263" s="32">
        <v>-66590</v>
      </c>
      <c r="K263" s="32"/>
      <c r="L263" s="29">
        <f t="shared" si="25"/>
        <v>-421943.72</v>
      </c>
      <c r="M263" s="33">
        <f t="shared" si="26"/>
        <v>2341170.2999999998</v>
      </c>
    </row>
    <row r="264" spans="1:13" s="2" customFormat="1" x14ac:dyDescent="0.3">
      <c r="A264" s="25">
        <v>47</v>
      </c>
      <c r="B264" s="73">
        <v>1845</v>
      </c>
      <c r="C264" s="36" t="s">
        <v>35</v>
      </c>
      <c r="D264" s="32">
        <f t="shared" si="22"/>
        <v>6022155.6899999995</v>
      </c>
      <c r="E264" s="32">
        <v>698300</v>
      </c>
      <c r="F264" s="32">
        <v>-1121.82</v>
      </c>
      <c r="G264" s="29">
        <f t="shared" si="23"/>
        <v>6719333.8699999992</v>
      </c>
      <c r="H264" s="30"/>
      <c r="I264" s="31">
        <f t="shared" si="24"/>
        <v>-953898.08</v>
      </c>
      <c r="J264" s="32">
        <v>-159846</v>
      </c>
      <c r="K264" s="32">
        <v>1121.82</v>
      </c>
      <c r="L264" s="29">
        <f t="shared" si="25"/>
        <v>-1112622.26</v>
      </c>
      <c r="M264" s="33">
        <f t="shared" si="26"/>
        <v>5606711.6099999994</v>
      </c>
    </row>
    <row r="265" spans="1:13" s="2" customFormat="1" x14ac:dyDescent="0.3">
      <c r="A265" s="25">
        <v>47</v>
      </c>
      <c r="B265" s="73">
        <v>1850</v>
      </c>
      <c r="C265" s="36" t="s">
        <v>36</v>
      </c>
      <c r="D265" s="32">
        <f t="shared" si="22"/>
        <v>7774879.3399999989</v>
      </c>
      <c r="E265" s="32">
        <v>552591</v>
      </c>
      <c r="F265" s="32">
        <v>-69005.960000000006</v>
      </c>
      <c r="G265" s="29">
        <f t="shared" si="23"/>
        <v>8258464.379999999</v>
      </c>
      <c r="H265" s="30"/>
      <c r="I265" s="31">
        <f t="shared" si="24"/>
        <v>-1267670.1499999999</v>
      </c>
      <c r="J265" s="32">
        <v>-161023</v>
      </c>
      <c r="K265" s="32">
        <v>69005.960000000006</v>
      </c>
      <c r="L265" s="29">
        <f t="shared" si="25"/>
        <v>-1359687.19</v>
      </c>
      <c r="M265" s="33">
        <f t="shared" si="26"/>
        <v>6898777.1899999995</v>
      </c>
    </row>
    <row r="266" spans="1:13" s="2" customFormat="1" x14ac:dyDescent="0.3">
      <c r="A266" s="25">
        <v>47</v>
      </c>
      <c r="B266" s="73">
        <v>1855</v>
      </c>
      <c r="C266" s="36" t="s">
        <v>37</v>
      </c>
      <c r="D266" s="32">
        <f t="shared" si="22"/>
        <v>4211523.28</v>
      </c>
      <c r="E266" s="32">
        <v>523811</v>
      </c>
      <c r="F266" s="32">
        <v>0</v>
      </c>
      <c r="G266" s="29">
        <f t="shared" si="23"/>
        <v>4735334.28</v>
      </c>
      <c r="H266" s="30"/>
      <c r="I266" s="31">
        <f t="shared" si="24"/>
        <v>-1486280.4300000002</v>
      </c>
      <c r="J266" s="32">
        <v>-74557</v>
      </c>
      <c r="K266" s="32"/>
      <c r="L266" s="29">
        <f t="shared" si="25"/>
        <v>-1560837.4300000002</v>
      </c>
      <c r="M266" s="33">
        <f t="shared" si="26"/>
        <v>3174496.85</v>
      </c>
    </row>
    <row r="267" spans="1:13" s="2" customFormat="1" x14ac:dyDescent="0.3">
      <c r="A267" s="25">
        <v>47</v>
      </c>
      <c r="B267" s="73">
        <v>1860</v>
      </c>
      <c r="C267" s="36" t="s">
        <v>38</v>
      </c>
      <c r="D267" s="32">
        <f t="shared" si="22"/>
        <v>1869392</v>
      </c>
      <c r="E267" s="32">
        <v>134232</v>
      </c>
      <c r="F267" s="32">
        <v>0</v>
      </c>
      <c r="G267" s="29">
        <f t="shared" si="23"/>
        <v>2003624</v>
      </c>
      <c r="H267" s="30"/>
      <c r="I267" s="31">
        <f t="shared" si="24"/>
        <v>-957788.46</v>
      </c>
      <c r="J267" s="32">
        <v>-318105</v>
      </c>
      <c r="K267" s="32"/>
      <c r="L267" s="29">
        <f t="shared" si="25"/>
        <v>-1275893.46</v>
      </c>
      <c r="M267" s="33">
        <f t="shared" si="26"/>
        <v>727730.54</v>
      </c>
    </row>
    <row r="268" spans="1:13" s="2" customFormat="1" x14ac:dyDescent="0.3">
      <c r="A268" s="25">
        <v>47</v>
      </c>
      <c r="B268" s="73">
        <v>1860</v>
      </c>
      <c r="C268" s="35" t="s">
        <v>39</v>
      </c>
      <c r="D268" s="32">
        <f t="shared" si="22"/>
        <v>2887735</v>
      </c>
      <c r="E268" s="32"/>
      <c r="F268" s="32">
        <v>-23019.75</v>
      </c>
      <c r="G268" s="29">
        <f t="shared" si="23"/>
        <v>2864715.25</v>
      </c>
      <c r="H268" s="30"/>
      <c r="I268" s="31">
        <f t="shared" si="24"/>
        <v>-240645</v>
      </c>
      <c r="J268" s="32"/>
      <c r="K268" s="32">
        <v>8152.83</v>
      </c>
      <c r="L268" s="29">
        <f t="shared" si="25"/>
        <v>-232492.17</v>
      </c>
      <c r="M268" s="33">
        <f t="shared" si="26"/>
        <v>2632223.08</v>
      </c>
    </row>
    <row r="269" spans="1:13" s="2" customFormat="1" x14ac:dyDescent="0.3">
      <c r="A269" s="25" t="s">
        <v>25</v>
      </c>
      <c r="B269" s="34">
        <v>1905</v>
      </c>
      <c r="C269" s="35" t="s">
        <v>26</v>
      </c>
      <c r="D269" s="32">
        <f t="shared" si="22"/>
        <v>0</v>
      </c>
      <c r="E269" s="32">
        <v>0</v>
      </c>
      <c r="F269" s="32">
        <v>0</v>
      </c>
      <c r="G269" s="29">
        <f t="shared" si="23"/>
        <v>0</v>
      </c>
      <c r="H269" s="30"/>
      <c r="I269" s="31">
        <f t="shared" si="24"/>
        <v>0</v>
      </c>
      <c r="J269" s="32"/>
      <c r="K269" s="32"/>
      <c r="L269" s="29">
        <f t="shared" si="25"/>
        <v>0</v>
      </c>
      <c r="M269" s="33">
        <f t="shared" si="26"/>
        <v>0</v>
      </c>
    </row>
    <row r="270" spans="1:13" s="2" customFormat="1" x14ac:dyDescent="0.3">
      <c r="A270" s="25">
        <v>47</v>
      </c>
      <c r="B270" s="34">
        <v>1908</v>
      </c>
      <c r="C270" s="36" t="s">
        <v>40</v>
      </c>
      <c r="D270" s="32">
        <f t="shared" si="22"/>
        <v>0</v>
      </c>
      <c r="E270" s="32">
        <v>0</v>
      </c>
      <c r="F270" s="32">
        <v>0</v>
      </c>
      <c r="G270" s="29">
        <f t="shared" si="23"/>
        <v>0</v>
      </c>
      <c r="H270" s="30"/>
      <c r="I270" s="31">
        <f t="shared" si="24"/>
        <v>0</v>
      </c>
      <c r="J270" s="32"/>
      <c r="K270" s="32"/>
      <c r="L270" s="29">
        <f t="shared" si="25"/>
        <v>0</v>
      </c>
      <c r="M270" s="33">
        <f t="shared" si="26"/>
        <v>0</v>
      </c>
    </row>
    <row r="271" spans="1:13" s="2" customFormat="1" x14ac:dyDescent="0.3">
      <c r="A271" s="25">
        <v>13</v>
      </c>
      <c r="B271" s="73">
        <v>1910</v>
      </c>
      <c r="C271" s="36" t="s">
        <v>28</v>
      </c>
      <c r="D271" s="32">
        <f t="shared" si="22"/>
        <v>240729.54</v>
      </c>
      <c r="E271" s="32">
        <v>47056.26999999999</v>
      </c>
      <c r="F271" s="32">
        <v>0</v>
      </c>
      <c r="G271" s="29">
        <f t="shared" si="23"/>
        <v>287785.81</v>
      </c>
      <c r="H271" s="30"/>
      <c r="I271" s="31">
        <f t="shared" si="24"/>
        <v>-17090.759999999998</v>
      </c>
      <c r="J271" s="32">
        <v>-4805</v>
      </c>
      <c r="K271" s="32"/>
      <c r="L271" s="29">
        <f t="shared" si="25"/>
        <v>-21895.759999999998</v>
      </c>
      <c r="M271" s="33">
        <f t="shared" si="26"/>
        <v>265890.05</v>
      </c>
    </row>
    <row r="272" spans="1:13" s="2" customFormat="1" x14ac:dyDescent="0.3">
      <c r="A272" s="25">
        <v>8</v>
      </c>
      <c r="B272" s="73">
        <v>1915</v>
      </c>
      <c r="C272" s="36" t="s">
        <v>41</v>
      </c>
      <c r="D272" s="32">
        <f t="shared" si="22"/>
        <v>89422.8</v>
      </c>
      <c r="E272" s="32">
        <v>2395</v>
      </c>
      <c r="F272" s="32">
        <v>0</v>
      </c>
      <c r="G272" s="29">
        <f t="shared" si="23"/>
        <v>91817.8</v>
      </c>
      <c r="H272" s="30"/>
      <c r="I272" s="31">
        <f t="shared" si="24"/>
        <v>-68291.45</v>
      </c>
      <c r="J272" s="32">
        <v>-2424</v>
      </c>
      <c r="K272" s="32"/>
      <c r="L272" s="29">
        <f t="shared" si="25"/>
        <v>-70715.45</v>
      </c>
      <c r="M272" s="33">
        <f t="shared" si="26"/>
        <v>21102.350000000006</v>
      </c>
    </row>
    <row r="273" spans="1:14" s="2" customFormat="1" x14ac:dyDescent="0.3">
      <c r="A273" s="25">
        <v>8</v>
      </c>
      <c r="B273" s="34">
        <v>1915</v>
      </c>
      <c r="C273" s="36" t="s">
        <v>42</v>
      </c>
      <c r="D273" s="32">
        <f t="shared" si="22"/>
        <v>0</v>
      </c>
      <c r="E273" s="32">
        <v>0</v>
      </c>
      <c r="F273" s="32">
        <v>0</v>
      </c>
      <c r="G273" s="29">
        <f t="shared" si="23"/>
        <v>0</v>
      </c>
      <c r="H273" s="30"/>
      <c r="I273" s="31">
        <f t="shared" si="24"/>
        <v>0</v>
      </c>
      <c r="J273" s="32"/>
      <c r="K273" s="32"/>
      <c r="L273" s="29">
        <f t="shared" si="25"/>
        <v>0</v>
      </c>
      <c r="M273" s="33">
        <f t="shared" si="26"/>
        <v>0</v>
      </c>
      <c r="N273" s="44"/>
    </row>
    <row r="274" spans="1:14" s="2" customFormat="1" x14ac:dyDescent="0.3">
      <c r="A274" s="25">
        <v>10</v>
      </c>
      <c r="B274" s="73">
        <v>1920</v>
      </c>
      <c r="C274" s="36" t="s">
        <v>43</v>
      </c>
      <c r="D274" s="32">
        <f t="shared" si="22"/>
        <v>97941</v>
      </c>
      <c r="E274" s="32">
        <v>0</v>
      </c>
      <c r="F274" s="32">
        <v>0</v>
      </c>
      <c r="G274" s="29">
        <f t="shared" si="23"/>
        <v>97941</v>
      </c>
      <c r="H274" s="30"/>
      <c r="I274" s="31">
        <f t="shared" si="24"/>
        <v>-97941</v>
      </c>
      <c r="J274" s="32"/>
      <c r="K274" s="32"/>
      <c r="L274" s="29">
        <f t="shared" si="25"/>
        <v>-97941</v>
      </c>
      <c r="M274" s="33">
        <f t="shared" si="26"/>
        <v>0</v>
      </c>
      <c r="N274" s="44"/>
    </row>
    <row r="275" spans="1:14" s="2" customFormat="1" ht="26.4" x14ac:dyDescent="0.3">
      <c r="A275" s="25">
        <v>45</v>
      </c>
      <c r="B275" s="81">
        <v>1920</v>
      </c>
      <c r="C275" s="27" t="s">
        <v>44</v>
      </c>
      <c r="D275" s="32">
        <f t="shared" si="22"/>
        <v>3892</v>
      </c>
      <c r="E275" s="32">
        <v>0</v>
      </c>
      <c r="F275" s="32">
        <v>0</v>
      </c>
      <c r="G275" s="29">
        <f t="shared" si="23"/>
        <v>3892</v>
      </c>
      <c r="H275" s="30"/>
      <c r="I275" s="31">
        <f t="shared" si="24"/>
        <v>-3892</v>
      </c>
      <c r="J275" s="32"/>
      <c r="K275" s="32"/>
      <c r="L275" s="29">
        <f t="shared" si="25"/>
        <v>-3892</v>
      </c>
      <c r="M275" s="33">
        <f t="shared" si="26"/>
        <v>0</v>
      </c>
      <c r="N275" s="44"/>
    </row>
    <row r="276" spans="1:14" s="2" customFormat="1" ht="26.4" x14ac:dyDescent="0.3">
      <c r="A276" s="25">
        <v>45.1</v>
      </c>
      <c r="B276" s="81">
        <v>1920</v>
      </c>
      <c r="C276" s="27" t="s">
        <v>45</v>
      </c>
      <c r="D276" s="32">
        <f t="shared" si="22"/>
        <v>103138.91</v>
      </c>
      <c r="E276" s="32">
        <v>34018.25</v>
      </c>
      <c r="F276" s="32">
        <v>0</v>
      </c>
      <c r="G276" s="29">
        <f t="shared" si="23"/>
        <v>137157.16</v>
      </c>
      <c r="H276" s="30"/>
      <c r="I276" s="31">
        <f t="shared" si="24"/>
        <v>-19443.16</v>
      </c>
      <c r="J276" s="32">
        <v>-24029.46</v>
      </c>
      <c r="K276" s="32"/>
      <c r="L276" s="29">
        <f t="shared" si="25"/>
        <v>-43472.619999999995</v>
      </c>
      <c r="M276" s="33">
        <f t="shared" si="26"/>
        <v>93684.540000000008</v>
      </c>
      <c r="N276" s="44"/>
    </row>
    <row r="277" spans="1:14" s="2" customFormat="1" x14ac:dyDescent="0.3">
      <c r="A277" s="25">
        <v>10</v>
      </c>
      <c r="B277" s="73">
        <v>1930</v>
      </c>
      <c r="C277" s="36" t="s">
        <v>46</v>
      </c>
      <c r="D277" s="32">
        <f t="shared" si="22"/>
        <v>3011859.7100000009</v>
      </c>
      <c r="E277" s="32">
        <v>137333.99999999991</v>
      </c>
      <c r="F277" s="32">
        <v>-42442.85</v>
      </c>
      <c r="G277" s="29">
        <f t="shared" si="23"/>
        <v>3106750.8600000008</v>
      </c>
      <c r="H277" s="30"/>
      <c r="I277" s="31">
        <f t="shared" si="24"/>
        <v>-1960131.7299999997</v>
      </c>
      <c r="J277" s="32">
        <f>-104886-111749</f>
        <v>-216635</v>
      </c>
      <c r="K277" s="32">
        <v>28305.8</v>
      </c>
      <c r="L277" s="29">
        <f t="shared" si="25"/>
        <v>-2148460.9299999997</v>
      </c>
      <c r="M277" s="33">
        <f t="shared" si="26"/>
        <v>958289.9300000011</v>
      </c>
      <c r="N277" s="44"/>
    </row>
    <row r="278" spans="1:14" s="2" customFormat="1" x14ac:dyDescent="0.3">
      <c r="A278" s="25">
        <v>8</v>
      </c>
      <c r="B278" s="26">
        <v>1935</v>
      </c>
      <c r="C278" s="36" t="s">
        <v>47</v>
      </c>
      <c r="D278" s="32">
        <f t="shared" si="22"/>
        <v>0</v>
      </c>
      <c r="E278" s="32">
        <v>0</v>
      </c>
      <c r="F278" s="32">
        <v>0</v>
      </c>
      <c r="G278" s="29">
        <f t="shared" si="23"/>
        <v>0</v>
      </c>
      <c r="H278" s="30"/>
      <c r="I278" s="31">
        <f t="shared" si="24"/>
        <v>0</v>
      </c>
      <c r="J278" s="32"/>
      <c r="K278" s="32"/>
      <c r="L278" s="29">
        <f t="shared" si="25"/>
        <v>0</v>
      </c>
      <c r="M278" s="33">
        <f t="shared" si="26"/>
        <v>0</v>
      </c>
      <c r="N278" s="44"/>
    </row>
    <row r="279" spans="1:14" s="2" customFormat="1" x14ac:dyDescent="0.3">
      <c r="A279" s="25">
        <v>8</v>
      </c>
      <c r="B279" s="73">
        <v>1940</v>
      </c>
      <c r="C279" s="36" t="s">
        <v>48</v>
      </c>
      <c r="D279" s="32">
        <f t="shared" si="22"/>
        <v>192239.41999999998</v>
      </c>
      <c r="E279" s="32">
        <v>23803.409999999974</v>
      </c>
      <c r="F279" s="32">
        <v>0</v>
      </c>
      <c r="G279" s="29">
        <f t="shared" si="23"/>
        <v>216042.82999999996</v>
      </c>
      <c r="H279" s="30"/>
      <c r="I279" s="31">
        <f t="shared" si="24"/>
        <v>-117688.31</v>
      </c>
      <c r="J279" s="32">
        <v>-21336</v>
      </c>
      <c r="K279" s="32"/>
      <c r="L279" s="29">
        <f t="shared" si="25"/>
        <v>-139024.31</v>
      </c>
      <c r="M279" s="33">
        <f t="shared" si="26"/>
        <v>77018.51999999996</v>
      </c>
      <c r="N279" s="44"/>
    </row>
    <row r="280" spans="1:14" s="2" customFormat="1" x14ac:dyDescent="0.3">
      <c r="A280" s="25">
        <v>8</v>
      </c>
      <c r="B280" s="26">
        <v>1945</v>
      </c>
      <c r="C280" s="36" t="s">
        <v>49</v>
      </c>
      <c r="D280" s="32">
        <f t="shared" si="22"/>
        <v>14462.12</v>
      </c>
      <c r="E280" s="32">
        <v>0</v>
      </c>
      <c r="F280" s="32">
        <v>0</v>
      </c>
      <c r="G280" s="29">
        <f t="shared" si="23"/>
        <v>14462.12</v>
      </c>
      <c r="H280" s="30"/>
      <c r="I280" s="31">
        <f t="shared" si="24"/>
        <v>-5268.98</v>
      </c>
      <c r="J280" s="32">
        <v>-1808</v>
      </c>
      <c r="K280" s="32"/>
      <c r="L280" s="29">
        <f t="shared" si="25"/>
        <v>-7076.98</v>
      </c>
      <c r="M280" s="33">
        <f t="shared" si="26"/>
        <v>7385.1400000000012</v>
      </c>
      <c r="N280" s="44"/>
    </row>
    <row r="281" spans="1:14" s="2" customFormat="1" x14ac:dyDescent="0.3">
      <c r="A281" s="25">
        <v>8</v>
      </c>
      <c r="B281" s="26">
        <v>1950</v>
      </c>
      <c r="C281" s="36" t="s">
        <v>50</v>
      </c>
      <c r="D281" s="32">
        <f t="shared" si="22"/>
        <v>64090.6</v>
      </c>
      <c r="E281" s="32">
        <v>0</v>
      </c>
      <c r="F281" s="32">
        <v>0</v>
      </c>
      <c r="G281" s="29">
        <f t="shared" si="23"/>
        <v>64090.6</v>
      </c>
      <c r="H281" s="30"/>
      <c r="I281" s="31">
        <f t="shared" si="24"/>
        <v>-20208.78</v>
      </c>
      <c r="J281" s="32">
        <v>-8011</v>
      </c>
      <c r="K281" s="32"/>
      <c r="L281" s="29">
        <f t="shared" si="25"/>
        <v>-28219.78</v>
      </c>
      <c r="M281" s="33">
        <f t="shared" si="26"/>
        <v>35870.82</v>
      </c>
      <c r="N281" s="44"/>
    </row>
    <row r="282" spans="1:14" s="2" customFormat="1" x14ac:dyDescent="0.3">
      <c r="A282" s="25">
        <v>8</v>
      </c>
      <c r="B282" s="26">
        <v>1955</v>
      </c>
      <c r="C282" s="36" t="s">
        <v>51</v>
      </c>
      <c r="D282" s="32">
        <f t="shared" si="22"/>
        <v>0</v>
      </c>
      <c r="E282" s="32">
        <v>0</v>
      </c>
      <c r="F282" s="32">
        <v>0</v>
      </c>
      <c r="G282" s="29">
        <f t="shared" si="23"/>
        <v>0</v>
      </c>
      <c r="H282" s="30"/>
      <c r="I282" s="31">
        <f t="shared" si="24"/>
        <v>0</v>
      </c>
      <c r="J282" s="32"/>
      <c r="K282" s="32"/>
      <c r="L282" s="29">
        <f t="shared" si="25"/>
        <v>0</v>
      </c>
      <c r="M282" s="33">
        <f t="shared" si="26"/>
        <v>0</v>
      </c>
      <c r="N282" s="44"/>
    </row>
    <row r="283" spans="1:14" s="2" customFormat="1" x14ac:dyDescent="0.3">
      <c r="A283" s="40">
        <v>8</v>
      </c>
      <c r="B283" s="38">
        <v>1955</v>
      </c>
      <c r="C283" s="41" t="s">
        <v>52</v>
      </c>
      <c r="D283" s="32">
        <f t="shared" si="22"/>
        <v>0</v>
      </c>
      <c r="E283" s="32">
        <v>0</v>
      </c>
      <c r="F283" s="32">
        <v>0</v>
      </c>
      <c r="G283" s="29">
        <f t="shared" si="23"/>
        <v>0</v>
      </c>
      <c r="H283" s="30"/>
      <c r="I283" s="31">
        <f t="shared" si="24"/>
        <v>0</v>
      </c>
      <c r="J283" s="32"/>
      <c r="K283" s="32"/>
      <c r="L283" s="29">
        <f t="shared" si="25"/>
        <v>0</v>
      </c>
      <c r="M283" s="33">
        <f t="shared" si="26"/>
        <v>0</v>
      </c>
      <c r="N283" s="44"/>
    </row>
    <row r="284" spans="1:14" s="2" customFormat="1" x14ac:dyDescent="0.3">
      <c r="A284" s="40">
        <v>8</v>
      </c>
      <c r="B284" s="42">
        <v>1960</v>
      </c>
      <c r="C284" s="27" t="s">
        <v>53</v>
      </c>
      <c r="D284" s="32">
        <f t="shared" si="22"/>
        <v>0</v>
      </c>
      <c r="E284" s="32">
        <v>0</v>
      </c>
      <c r="F284" s="32">
        <v>0</v>
      </c>
      <c r="G284" s="29">
        <f t="shared" si="23"/>
        <v>0</v>
      </c>
      <c r="H284" s="30"/>
      <c r="I284" s="31">
        <f t="shared" si="24"/>
        <v>0</v>
      </c>
      <c r="J284" s="32"/>
      <c r="K284" s="32"/>
      <c r="L284" s="29">
        <f t="shared" si="25"/>
        <v>0</v>
      </c>
      <c r="M284" s="33">
        <f t="shared" si="26"/>
        <v>0</v>
      </c>
      <c r="N284" s="44"/>
    </row>
    <row r="285" spans="1:14" s="2" customFormat="1" ht="26.4" x14ac:dyDescent="0.3">
      <c r="A285" s="43">
        <v>47</v>
      </c>
      <c r="B285" s="42">
        <v>1970</v>
      </c>
      <c r="C285" s="36" t="s">
        <v>54</v>
      </c>
      <c r="D285" s="32">
        <f t="shared" si="22"/>
        <v>0</v>
      </c>
      <c r="E285" s="32">
        <v>0</v>
      </c>
      <c r="F285" s="32">
        <v>0</v>
      </c>
      <c r="G285" s="29">
        <f t="shared" si="23"/>
        <v>0</v>
      </c>
      <c r="H285" s="30"/>
      <c r="I285" s="31">
        <f t="shared" si="24"/>
        <v>0</v>
      </c>
      <c r="J285" s="32"/>
      <c r="K285" s="32"/>
      <c r="L285" s="29">
        <f t="shared" si="25"/>
        <v>0</v>
      </c>
      <c r="M285" s="33">
        <f t="shared" si="26"/>
        <v>0</v>
      </c>
      <c r="N285" s="44"/>
    </row>
    <row r="286" spans="1:14" s="2" customFormat="1" x14ac:dyDescent="0.3">
      <c r="A286" s="25">
        <v>47</v>
      </c>
      <c r="B286" s="26">
        <v>1975</v>
      </c>
      <c r="C286" s="36" t="s">
        <v>55</v>
      </c>
      <c r="D286" s="32">
        <f t="shared" si="22"/>
        <v>0</v>
      </c>
      <c r="E286" s="32">
        <v>0</v>
      </c>
      <c r="F286" s="32">
        <v>0</v>
      </c>
      <c r="G286" s="29">
        <f t="shared" si="23"/>
        <v>0</v>
      </c>
      <c r="H286" s="30"/>
      <c r="I286" s="31">
        <f t="shared" si="24"/>
        <v>0</v>
      </c>
      <c r="J286" s="32"/>
      <c r="K286" s="32"/>
      <c r="L286" s="29">
        <f t="shared" si="25"/>
        <v>0</v>
      </c>
      <c r="M286" s="33">
        <f t="shared" si="26"/>
        <v>0</v>
      </c>
      <c r="N286" s="44"/>
    </row>
    <row r="287" spans="1:14" s="2" customFormat="1" x14ac:dyDescent="0.3">
      <c r="A287" s="25">
        <v>47</v>
      </c>
      <c r="B287" s="26">
        <v>1980</v>
      </c>
      <c r="C287" s="36" t="s">
        <v>56</v>
      </c>
      <c r="D287" s="32">
        <f t="shared" si="22"/>
        <v>256180.64</v>
      </c>
      <c r="E287" s="32">
        <v>3856.3099999999977</v>
      </c>
      <c r="F287" s="32">
        <v>0</v>
      </c>
      <c r="G287" s="29">
        <f t="shared" si="23"/>
        <v>260036.95</v>
      </c>
      <c r="H287" s="30"/>
      <c r="I287" s="31">
        <f t="shared" si="24"/>
        <v>-57712.75</v>
      </c>
      <c r="J287" s="32">
        <v>-51622</v>
      </c>
      <c r="K287" s="32"/>
      <c r="L287" s="29">
        <f t="shared" si="25"/>
        <v>-109334.75</v>
      </c>
      <c r="M287" s="33">
        <f t="shared" si="26"/>
        <v>150702.20000000001</v>
      </c>
      <c r="N287" s="44"/>
    </row>
    <row r="288" spans="1:14" s="2" customFormat="1" x14ac:dyDescent="0.3">
      <c r="A288" s="25">
        <v>47</v>
      </c>
      <c r="B288" s="26">
        <v>1985</v>
      </c>
      <c r="C288" s="36" t="s">
        <v>57</v>
      </c>
      <c r="D288" s="32">
        <f t="shared" si="22"/>
        <v>0</v>
      </c>
      <c r="E288" s="32">
        <v>0</v>
      </c>
      <c r="F288" s="32">
        <v>0</v>
      </c>
      <c r="G288" s="29">
        <f t="shared" si="23"/>
        <v>0</v>
      </c>
      <c r="H288" s="30"/>
      <c r="I288" s="31">
        <f t="shared" si="24"/>
        <v>0</v>
      </c>
      <c r="J288" s="32"/>
      <c r="K288" s="32"/>
      <c r="L288" s="29">
        <f t="shared" si="25"/>
        <v>0</v>
      </c>
      <c r="M288" s="33">
        <f t="shared" si="26"/>
        <v>0</v>
      </c>
      <c r="N288" s="44"/>
    </row>
    <row r="289" spans="1:14" x14ac:dyDescent="0.3">
      <c r="A289" s="43">
        <v>47</v>
      </c>
      <c r="B289" s="26">
        <v>1990</v>
      </c>
      <c r="C289" s="45" t="s">
        <v>58</v>
      </c>
      <c r="D289" s="32">
        <f t="shared" si="22"/>
        <v>0</v>
      </c>
      <c r="E289" s="32">
        <v>0</v>
      </c>
      <c r="F289" s="32">
        <v>0</v>
      </c>
      <c r="G289" s="29">
        <f t="shared" si="23"/>
        <v>0</v>
      </c>
      <c r="H289" s="30"/>
      <c r="I289" s="31">
        <f t="shared" si="24"/>
        <v>0</v>
      </c>
      <c r="J289" s="32"/>
      <c r="K289" s="32"/>
      <c r="L289" s="29">
        <f t="shared" si="25"/>
        <v>0</v>
      </c>
      <c r="M289" s="33">
        <f t="shared" si="26"/>
        <v>0</v>
      </c>
    </row>
    <row r="290" spans="1:14" x14ac:dyDescent="0.3">
      <c r="A290" s="25">
        <v>47</v>
      </c>
      <c r="B290" s="26">
        <v>1995</v>
      </c>
      <c r="C290" s="36" t="s">
        <v>59</v>
      </c>
      <c r="D290" s="32">
        <f t="shared" si="22"/>
        <v>-6790435.4900000002</v>
      </c>
      <c r="E290" s="32">
        <v>-810946</v>
      </c>
      <c r="F290" s="32">
        <v>0</v>
      </c>
      <c r="G290" s="29">
        <f t="shared" si="23"/>
        <v>-7601381.4900000002</v>
      </c>
      <c r="H290" s="86"/>
      <c r="I290" s="31">
        <f t="shared" si="24"/>
        <v>971010.54</v>
      </c>
      <c r="J290" s="72">
        <v>119932</v>
      </c>
      <c r="K290" s="72"/>
      <c r="L290" s="29">
        <f t="shared" si="25"/>
        <v>1090942.54</v>
      </c>
      <c r="M290" s="33">
        <f t="shared" si="26"/>
        <v>-6510438.9500000002</v>
      </c>
    </row>
    <row r="291" spans="1:14" ht="15.6" x14ac:dyDescent="0.3">
      <c r="A291" s="25">
        <v>47</v>
      </c>
      <c r="B291" s="26">
        <v>2440</v>
      </c>
      <c r="C291" s="36" t="s">
        <v>60</v>
      </c>
      <c r="D291" s="32">
        <f t="shared" si="22"/>
        <v>0</v>
      </c>
      <c r="E291" s="32"/>
      <c r="F291" s="32"/>
      <c r="G291" s="29">
        <f t="shared" si="23"/>
        <v>0</v>
      </c>
      <c r="H291"/>
      <c r="I291" s="31">
        <f t="shared" si="24"/>
        <v>0</v>
      </c>
      <c r="J291" s="72"/>
      <c r="K291" s="32"/>
      <c r="L291" s="29">
        <f t="shared" si="25"/>
        <v>0</v>
      </c>
      <c r="M291" s="33"/>
    </row>
    <row r="292" spans="1:14" x14ac:dyDescent="0.3">
      <c r="A292" s="46"/>
      <c r="B292" s="46"/>
      <c r="C292" s="47"/>
      <c r="D292" s="48"/>
      <c r="E292" s="87"/>
      <c r="F292" s="48"/>
      <c r="G292" s="29">
        <f t="shared" si="23"/>
        <v>0</v>
      </c>
      <c r="H292"/>
      <c r="I292" s="48"/>
      <c r="J292" s="48"/>
      <c r="K292" s="48"/>
      <c r="L292" s="29">
        <f t="shared" si="25"/>
        <v>0</v>
      </c>
      <c r="M292" s="33">
        <v>0</v>
      </c>
    </row>
    <row r="293" spans="1:14" x14ac:dyDescent="0.3">
      <c r="A293" s="46"/>
      <c r="B293" s="46"/>
      <c r="C293" s="49" t="s">
        <v>61</v>
      </c>
      <c r="D293" s="50">
        <f>SUM(D253:D292)</f>
        <v>43431561.789999992</v>
      </c>
      <c r="E293" s="50">
        <f t="shared" ref="E293:G293" si="27">SUM(E253:E292)</f>
        <v>4104726.2399999993</v>
      </c>
      <c r="F293" s="50">
        <f t="shared" si="27"/>
        <v>-181885.66</v>
      </c>
      <c r="G293" s="50">
        <f t="shared" si="27"/>
        <v>47354402.369999997</v>
      </c>
      <c r="H293" s="50"/>
      <c r="I293" s="50">
        <f>SUM(I253:I292)</f>
        <v>-17249205.02</v>
      </c>
      <c r="J293" s="50">
        <f t="shared" ref="J293:M293" si="28">SUM(J253:J292)</f>
        <v>-1467255.46</v>
      </c>
      <c r="K293" s="50">
        <f t="shared" si="28"/>
        <v>150101.55000000002</v>
      </c>
      <c r="L293" s="50">
        <f t="shared" si="28"/>
        <v>-18566358.930000003</v>
      </c>
      <c r="M293" s="50">
        <f t="shared" si="28"/>
        <v>28788043.440000001</v>
      </c>
    </row>
    <row r="294" spans="1:14" ht="26.4" x14ac:dyDescent="0.3">
      <c r="A294" s="46"/>
      <c r="B294" s="46"/>
      <c r="C294" s="51" t="s">
        <v>62</v>
      </c>
      <c r="D294" s="48"/>
      <c r="E294" s="87"/>
      <c r="F294" s="48"/>
      <c r="G294" s="29">
        <v>0</v>
      </c>
      <c r="H294"/>
      <c r="I294" s="48"/>
      <c r="J294" s="48"/>
      <c r="K294" s="48"/>
      <c r="L294" s="29">
        <v>0</v>
      </c>
      <c r="M294" s="33">
        <v>0</v>
      </c>
    </row>
    <row r="295" spans="1:14" ht="26.4" x14ac:dyDescent="0.3">
      <c r="A295" s="46"/>
      <c r="B295" s="46"/>
      <c r="C295" s="52" t="s">
        <v>63</v>
      </c>
      <c r="D295" s="48"/>
      <c r="E295" s="48"/>
      <c r="F295" s="48"/>
      <c r="G295" s="29">
        <v>0</v>
      </c>
      <c r="H295"/>
      <c r="I295" s="48"/>
      <c r="J295" s="48"/>
      <c r="K295" s="48"/>
      <c r="L295" s="29">
        <v>0</v>
      </c>
      <c r="M295" s="33">
        <v>0</v>
      </c>
      <c r="N295" s="161"/>
    </row>
    <row r="296" spans="1:14" x14ac:dyDescent="0.3">
      <c r="A296" s="46"/>
      <c r="B296" s="46"/>
      <c r="C296" s="49" t="s">
        <v>65</v>
      </c>
      <c r="D296" s="50">
        <f>SUM(D293:D295)</f>
        <v>43431561.789999992</v>
      </c>
      <c r="E296" s="50">
        <f t="shared" ref="E296:G296" si="29">SUM(E293:E295)</f>
        <v>4104726.2399999993</v>
      </c>
      <c r="F296" s="50">
        <f t="shared" si="29"/>
        <v>-181885.66</v>
      </c>
      <c r="G296" s="50">
        <f t="shared" si="29"/>
        <v>47354402.369999997</v>
      </c>
      <c r="H296" s="50"/>
      <c r="I296" s="50">
        <f>SUM(I293:I295)</f>
        <v>-17249205.02</v>
      </c>
      <c r="J296" s="50">
        <f t="shared" ref="J296:M296" si="30">SUM(J293:J295)</f>
        <v>-1467255.46</v>
      </c>
      <c r="K296" s="50">
        <f t="shared" si="30"/>
        <v>150101.55000000002</v>
      </c>
      <c r="L296" s="50">
        <f t="shared" si="30"/>
        <v>-18566358.930000003</v>
      </c>
      <c r="M296" s="50">
        <f t="shared" si="30"/>
        <v>28788043.440000001</v>
      </c>
      <c r="N296" s="164"/>
    </row>
    <row r="297" spans="1:14" ht="16.2" x14ac:dyDescent="0.3">
      <c r="A297" s="46"/>
      <c r="B297" s="46"/>
      <c r="C297" s="139" t="s">
        <v>66</v>
      </c>
      <c r="D297" s="140"/>
      <c r="E297" s="140"/>
      <c r="F297" s="140"/>
      <c r="G297" s="140"/>
      <c r="H297" s="140"/>
      <c r="I297" s="141"/>
      <c r="J297" s="48"/>
      <c r="K297" s="54"/>
      <c r="L297" s="55"/>
      <c r="M297" s="56"/>
    </row>
    <row r="298" spans="1:14" x14ac:dyDescent="0.3">
      <c r="A298" s="46"/>
      <c r="B298" s="46"/>
      <c r="C298" s="139" t="s">
        <v>67</v>
      </c>
      <c r="D298" s="140"/>
      <c r="E298" s="140"/>
      <c r="F298" s="140"/>
      <c r="G298" s="140"/>
      <c r="H298" s="140"/>
      <c r="I298" s="141"/>
      <c r="J298" s="50">
        <v>-2130271.7600000002</v>
      </c>
      <c r="K298" s="56"/>
      <c r="L298" s="55"/>
      <c r="M298" s="56"/>
    </row>
    <row r="299" spans="1:14" x14ac:dyDescent="0.3">
      <c r="C299"/>
      <c r="D299" s="74"/>
      <c r="E299" s="74"/>
      <c r="F299" s="74"/>
      <c r="G299" s="74"/>
      <c r="H299" s="75"/>
      <c r="I299" s="74"/>
      <c r="J299" s="80"/>
      <c r="K299"/>
      <c r="L299"/>
      <c r="M299"/>
    </row>
    <row r="300" spans="1:14" x14ac:dyDescent="0.3">
      <c r="C300"/>
      <c r="D300"/>
      <c r="E300"/>
      <c r="F300"/>
      <c r="G300"/>
      <c r="H300"/>
      <c r="I300" s="58" t="s">
        <v>68</v>
      </c>
      <c r="J300" s="59"/>
      <c r="K300"/>
      <c r="L300"/>
      <c r="M300"/>
    </row>
    <row r="301" spans="1:14" x14ac:dyDescent="0.3">
      <c r="A301" s="46">
        <v>10</v>
      </c>
      <c r="B301" s="46"/>
      <c r="C301" s="47" t="s">
        <v>69</v>
      </c>
      <c r="D301"/>
      <c r="E301" s="80"/>
      <c r="F301"/>
      <c r="G301"/>
      <c r="H301"/>
      <c r="I301" s="59" t="s">
        <v>69</v>
      </c>
      <c r="J301" s="59"/>
      <c r="K301" s="60"/>
      <c r="L301"/>
      <c r="M301"/>
    </row>
    <row r="302" spans="1:14" x14ac:dyDescent="0.3">
      <c r="A302" s="46">
        <v>8</v>
      </c>
      <c r="B302" s="46"/>
      <c r="C302" s="47" t="s">
        <v>47</v>
      </c>
      <c r="D302"/>
      <c r="E302"/>
      <c r="F302"/>
      <c r="G302"/>
      <c r="H302"/>
      <c r="I302" s="59" t="s">
        <v>47</v>
      </c>
      <c r="J302" s="59"/>
      <c r="K302" s="61"/>
      <c r="L302"/>
      <c r="M302"/>
    </row>
    <row r="303" spans="1:14" x14ac:dyDescent="0.3">
      <c r="C303"/>
      <c r="D303"/>
      <c r="E303"/>
      <c r="F303"/>
      <c r="G303"/>
      <c r="H303"/>
      <c r="I303" s="62" t="s">
        <v>70</v>
      </c>
      <c r="J303"/>
      <c r="K303" s="63">
        <v>-2130271.7600000002</v>
      </c>
      <c r="L303"/>
      <c r="M303"/>
    </row>
    <row r="308" spans="1:13" x14ac:dyDescent="0.3">
      <c r="C308"/>
      <c r="D308"/>
      <c r="E308"/>
      <c r="F308"/>
      <c r="G308"/>
      <c r="H308"/>
      <c r="I308"/>
      <c r="J308"/>
      <c r="K308"/>
      <c r="L308" s="68"/>
      <c r="M308" s="69"/>
    </row>
    <row r="309" spans="1:13" x14ac:dyDescent="0.3">
      <c r="C309"/>
      <c r="D309"/>
      <c r="E309"/>
      <c r="F309"/>
      <c r="G309"/>
      <c r="H309"/>
      <c r="I309"/>
      <c r="J309"/>
      <c r="K309"/>
      <c r="L309" s="68"/>
      <c r="M309" s="70"/>
    </row>
    <row r="310" spans="1:13" x14ac:dyDescent="0.3">
      <c r="C310"/>
      <c r="D310"/>
      <c r="E310"/>
      <c r="F310"/>
      <c r="G310"/>
      <c r="H310"/>
      <c r="I310"/>
      <c r="J310"/>
      <c r="K310"/>
      <c r="L310" s="68"/>
      <c r="M310" s="70"/>
    </row>
    <row r="311" spans="1:13" x14ac:dyDescent="0.3">
      <c r="C311"/>
      <c r="D311"/>
      <c r="E311"/>
      <c r="F311"/>
      <c r="G311"/>
      <c r="H311"/>
      <c r="I311"/>
      <c r="J311"/>
      <c r="K311"/>
      <c r="L311" s="68"/>
      <c r="M311" s="70"/>
    </row>
    <row r="312" spans="1:13" x14ac:dyDescent="0.3">
      <c r="C312"/>
      <c r="D312"/>
      <c r="E312"/>
      <c r="F312"/>
      <c r="G312"/>
      <c r="H312"/>
      <c r="I312"/>
      <c r="J312"/>
      <c r="K312"/>
      <c r="L312" s="68"/>
      <c r="M312" s="71"/>
    </row>
    <row r="313" spans="1:13" x14ac:dyDescent="0.3">
      <c r="C313"/>
      <c r="D313"/>
      <c r="E313"/>
      <c r="F313"/>
      <c r="G313"/>
      <c r="H313"/>
      <c r="I313"/>
      <c r="J313"/>
      <c r="K313"/>
      <c r="L313" s="68"/>
      <c r="M313" s="71"/>
    </row>
    <row r="314" spans="1:13" x14ac:dyDescent="0.3">
      <c r="C314"/>
      <c r="D314"/>
      <c r="E314"/>
      <c r="F314"/>
      <c r="G314"/>
      <c r="H314"/>
      <c r="I314"/>
      <c r="J314"/>
      <c r="K314"/>
      <c r="L314" s="68"/>
      <c r="M314" s="71"/>
    </row>
    <row r="315" spans="1:13" x14ac:dyDescent="0.3">
      <c r="C315"/>
      <c r="D315"/>
      <c r="E315"/>
      <c r="F315"/>
      <c r="G315"/>
      <c r="H315"/>
      <c r="I315"/>
      <c r="J315"/>
      <c r="K315"/>
      <c r="L315"/>
      <c r="M315"/>
    </row>
    <row r="316" spans="1:13" ht="17.399999999999999" x14ac:dyDescent="0.3">
      <c r="A316" s="138" t="s">
        <v>6</v>
      </c>
      <c r="B316" s="138"/>
      <c r="C316" s="138"/>
      <c r="D316" s="138"/>
      <c r="E316" s="138"/>
      <c r="F316" s="138"/>
      <c r="G316" s="138"/>
      <c r="H316" s="138"/>
      <c r="I316" s="138"/>
      <c r="J316" s="138"/>
      <c r="K316" s="138"/>
      <c r="L316" s="138"/>
      <c r="M316" s="138"/>
    </row>
    <row r="317" spans="1:13" ht="19.2" x14ac:dyDescent="0.3">
      <c r="A317" s="138" t="s">
        <v>7</v>
      </c>
      <c r="B317" s="138"/>
      <c r="C317" s="138"/>
      <c r="D317" s="138"/>
      <c r="E317" s="138"/>
      <c r="F317" s="138"/>
      <c r="G317" s="138"/>
      <c r="H317" s="138"/>
      <c r="I317" s="138"/>
      <c r="J317" s="138"/>
      <c r="K317" s="138"/>
      <c r="L317" s="138"/>
      <c r="M317" s="138"/>
    </row>
    <row r="318" spans="1:13" x14ac:dyDescent="0.3">
      <c r="C318"/>
      <c r="D318"/>
      <c r="E318"/>
      <c r="F318"/>
      <c r="G318"/>
      <c r="H318" s="2"/>
      <c r="I318"/>
      <c r="J318"/>
      <c r="K318"/>
      <c r="L318"/>
      <c r="M318"/>
    </row>
    <row r="319" spans="1:13" x14ac:dyDescent="0.3">
      <c r="C319"/>
      <c r="D319"/>
      <c r="E319" s="10" t="s">
        <v>8</v>
      </c>
      <c r="F319" s="11" t="s">
        <v>79</v>
      </c>
      <c r="G319"/>
      <c r="H319" s="2"/>
      <c r="I319"/>
      <c r="J319"/>
      <c r="K319"/>
      <c r="L319"/>
      <c r="M319"/>
    </row>
    <row r="320" spans="1:13" x14ac:dyDescent="0.3">
      <c r="C320" s="12"/>
      <c r="D320"/>
      <c r="E320" s="10" t="s">
        <v>10</v>
      </c>
      <c r="F320" s="13">
        <v>2014</v>
      </c>
      <c r="G320" s="14"/>
      <c r="H320"/>
      <c r="I320"/>
      <c r="J320"/>
      <c r="K320"/>
      <c r="L320"/>
      <c r="M320"/>
    </row>
    <row r="321" spans="1:13" x14ac:dyDescent="0.3">
      <c r="C321"/>
      <c r="D321"/>
      <c r="E321"/>
      <c r="F321"/>
      <c r="G321"/>
      <c r="H321"/>
      <c r="I321"/>
      <c r="J321"/>
      <c r="K321"/>
      <c r="L321"/>
      <c r="M321"/>
    </row>
    <row r="322" spans="1:13" x14ac:dyDescent="0.3">
      <c r="C322"/>
      <c r="D322" s="135" t="s">
        <v>11</v>
      </c>
      <c r="E322" s="136"/>
      <c r="F322" s="136"/>
      <c r="G322" s="137"/>
      <c r="H322"/>
      <c r="I322" s="15"/>
      <c r="J322" s="16" t="s">
        <v>12</v>
      </c>
      <c r="K322" s="16"/>
      <c r="L322" s="17"/>
      <c r="M322" s="3"/>
    </row>
    <row r="323" spans="1:13" ht="29.4" x14ac:dyDescent="0.3">
      <c r="A323" s="18" t="s">
        <v>13</v>
      </c>
      <c r="B323" s="18" t="s">
        <v>14</v>
      </c>
      <c r="C323" s="19" t="s">
        <v>15</v>
      </c>
      <c r="D323" s="18" t="s">
        <v>16</v>
      </c>
      <c r="E323" s="20" t="s">
        <v>17</v>
      </c>
      <c r="F323" s="20" t="s">
        <v>18</v>
      </c>
      <c r="G323" s="18" t="s">
        <v>19</v>
      </c>
      <c r="H323" s="21"/>
      <c r="I323" s="22" t="s">
        <v>16</v>
      </c>
      <c r="J323" s="23" t="s">
        <v>20</v>
      </c>
      <c r="K323" s="23" t="s">
        <v>18</v>
      </c>
      <c r="L323" s="24" t="s">
        <v>19</v>
      </c>
      <c r="M323" s="18" t="s">
        <v>21</v>
      </c>
    </row>
    <row r="324" spans="1:13" ht="26.4" x14ac:dyDescent="0.3">
      <c r="A324" s="25">
        <v>12</v>
      </c>
      <c r="B324" s="73">
        <v>1611</v>
      </c>
      <c r="C324" s="27" t="s">
        <v>22</v>
      </c>
      <c r="D324" s="32">
        <f>+M181</f>
        <v>402592.5</v>
      </c>
      <c r="E324" s="32">
        <v>137557</v>
      </c>
      <c r="F324" s="32">
        <v>0</v>
      </c>
      <c r="G324" s="28">
        <f>D324+E324+F324</f>
        <v>540149.5</v>
      </c>
      <c r="H324" s="30"/>
      <c r="I324" s="32"/>
      <c r="J324" s="32">
        <v>-107619</v>
      </c>
      <c r="K324" s="32"/>
      <c r="L324" s="29">
        <f>SUM(J324:K324)</f>
        <v>-107619</v>
      </c>
      <c r="M324" s="33">
        <f>G324+L324</f>
        <v>432530.5</v>
      </c>
    </row>
    <row r="325" spans="1:13" ht="26.4" x14ac:dyDescent="0.3">
      <c r="A325" s="25" t="s">
        <v>23</v>
      </c>
      <c r="B325" s="73">
        <v>1612</v>
      </c>
      <c r="C325" s="27" t="s">
        <v>24</v>
      </c>
      <c r="D325" s="32">
        <f t="shared" ref="D325:D363" si="31">+M182</f>
        <v>43879.040000000001</v>
      </c>
      <c r="E325" s="32">
        <v>0</v>
      </c>
      <c r="F325" s="32">
        <v>0</v>
      </c>
      <c r="G325" s="28">
        <f t="shared" ref="G325:G363" si="32">D325+E325+F325</f>
        <v>43879.040000000001</v>
      </c>
      <c r="H325" s="30"/>
      <c r="I325" s="32"/>
      <c r="J325" s="32"/>
      <c r="K325" s="32"/>
      <c r="L325" s="29">
        <f t="shared" ref="L325:L363" si="33">SUM(J325:K325)</f>
        <v>0</v>
      </c>
      <c r="M325" s="33">
        <f t="shared" ref="M325:M363" si="34">G325+L325</f>
        <v>43879.040000000001</v>
      </c>
    </row>
    <row r="326" spans="1:13" x14ac:dyDescent="0.3">
      <c r="A326" s="25" t="s">
        <v>25</v>
      </c>
      <c r="B326" s="73">
        <v>1805</v>
      </c>
      <c r="C326" s="35" t="s">
        <v>26</v>
      </c>
      <c r="D326" s="32">
        <f t="shared" si="31"/>
        <v>104039.08</v>
      </c>
      <c r="E326" s="32">
        <v>0</v>
      </c>
      <c r="F326" s="32">
        <v>0</v>
      </c>
      <c r="G326" s="28">
        <f t="shared" si="32"/>
        <v>104039.08</v>
      </c>
      <c r="H326" s="30"/>
      <c r="I326" s="32"/>
      <c r="J326" s="32"/>
      <c r="K326" s="32"/>
      <c r="L326" s="29">
        <f t="shared" si="33"/>
        <v>0</v>
      </c>
      <c r="M326" s="33">
        <f t="shared" si="34"/>
        <v>104039.08</v>
      </c>
    </row>
    <row r="327" spans="1:13" x14ac:dyDescent="0.3">
      <c r="A327" s="25">
        <v>47</v>
      </c>
      <c r="B327" s="34">
        <v>1808</v>
      </c>
      <c r="C327" s="36" t="s">
        <v>27</v>
      </c>
      <c r="D327" s="32">
        <f t="shared" si="31"/>
        <v>145794.17000000001</v>
      </c>
      <c r="E327" s="32">
        <v>4014</v>
      </c>
      <c r="F327" s="32">
        <v>0</v>
      </c>
      <c r="G327" s="28">
        <f t="shared" si="32"/>
        <v>149808.17000000001</v>
      </c>
      <c r="H327" s="30"/>
      <c r="I327" s="32"/>
      <c r="J327" s="32">
        <v>-3989</v>
      </c>
      <c r="K327" s="32"/>
      <c r="L327" s="29">
        <f t="shared" si="33"/>
        <v>-3989</v>
      </c>
      <c r="M327" s="33">
        <f t="shared" si="34"/>
        <v>145819.17000000001</v>
      </c>
    </row>
    <row r="328" spans="1:13" x14ac:dyDescent="0.3">
      <c r="A328" s="25">
        <v>13</v>
      </c>
      <c r="B328" s="34">
        <v>1810</v>
      </c>
      <c r="C328" s="36" t="s">
        <v>28</v>
      </c>
      <c r="D328" s="32">
        <f t="shared" si="31"/>
        <v>0</v>
      </c>
      <c r="E328" s="32">
        <v>0</v>
      </c>
      <c r="F328" s="32">
        <v>0</v>
      </c>
      <c r="G328" s="28">
        <f t="shared" si="32"/>
        <v>0</v>
      </c>
      <c r="H328" s="30"/>
      <c r="I328" s="32"/>
      <c r="J328" s="32"/>
      <c r="K328" s="32"/>
      <c r="L328" s="29">
        <f t="shared" si="33"/>
        <v>0</v>
      </c>
      <c r="M328" s="33">
        <f t="shared" si="34"/>
        <v>0</v>
      </c>
    </row>
    <row r="329" spans="1:13" x14ac:dyDescent="0.3">
      <c r="A329" s="25">
        <v>47</v>
      </c>
      <c r="B329" s="34">
        <v>1815</v>
      </c>
      <c r="C329" s="36" t="s">
        <v>29</v>
      </c>
      <c r="D329" s="32">
        <f t="shared" si="31"/>
        <v>0</v>
      </c>
      <c r="E329" s="32">
        <v>0</v>
      </c>
      <c r="F329" s="32">
        <v>0</v>
      </c>
      <c r="G329" s="28">
        <f t="shared" si="32"/>
        <v>0</v>
      </c>
      <c r="H329" s="30"/>
      <c r="I329" s="32"/>
      <c r="J329" s="32"/>
      <c r="K329" s="32"/>
      <c r="L329" s="29">
        <f t="shared" si="33"/>
        <v>0</v>
      </c>
      <c r="M329" s="33">
        <f t="shared" si="34"/>
        <v>0</v>
      </c>
    </row>
    <row r="330" spans="1:13" x14ac:dyDescent="0.3">
      <c r="A330" s="25">
        <v>47</v>
      </c>
      <c r="B330" s="34">
        <v>1820</v>
      </c>
      <c r="C330" s="27" t="s">
        <v>30</v>
      </c>
      <c r="D330" s="32">
        <f t="shared" si="31"/>
        <v>419329.29999999993</v>
      </c>
      <c r="E330" s="32">
        <v>0</v>
      </c>
      <c r="F330" s="32">
        <v>0</v>
      </c>
      <c r="G330" s="28">
        <f t="shared" si="32"/>
        <v>419329.29999999993</v>
      </c>
      <c r="H330" s="30"/>
      <c r="I330" s="32"/>
      <c r="J330" s="32">
        <v>-10591</v>
      </c>
      <c r="K330" s="32"/>
      <c r="L330" s="29">
        <f t="shared" si="33"/>
        <v>-10591</v>
      </c>
      <c r="M330" s="33">
        <f t="shared" si="34"/>
        <v>408738.29999999993</v>
      </c>
    </row>
    <row r="331" spans="1:13" x14ac:dyDescent="0.3">
      <c r="A331" s="25">
        <v>47</v>
      </c>
      <c r="B331" s="34">
        <v>1825</v>
      </c>
      <c r="C331" s="36" t="s">
        <v>31</v>
      </c>
      <c r="D331" s="32">
        <f t="shared" si="31"/>
        <v>0</v>
      </c>
      <c r="E331" s="32">
        <v>0</v>
      </c>
      <c r="F331" s="32">
        <v>0</v>
      </c>
      <c r="G331" s="28">
        <f t="shared" si="32"/>
        <v>0</v>
      </c>
      <c r="H331" s="30"/>
      <c r="I331" s="32"/>
      <c r="J331" s="32"/>
      <c r="K331" s="32"/>
      <c r="L331" s="29">
        <f t="shared" si="33"/>
        <v>0</v>
      </c>
      <c r="M331" s="33">
        <f t="shared" si="34"/>
        <v>0</v>
      </c>
    </row>
    <row r="332" spans="1:13" x14ac:dyDescent="0.3">
      <c r="A332" s="25">
        <v>47</v>
      </c>
      <c r="B332" s="34">
        <v>1830</v>
      </c>
      <c r="C332" s="36" t="s">
        <v>32</v>
      </c>
      <c r="D332" s="32">
        <f t="shared" si="31"/>
        <v>3978437.6199999996</v>
      </c>
      <c r="E332" s="32">
        <v>1232100</v>
      </c>
      <c r="F332" s="32">
        <v>-44396</v>
      </c>
      <c r="G332" s="28">
        <f t="shared" si="32"/>
        <v>5166141.6199999992</v>
      </c>
      <c r="H332" s="30"/>
      <c r="I332" s="32"/>
      <c r="J332" s="32">
        <v>-142789</v>
      </c>
      <c r="K332" s="32">
        <v>41615.86</v>
      </c>
      <c r="L332" s="29">
        <f t="shared" si="33"/>
        <v>-101173.14</v>
      </c>
      <c r="M332" s="33">
        <f t="shared" si="34"/>
        <v>5064968.4799999995</v>
      </c>
    </row>
    <row r="333" spans="1:13" x14ac:dyDescent="0.3">
      <c r="A333" s="25">
        <v>47</v>
      </c>
      <c r="B333" s="34">
        <v>1835</v>
      </c>
      <c r="C333" s="36" t="s">
        <v>33</v>
      </c>
      <c r="D333" s="32">
        <f t="shared" si="31"/>
        <v>4979930.6999999993</v>
      </c>
      <c r="E333" s="32">
        <f>1338932-158639-23376-6980</f>
        <v>1149937</v>
      </c>
      <c r="F333" s="32">
        <v>-1899.28</v>
      </c>
      <c r="G333" s="28">
        <f t="shared" si="32"/>
        <v>6127968.419999999</v>
      </c>
      <c r="H333" s="30"/>
      <c r="I333" s="32"/>
      <c r="J333" s="32">
        <v>-211408</v>
      </c>
      <c r="K333" s="32">
        <v>1899.28</v>
      </c>
      <c r="L333" s="29">
        <f t="shared" si="33"/>
        <v>-209508.72</v>
      </c>
      <c r="M333" s="33">
        <f t="shared" si="34"/>
        <v>5918459.6999999993</v>
      </c>
    </row>
    <row r="334" spans="1:13" x14ac:dyDescent="0.3">
      <c r="A334" s="25">
        <v>47</v>
      </c>
      <c r="B334" s="34">
        <v>1840</v>
      </c>
      <c r="C334" s="36" t="s">
        <v>34</v>
      </c>
      <c r="D334" s="32">
        <f t="shared" si="31"/>
        <v>2362088.2999999998</v>
      </c>
      <c r="E334" s="32">
        <v>45672</v>
      </c>
      <c r="F334" s="32">
        <v>0</v>
      </c>
      <c r="G334" s="28">
        <f t="shared" si="32"/>
        <v>2407760.2999999998</v>
      </c>
      <c r="H334" s="30"/>
      <c r="I334" s="32"/>
      <c r="J334" s="32">
        <v>-66590</v>
      </c>
      <c r="K334" s="32"/>
      <c r="L334" s="29">
        <f t="shared" si="33"/>
        <v>-66590</v>
      </c>
      <c r="M334" s="33">
        <f t="shared" si="34"/>
        <v>2341170.2999999998</v>
      </c>
    </row>
    <row r="335" spans="1:13" x14ac:dyDescent="0.3">
      <c r="A335" s="25">
        <v>47</v>
      </c>
      <c r="B335" s="34">
        <v>1845</v>
      </c>
      <c r="C335" s="36" t="s">
        <v>35</v>
      </c>
      <c r="D335" s="32">
        <f t="shared" si="31"/>
        <v>5068257.6099999994</v>
      </c>
      <c r="E335" s="32">
        <v>698300</v>
      </c>
      <c r="F335" s="32">
        <v>-1121.82</v>
      </c>
      <c r="G335" s="28">
        <f t="shared" si="32"/>
        <v>5765435.7899999991</v>
      </c>
      <c r="H335" s="30"/>
      <c r="I335" s="32"/>
      <c r="J335" s="32">
        <v>-159846</v>
      </c>
      <c r="K335" s="32">
        <v>1121.82</v>
      </c>
      <c r="L335" s="29">
        <f t="shared" si="33"/>
        <v>-158724.18</v>
      </c>
      <c r="M335" s="33">
        <f t="shared" si="34"/>
        <v>5606711.6099999994</v>
      </c>
    </row>
    <row r="336" spans="1:13" x14ac:dyDescent="0.3">
      <c r="A336" s="25">
        <v>47</v>
      </c>
      <c r="B336" s="34">
        <v>1850</v>
      </c>
      <c r="C336" s="36" t="s">
        <v>36</v>
      </c>
      <c r="D336" s="32">
        <f t="shared" si="31"/>
        <v>6507209.1899999995</v>
      </c>
      <c r="E336" s="32">
        <v>552591</v>
      </c>
      <c r="F336" s="32">
        <v>-69005.960000000006</v>
      </c>
      <c r="G336" s="28">
        <f t="shared" si="32"/>
        <v>6990794.2299999995</v>
      </c>
      <c r="H336" s="30"/>
      <c r="I336" s="32"/>
      <c r="J336" s="32">
        <v>-161023</v>
      </c>
      <c r="K336" s="32">
        <v>69005.960000000006</v>
      </c>
      <c r="L336" s="29">
        <f t="shared" si="33"/>
        <v>-92017.04</v>
      </c>
      <c r="M336" s="33">
        <f t="shared" si="34"/>
        <v>6898777.1899999995</v>
      </c>
    </row>
    <row r="337" spans="1:13" x14ac:dyDescent="0.3">
      <c r="A337" s="25">
        <v>47</v>
      </c>
      <c r="B337" s="34">
        <v>1855</v>
      </c>
      <c r="C337" s="36" t="s">
        <v>37</v>
      </c>
      <c r="D337" s="32">
        <f t="shared" si="31"/>
        <v>2725242.85</v>
      </c>
      <c r="E337" s="32">
        <v>523811</v>
      </c>
      <c r="F337" s="32">
        <v>0</v>
      </c>
      <c r="G337" s="28">
        <f t="shared" si="32"/>
        <v>3249053.85</v>
      </c>
      <c r="H337" s="30"/>
      <c r="I337" s="32"/>
      <c r="J337" s="32">
        <v>-74557</v>
      </c>
      <c r="K337" s="32"/>
      <c r="L337" s="29">
        <f t="shared" si="33"/>
        <v>-74557</v>
      </c>
      <c r="M337" s="33">
        <f t="shared" si="34"/>
        <v>3174496.85</v>
      </c>
    </row>
    <row r="338" spans="1:13" x14ac:dyDescent="0.3">
      <c r="A338" s="25">
        <v>47</v>
      </c>
      <c r="B338" s="34">
        <v>1860</v>
      </c>
      <c r="C338" s="36" t="s">
        <v>38</v>
      </c>
      <c r="D338" s="32">
        <f t="shared" si="31"/>
        <v>911603.54</v>
      </c>
      <c r="E338" s="32">
        <v>134232</v>
      </c>
      <c r="F338" s="32">
        <v>0</v>
      </c>
      <c r="G338" s="28">
        <f t="shared" si="32"/>
        <v>1045835.54</v>
      </c>
      <c r="H338" s="30"/>
      <c r="I338" s="32"/>
      <c r="J338" s="32">
        <v>-318105</v>
      </c>
      <c r="K338" s="32"/>
      <c r="L338" s="29">
        <f t="shared" si="33"/>
        <v>-318105</v>
      </c>
      <c r="M338" s="33">
        <f t="shared" si="34"/>
        <v>727730.54</v>
      </c>
    </row>
    <row r="339" spans="1:13" x14ac:dyDescent="0.3">
      <c r="A339" s="25">
        <v>47</v>
      </c>
      <c r="B339" s="34">
        <v>1860</v>
      </c>
      <c r="C339" s="35" t="s">
        <v>39</v>
      </c>
      <c r="D339" s="32">
        <f t="shared" si="31"/>
        <v>2647090</v>
      </c>
      <c r="E339" s="32"/>
      <c r="F339" s="32">
        <v>-23019.75</v>
      </c>
      <c r="G339" s="28">
        <f t="shared" si="32"/>
        <v>2624070.25</v>
      </c>
      <c r="H339" s="30"/>
      <c r="I339" s="32"/>
      <c r="J339" s="32"/>
      <c r="K339" s="32">
        <v>8152.83</v>
      </c>
      <c r="L339" s="29">
        <f t="shared" si="33"/>
        <v>8152.83</v>
      </c>
      <c r="M339" s="33">
        <f t="shared" si="34"/>
        <v>2632223.08</v>
      </c>
    </row>
    <row r="340" spans="1:13" x14ac:dyDescent="0.3">
      <c r="A340" s="25" t="s">
        <v>25</v>
      </c>
      <c r="B340" s="34">
        <v>1905</v>
      </c>
      <c r="C340" s="35" t="s">
        <v>26</v>
      </c>
      <c r="D340" s="32">
        <f t="shared" si="31"/>
        <v>0</v>
      </c>
      <c r="E340" s="32">
        <v>0</v>
      </c>
      <c r="F340" s="32">
        <v>0</v>
      </c>
      <c r="G340" s="28">
        <f t="shared" si="32"/>
        <v>0</v>
      </c>
      <c r="H340" s="30"/>
      <c r="I340" s="32"/>
      <c r="J340" s="32"/>
      <c r="K340" s="32"/>
      <c r="L340" s="29">
        <f t="shared" si="33"/>
        <v>0</v>
      </c>
      <c r="M340" s="33">
        <f t="shared" si="34"/>
        <v>0</v>
      </c>
    </row>
    <row r="341" spans="1:13" x14ac:dyDescent="0.3">
      <c r="A341" s="25">
        <v>47</v>
      </c>
      <c r="B341" s="34">
        <v>1908</v>
      </c>
      <c r="C341" s="36" t="s">
        <v>40</v>
      </c>
      <c r="D341" s="32">
        <f t="shared" si="31"/>
        <v>0</v>
      </c>
      <c r="E341" s="32">
        <v>0</v>
      </c>
      <c r="F341" s="32">
        <v>0</v>
      </c>
      <c r="G341" s="28">
        <f t="shared" si="32"/>
        <v>0</v>
      </c>
      <c r="H341" s="30"/>
      <c r="I341" s="32"/>
      <c r="J341" s="32"/>
      <c r="K341" s="32"/>
      <c r="L341" s="29">
        <f t="shared" si="33"/>
        <v>0</v>
      </c>
      <c r="M341" s="33">
        <f t="shared" si="34"/>
        <v>0</v>
      </c>
    </row>
    <row r="342" spans="1:13" x14ac:dyDescent="0.3">
      <c r="A342" s="25">
        <v>13</v>
      </c>
      <c r="B342" s="34">
        <v>1910</v>
      </c>
      <c r="C342" s="36" t="s">
        <v>28</v>
      </c>
      <c r="D342" s="32">
        <f t="shared" si="31"/>
        <v>223638.78</v>
      </c>
      <c r="E342" s="32">
        <v>47056.26999999999</v>
      </c>
      <c r="F342" s="32">
        <v>0</v>
      </c>
      <c r="G342" s="28">
        <f t="shared" si="32"/>
        <v>270695.05</v>
      </c>
      <c r="H342" s="30"/>
      <c r="I342" s="32"/>
      <c r="J342" s="32">
        <v>-4805</v>
      </c>
      <c r="K342" s="32"/>
      <c r="L342" s="29">
        <f t="shared" si="33"/>
        <v>-4805</v>
      </c>
      <c r="M342" s="33">
        <f t="shared" si="34"/>
        <v>265890.05</v>
      </c>
    </row>
    <row r="343" spans="1:13" x14ac:dyDescent="0.3">
      <c r="A343" s="25">
        <v>8</v>
      </c>
      <c r="B343" s="34">
        <v>1915</v>
      </c>
      <c r="C343" s="36" t="s">
        <v>41</v>
      </c>
      <c r="D343" s="32">
        <f t="shared" si="31"/>
        <v>21131.350000000006</v>
      </c>
      <c r="E343" s="32">
        <v>2395</v>
      </c>
      <c r="F343" s="32">
        <v>0</v>
      </c>
      <c r="G343" s="28">
        <f t="shared" si="32"/>
        <v>23526.350000000006</v>
      </c>
      <c r="H343" s="30"/>
      <c r="I343" s="32"/>
      <c r="J343" s="32">
        <v>-2424</v>
      </c>
      <c r="K343" s="32"/>
      <c r="L343" s="29">
        <f t="shared" si="33"/>
        <v>-2424</v>
      </c>
      <c r="M343" s="33">
        <f t="shared" si="34"/>
        <v>21102.350000000006</v>
      </c>
    </row>
    <row r="344" spans="1:13" x14ac:dyDescent="0.3">
      <c r="A344" s="25">
        <v>8</v>
      </c>
      <c r="B344" s="34">
        <v>1915</v>
      </c>
      <c r="C344" s="36" t="s">
        <v>42</v>
      </c>
      <c r="D344" s="32">
        <f t="shared" si="31"/>
        <v>0</v>
      </c>
      <c r="E344" s="32">
        <v>0</v>
      </c>
      <c r="F344" s="32">
        <v>0</v>
      </c>
      <c r="G344" s="28">
        <f t="shared" si="32"/>
        <v>0</v>
      </c>
      <c r="H344" s="30"/>
      <c r="I344" s="32"/>
      <c r="J344" s="32"/>
      <c r="K344" s="32"/>
      <c r="L344" s="29">
        <f t="shared" si="33"/>
        <v>0</v>
      </c>
      <c r="M344" s="33">
        <f t="shared" si="34"/>
        <v>0</v>
      </c>
    </row>
    <row r="345" spans="1:13" x14ac:dyDescent="0.3">
      <c r="A345" s="25">
        <v>10</v>
      </c>
      <c r="B345" s="34">
        <v>1920</v>
      </c>
      <c r="C345" s="36" t="s">
        <v>43</v>
      </c>
      <c r="D345" s="32">
        <f t="shared" si="31"/>
        <v>0</v>
      </c>
      <c r="E345" s="32">
        <v>0</v>
      </c>
      <c r="F345" s="32">
        <v>0</v>
      </c>
      <c r="G345" s="28">
        <f t="shared" si="32"/>
        <v>0</v>
      </c>
      <c r="H345" s="30"/>
      <c r="I345" s="32"/>
      <c r="J345" s="32"/>
      <c r="K345" s="32"/>
      <c r="L345" s="29">
        <f t="shared" si="33"/>
        <v>0</v>
      </c>
      <c r="M345" s="33">
        <f t="shared" si="34"/>
        <v>0</v>
      </c>
    </row>
    <row r="346" spans="1:13" ht="26.4" x14ac:dyDescent="0.3">
      <c r="A346" s="25">
        <v>45</v>
      </c>
      <c r="B346" s="38">
        <v>1920</v>
      </c>
      <c r="C346" s="27" t="s">
        <v>44</v>
      </c>
      <c r="D346" s="32">
        <f t="shared" si="31"/>
        <v>0</v>
      </c>
      <c r="E346" s="32">
        <v>0</v>
      </c>
      <c r="F346" s="32">
        <v>0</v>
      </c>
      <c r="G346" s="28">
        <f t="shared" si="32"/>
        <v>0</v>
      </c>
      <c r="H346" s="30"/>
      <c r="I346" s="32"/>
      <c r="J346" s="32"/>
      <c r="K346" s="32"/>
      <c r="L346" s="29">
        <f t="shared" si="33"/>
        <v>0</v>
      </c>
      <c r="M346" s="33">
        <f t="shared" si="34"/>
        <v>0</v>
      </c>
    </row>
    <row r="347" spans="1:13" ht="26.4" x14ac:dyDescent="0.3">
      <c r="A347" s="25">
        <v>45.1</v>
      </c>
      <c r="B347" s="38">
        <v>1920</v>
      </c>
      <c r="C347" s="27" t="s">
        <v>45</v>
      </c>
      <c r="D347" s="32">
        <f t="shared" si="31"/>
        <v>83695.75</v>
      </c>
      <c r="E347" s="32">
        <v>34018.25</v>
      </c>
      <c r="F347" s="32">
        <v>0</v>
      </c>
      <c r="G347" s="28">
        <f t="shared" si="32"/>
        <v>117714</v>
      </c>
      <c r="H347" s="30"/>
      <c r="I347" s="32"/>
      <c r="J347" s="32">
        <v>-24029.46</v>
      </c>
      <c r="K347" s="32"/>
      <c r="L347" s="29">
        <f t="shared" si="33"/>
        <v>-24029.46</v>
      </c>
      <c r="M347" s="33">
        <f t="shared" si="34"/>
        <v>93684.540000000008</v>
      </c>
    </row>
    <row r="348" spans="1:13" x14ac:dyDescent="0.3">
      <c r="A348" s="25">
        <v>10</v>
      </c>
      <c r="B348" s="26">
        <v>1930</v>
      </c>
      <c r="C348" s="36" t="s">
        <v>46</v>
      </c>
      <c r="D348" s="32">
        <f t="shared" si="31"/>
        <v>1051727.9800000011</v>
      </c>
      <c r="E348" s="32">
        <f>137334</f>
        <v>137334</v>
      </c>
      <c r="F348" s="32">
        <v>-42442.85</v>
      </c>
      <c r="G348" s="28">
        <f t="shared" si="32"/>
        <v>1146619.1300000011</v>
      </c>
      <c r="H348" s="30"/>
      <c r="I348" s="32"/>
      <c r="J348" s="32">
        <f>-104886-111749</f>
        <v>-216635</v>
      </c>
      <c r="K348" s="32">
        <v>28305.8</v>
      </c>
      <c r="L348" s="29">
        <f t="shared" si="33"/>
        <v>-188329.2</v>
      </c>
      <c r="M348" s="33">
        <f t="shared" si="34"/>
        <v>958289.9300000011</v>
      </c>
    </row>
    <row r="349" spans="1:13" x14ac:dyDescent="0.3">
      <c r="A349" s="25">
        <v>8</v>
      </c>
      <c r="B349" s="26">
        <v>1935</v>
      </c>
      <c r="C349" s="36" t="s">
        <v>47</v>
      </c>
      <c r="D349" s="32">
        <f t="shared" si="31"/>
        <v>0</v>
      </c>
      <c r="E349" s="32">
        <v>0</v>
      </c>
      <c r="F349" s="32">
        <v>0</v>
      </c>
      <c r="G349" s="28">
        <f t="shared" si="32"/>
        <v>0</v>
      </c>
      <c r="H349" s="30"/>
      <c r="I349" s="32"/>
      <c r="J349" s="32"/>
      <c r="K349" s="32"/>
      <c r="L349" s="29">
        <f t="shared" si="33"/>
        <v>0</v>
      </c>
      <c r="M349" s="33">
        <f t="shared" si="34"/>
        <v>0</v>
      </c>
    </row>
    <row r="350" spans="1:13" x14ac:dyDescent="0.3">
      <c r="A350" s="25">
        <v>8</v>
      </c>
      <c r="B350" s="26">
        <v>1940</v>
      </c>
      <c r="C350" s="36" t="s">
        <v>48</v>
      </c>
      <c r="D350" s="32">
        <f t="shared" si="31"/>
        <v>74551.109999999986</v>
      </c>
      <c r="E350" s="32">
        <f>23803.41+165619+23376</f>
        <v>212798.41</v>
      </c>
      <c r="F350" s="32">
        <v>0</v>
      </c>
      <c r="G350" s="28">
        <f t="shared" si="32"/>
        <v>287349.52</v>
      </c>
      <c r="H350" s="30"/>
      <c r="I350" s="32"/>
      <c r="J350" s="32">
        <v>-21336</v>
      </c>
      <c r="K350" s="32"/>
      <c r="L350" s="29">
        <f t="shared" si="33"/>
        <v>-21336</v>
      </c>
      <c r="M350" s="33">
        <f t="shared" si="34"/>
        <v>266013.52</v>
      </c>
    </row>
    <row r="351" spans="1:13" x14ac:dyDescent="0.3">
      <c r="A351" s="25">
        <v>8</v>
      </c>
      <c r="B351" s="26">
        <v>1945</v>
      </c>
      <c r="C351" s="36" t="s">
        <v>49</v>
      </c>
      <c r="D351" s="32">
        <f t="shared" si="31"/>
        <v>9193.1400000000012</v>
      </c>
      <c r="E351" s="32">
        <v>0</v>
      </c>
      <c r="F351" s="32">
        <v>0</v>
      </c>
      <c r="G351" s="28">
        <f t="shared" si="32"/>
        <v>9193.1400000000012</v>
      </c>
      <c r="H351" s="30"/>
      <c r="I351" s="32"/>
      <c r="J351" s="32">
        <v>-1808</v>
      </c>
      <c r="K351" s="32"/>
      <c r="L351" s="29">
        <f t="shared" si="33"/>
        <v>-1808</v>
      </c>
      <c r="M351" s="33">
        <f t="shared" si="34"/>
        <v>7385.1400000000012</v>
      </c>
    </row>
    <row r="352" spans="1:13" x14ac:dyDescent="0.3">
      <c r="A352" s="25">
        <v>8</v>
      </c>
      <c r="B352" s="26">
        <v>1950</v>
      </c>
      <c r="C352" s="36" t="s">
        <v>50</v>
      </c>
      <c r="D352" s="32">
        <f t="shared" si="31"/>
        <v>43881.82</v>
      </c>
      <c r="E352" s="32">
        <v>0</v>
      </c>
      <c r="F352" s="32">
        <v>0</v>
      </c>
      <c r="G352" s="28">
        <f t="shared" si="32"/>
        <v>43881.82</v>
      </c>
      <c r="H352" s="30"/>
      <c r="I352" s="32"/>
      <c r="J352" s="32">
        <v>-8011</v>
      </c>
      <c r="K352" s="32"/>
      <c r="L352" s="29">
        <f t="shared" si="33"/>
        <v>-8011</v>
      </c>
      <c r="M352" s="33">
        <f t="shared" si="34"/>
        <v>35870.82</v>
      </c>
    </row>
    <row r="353" spans="1:15" x14ac:dyDescent="0.3">
      <c r="A353" s="25">
        <v>8</v>
      </c>
      <c r="B353" s="26">
        <v>1955</v>
      </c>
      <c r="C353" s="36" t="s">
        <v>51</v>
      </c>
      <c r="D353" s="32">
        <f t="shared" si="31"/>
        <v>0</v>
      </c>
      <c r="E353" s="32">
        <v>0</v>
      </c>
      <c r="F353" s="32">
        <v>0</v>
      </c>
      <c r="G353" s="28">
        <f t="shared" si="32"/>
        <v>0</v>
      </c>
      <c r="H353" s="30"/>
      <c r="I353" s="32"/>
      <c r="J353" s="32"/>
      <c r="K353" s="32"/>
      <c r="L353" s="29">
        <f t="shared" si="33"/>
        <v>0</v>
      </c>
      <c r="M353" s="33">
        <f t="shared" si="34"/>
        <v>0</v>
      </c>
    </row>
    <row r="354" spans="1:15" x14ac:dyDescent="0.3">
      <c r="A354" s="40">
        <v>8</v>
      </c>
      <c r="B354" s="38">
        <v>1955</v>
      </c>
      <c r="C354" s="41" t="s">
        <v>52</v>
      </c>
      <c r="D354" s="32">
        <f t="shared" si="31"/>
        <v>0</v>
      </c>
      <c r="E354" s="32">
        <v>0</v>
      </c>
      <c r="F354" s="32">
        <v>0</v>
      </c>
      <c r="G354" s="28">
        <f t="shared" si="32"/>
        <v>0</v>
      </c>
      <c r="H354" s="30"/>
      <c r="I354" s="32"/>
      <c r="J354" s="32"/>
      <c r="K354" s="32"/>
      <c r="L354" s="29">
        <f t="shared" si="33"/>
        <v>0</v>
      </c>
      <c r="M354" s="33">
        <f t="shared" si="34"/>
        <v>0</v>
      </c>
    </row>
    <row r="355" spans="1:15" x14ac:dyDescent="0.3">
      <c r="A355" s="40">
        <v>8</v>
      </c>
      <c r="B355" s="42">
        <v>1960</v>
      </c>
      <c r="C355" s="27" t="s">
        <v>53</v>
      </c>
      <c r="D355" s="32">
        <f t="shared" si="31"/>
        <v>0</v>
      </c>
      <c r="E355" s="32">
        <v>0</v>
      </c>
      <c r="F355" s="32">
        <v>0</v>
      </c>
      <c r="G355" s="28">
        <f t="shared" si="32"/>
        <v>0</v>
      </c>
      <c r="H355" s="30"/>
      <c r="I355" s="32"/>
      <c r="J355" s="32"/>
      <c r="K355" s="32"/>
      <c r="L355" s="29">
        <f t="shared" si="33"/>
        <v>0</v>
      </c>
      <c r="M355" s="33">
        <f t="shared" si="34"/>
        <v>0</v>
      </c>
    </row>
    <row r="356" spans="1:15" ht="26.4" x14ac:dyDescent="0.3">
      <c r="A356" s="43">
        <v>47</v>
      </c>
      <c r="B356" s="42">
        <v>1970</v>
      </c>
      <c r="C356" s="36" t="s">
        <v>54</v>
      </c>
      <c r="D356" s="32">
        <f t="shared" si="31"/>
        <v>0</v>
      </c>
      <c r="E356" s="32">
        <v>0</v>
      </c>
      <c r="F356" s="32">
        <v>0</v>
      </c>
      <c r="G356" s="28">
        <f t="shared" si="32"/>
        <v>0</v>
      </c>
      <c r="H356" s="30"/>
      <c r="I356" s="32"/>
      <c r="J356" s="32"/>
      <c r="K356" s="32"/>
      <c r="L356" s="29">
        <f t="shared" si="33"/>
        <v>0</v>
      </c>
      <c r="M356" s="33">
        <f t="shared" si="34"/>
        <v>0</v>
      </c>
    </row>
    <row r="357" spans="1:15" x14ac:dyDescent="0.3">
      <c r="A357" s="25">
        <v>47</v>
      </c>
      <c r="B357" s="26">
        <v>1975</v>
      </c>
      <c r="C357" s="36" t="s">
        <v>55</v>
      </c>
      <c r="D357" s="32">
        <f t="shared" si="31"/>
        <v>0</v>
      </c>
      <c r="E357" s="32">
        <v>0</v>
      </c>
      <c r="F357" s="32">
        <v>0</v>
      </c>
      <c r="G357" s="28">
        <f t="shared" si="32"/>
        <v>0</v>
      </c>
      <c r="H357" s="30"/>
      <c r="I357" s="32"/>
      <c r="J357" s="32"/>
      <c r="K357" s="32"/>
      <c r="L357" s="29">
        <f t="shared" si="33"/>
        <v>0</v>
      </c>
      <c r="M357" s="33">
        <f t="shared" si="34"/>
        <v>0</v>
      </c>
    </row>
    <row r="358" spans="1:15" x14ac:dyDescent="0.3">
      <c r="A358" s="25">
        <v>47</v>
      </c>
      <c r="B358" s="26">
        <v>1980</v>
      </c>
      <c r="C358" s="36" t="s">
        <v>56</v>
      </c>
      <c r="D358" s="32">
        <f t="shared" si="31"/>
        <v>198467.89</v>
      </c>
      <c r="E358" s="32">
        <v>3856.3099999999977</v>
      </c>
      <c r="F358" s="32">
        <v>0</v>
      </c>
      <c r="G358" s="28">
        <f t="shared" si="32"/>
        <v>202324.2</v>
      </c>
      <c r="H358" s="30"/>
      <c r="I358" s="32"/>
      <c r="J358" s="32">
        <v>-51622</v>
      </c>
      <c r="K358" s="32"/>
      <c r="L358" s="29">
        <f t="shared" si="33"/>
        <v>-51622</v>
      </c>
      <c r="M358" s="33">
        <f t="shared" si="34"/>
        <v>150702.20000000001</v>
      </c>
    </row>
    <row r="359" spans="1:15" x14ac:dyDescent="0.3">
      <c r="A359" s="25">
        <v>47</v>
      </c>
      <c r="B359" s="26">
        <v>1985</v>
      </c>
      <c r="C359" s="36" t="s">
        <v>57</v>
      </c>
      <c r="D359" s="32">
        <f t="shared" si="31"/>
        <v>0</v>
      </c>
      <c r="E359" s="32">
        <v>0</v>
      </c>
      <c r="F359" s="32">
        <v>0</v>
      </c>
      <c r="G359" s="28">
        <f t="shared" si="32"/>
        <v>0</v>
      </c>
      <c r="H359" s="30"/>
      <c r="I359" s="32"/>
      <c r="J359" s="32"/>
      <c r="K359" s="32"/>
      <c r="L359" s="29">
        <f t="shared" si="33"/>
        <v>0</v>
      </c>
      <c r="M359" s="33">
        <f t="shared" si="34"/>
        <v>0</v>
      </c>
    </row>
    <row r="360" spans="1:15" x14ac:dyDescent="0.3">
      <c r="A360" s="43">
        <v>47</v>
      </c>
      <c r="B360" s="26">
        <v>1990</v>
      </c>
      <c r="C360" s="45" t="s">
        <v>58</v>
      </c>
      <c r="D360" s="32">
        <f t="shared" si="31"/>
        <v>0</v>
      </c>
      <c r="E360" s="32">
        <v>0</v>
      </c>
      <c r="F360" s="32">
        <v>0</v>
      </c>
      <c r="G360" s="28">
        <f t="shared" si="32"/>
        <v>0</v>
      </c>
      <c r="H360" s="30"/>
      <c r="I360" s="32"/>
      <c r="J360" s="32"/>
      <c r="K360" s="32"/>
      <c r="L360" s="29">
        <f t="shared" si="33"/>
        <v>0</v>
      </c>
      <c r="M360" s="33">
        <f t="shared" si="34"/>
        <v>0</v>
      </c>
    </row>
    <row r="361" spans="1:15" x14ac:dyDescent="0.3">
      <c r="A361" s="25">
        <v>47</v>
      </c>
      <c r="B361" s="26">
        <v>1995</v>
      </c>
      <c r="C361" s="36" t="s">
        <v>59</v>
      </c>
      <c r="D361" s="32">
        <f t="shared" si="31"/>
        <v>-5819424.9500000002</v>
      </c>
      <c r="E361" s="32">
        <v>-6754</v>
      </c>
      <c r="F361" s="32"/>
      <c r="G361" s="28">
        <f t="shared" si="32"/>
        <v>-5826178.9500000002</v>
      </c>
      <c r="H361" s="30"/>
      <c r="I361" s="32"/>
      <c r="J361" s="72">
        <v>119932</v>
      </c>
      <c r="K361" s="72"/>
      <c r="L361" s="29">
        <f t="shared" si="33"/>
        <v>119932</v>
      </c>
      <c r="M361" s="33">
        <f t="shared" si="34"/>
        <v>-5706246.9500000002</v>
      </c>
    </row>
    <row r="362" spans="1:15" ht="15.6" x14ac:dyDescent="0.3">
      <c r="A362" s="25">
        <v>47</v>
      </c>
      <c r="B362" s="73">
        <v>2440</v>
      </c>
      <c r="C362" s="36" t="s">
        <v>60</v>
      </c>
      <c r="D362" s="32">
        <f t="shared" si="31"/>
        <v>0</v>
      </c>
      <c r="E362" s="32">
        <v>-804188</v>
      </c>
      <c r="F362" s="32"/>
      <c r="G362" s="28">
        <f t="shared" si="32"/>
        <v>-804188</v>
      </c>
      <c r="H362"/>
      <c r="I362" s="31"/>
      <c r="J362" s="32"/>
      <c r="K362" s="32"/>
      <c r="L362" s="29">
        <f t="shared" si="33"/>
        <v>0</v>
      </c>
      <c r="M362" s="33">
        <f t="shared" si="34"/>
        <v>-804188</v>
      </c>
    </row>
    <row r="363" spans="1:15" x14ac:dyDescent="0.3">
      <c r="A363" s="46"/>
      <c r="B363" s="46"/>
      <c r="C363" s="47"/>
      <c r="D363" s="32">
        <f t="shared" si="31"/>
        <v>0</v>
      </c>
      <c r="E363" s="48"/>
      <c r="F363" s="48"/>
      <c r="G363" s="28">
        <f t="shared" si="32"/>
        <v>0</v>
      </c>
      <c r="H363"/>
      <c r="I363" s="48"/>
      <c r="J363" s="48"/>
      <c r="K363" s="48"/>
      <c r="L363" s="29">
        <f t="shared" si="33"/>
        <v>0</v>
      </c>
      <c r="M363" s="33">
        <f t="shared" si="34"/>
        <v>0</v>
      </c>
    </row>
    <row r="364" spans="1:15" x14ac:dyDescent="0.3">
      <c r="A364" s="46"/>
      <c r="B364" s="46"/>
      <c r="C364" s="49" t="s">
        <v>61</v>
      </c>
      <c r="D364" s="50">
        <f>SUM(D324:D363)</f>
        <v>26182356.770000003</v>
      </c>
      <c r="E364" s="50">
        <f t="shared" ref="E364:M364" si="35">SUM(E324:E363)</f>
        <v>4104730.2399999993</v>
      </c>
      <c r="F364" s="50">
        <f t="shared" si="35"/>
        <v>-181885.66</v>
      </c>
      <c r="G364" s="50">
        <f t="shared" si="35"/>
        <v>30105201.350000013</v>
      </c>
      <c r="H364" s="50">
        <f t="shared" si="35"/>
        <v>0</v>
      </c>
      <c r="I364" s="50">
        <f>SUM(I324:I363)</f>
        <v>0</v>
      </c>
      <c r="J364" s="50">
        <f t="shared" si="35"/>
        <v>-1467255.46</v>
      </c>
      <c r="K364" s="50">
        <f t="shared" si="35"/>
        <v>150101.55000000002</v>
      </c>
      <c r="L364" s="50">
        <f t="shared" si="35"/>
        <v>-1317153.9099999999</v>
      </c>
      <c r="M364" s="50">
        <f t="shared" si="35"/>
        <v>28788047.440000001</v>
      </c>
    </row>
    <row r="365" spans="1:15" ht="26.4" x14ac:dyDescent="0.3">
      <c r="A365" s="46"/>
      <c r="B365" s="46"/>
      <c r="C365" s="51" t="s">
        <v>62</v>
      </c>
      <c r="D365" s="48"/>
      <c r="E365" s="48"/>
      <c r="F365" s="48"/>
      <c r="G365" s="29">
        <v>0</v>
      </c>
      <c r="H365"/>
      <c r="I365" s="48"/>
      <c r="J365" s="48"/>
      <c r="K365" s="48"/>
      <c r="L365" s="29">
        <v>0</v>
      </c>
      <c r="M365" s="33">
        <v>0</v>
      </c>
    </row>
    <row r="366" spans="1:15" ht="26.4" x14ac:dyDescent="0.3">
      <c r="A366" s="46"/>
      <c r="B366" s="46"/>
      <c r="C366" s="52" t="s">
        <v>63</v>
      </c>
      <c r="D366" s="48"/>
      <c r="E366" s="48"/>
      <c r="F366" s="48"/>
      <c r="G366" s="29">
        <v>0</v>
      </c>
      <c r="H366"/>
      <c r="I366" s="48"/>
      <c r="J366" s="48"/>
      <c r="K366" s="48"/>
      <c r="L366" s="29">
        <v>0</v>
      </c>
      <c r="M366" s="33">
        <v>0</v>
      </c>
    </row>
    <row r="367" spans="1:15" x14ac:dyDescent="0.3">
      <c r="A367" s="46"/>
      <c r="B367" s="46"/>
      <c r="C367" s="49" t="s">
        <v>65</v>
      </c>
      <c r="D367" s="50">
        <f>SUM(D364:D366)</f>
        <v>26182356.770000003</v>
      </c>
      <c r="E367" s="50">
        <f t="shared" ref="E367:M367" si="36">SUM(E364:E366)</f>
        <v>4104730.2399999993</v>
      </c>
      <c r="F367" s="50">
        <f t="shared" si="36"/>
        <v>-181885.66</v>
      </c>
      <c r="G367" s="50">
        <f t="shared" si="36"/>
        <v>30105201.350000013</v>
      </c>
      <c r="H367" s="50">
        <f t="shared" si="36"/>
        <v>0</v>
      </c>
      <c r="I367" s="50">
        <f t="shared" si="36"/>
        <v>0</v>
      </c>
      <c r="J367" s="50">
        <f t="shared" si="36"/>
        <v>-1467255.46</v>
      </c>
      <c r="K367" s="50">
        <f t="shared" si="36"/>
        <v>150101.55000000002</v>
      </c>
      <c r="L367" s="50">
        <f t="shared" si="36"/>
        <v>-1317153.9099999999</v>
      </c>
      <c r="M367" s="163">
        <f t="shared" si="36"/>
        <v>28788047.440000001</v>
      </c>
    </row>
    <row r="368" spans="1:15" ht="16.2" x14ac:dyDescent="0.3">
      <c r="A368" s="46"/>
      <c r="B368" s="46"/>
      <c r="C368" s="139" t="s">
        <v>66</v>
      </c>
      <c r="D368" s="140"/>
      <c r="E368" s="140"/>
      <c r="F368" s="140"/>
      <c r="G368" s="140"/>
      <c r="H368" s="140"/>
      <c r="I368" s="141"/>
      <c r="J368" s="88">
        <v>-5872.19</v>
      </c>
      <c r="K368" s="54"/>
      <c r="L368" s="55"/>
      <c r="M368" s="56"/>
      <c r="N368" s="161"/>
      <c r="O368" s="161"/>
    </row>
    <row r="369" spans="1:15" x14ac:dyDescent="0.3">
      <c r="A369" s="46"/>
      <c r="B369" s="46"/>
      <c r="C369" s="139" t="s">
        <v>67</v>
      </c>
      <c r="D369" s="140"/>
      <c r="E369" s="140"/>
      <c r="F369" s="140"/>
      <c r="G369" s="140"/>
      <c r="H369" s="140"/>
      <c r="I369" s="141"/>
      <c r="J369" s="50">
        <f>SUM(J367:J368)</f>
        <v>-1473127.65</v>
      </c>
      <c r="K369" s="54"/>
      <c r="L369" s="55"/>
      <c r="M369" s="56"/>
      <c r="N369" s="161"/>
      <c r="O369" s="161"/>
    </row>
    <row r="370" spans="1:15" x14ac:dyDescent="0.3">
      <c r="C370"/>
      <c r="D370" s="74"/>
      <c r="E370" s="74"/>
      <c r="F370" s="74"/>
      <c r="G370" s="74"/>
      <c r="H370" s="75"/>
      <c r="I370" s="74"/>
      <c r="J370" s="74"/>
      <c r="K370" s="74"/>
      <c r="L370" s="74"/>
      <c r="M370" s="56"/>
      <c r="N370" s="161"/>
      <c r="O370" s="161"/>
    </row>
    <row r="371" spans="1:15" x14ac:dyDescent="0.3">
      <c r="C371"/>
      <c r="D371" s="77"/>
      <c r="E371"/>
      <c r="F371"/>
      <c r="G371" s="76"/>
      <c r="H371"/>
      <c r="I371" s="58" t="s">
        <v>68</v>
      </c>
      <c r="J371" s="59"/>
      <c r="K371"/>
      <c r="L371"/>
      <c r="M371" s="56"/>
      <c r="N371" s="161"/>
      <c r="O371" s="161"/>
    </row>
    <row r="372" spans="1:15" x14ac:dyDescent="0.3">
      <c r="A372" s="46">
        <v>10</v>
      </c>
      <c r="B372" s="46"/>
      <c r="C372" s="47" t="s">
        <v>69</v>
      </c>
      <c r="D372"/>
      <c r="E372"/>
      <c r="F372"/>
      <c r="G372"/>
      <c r="H372"/>
      <c r="I372" s="59" t="s">
        <v>69</v>
      </c>
      <c r="J372" s="59"/>
      <c r="K372" s="60"/>
      <c r="L372"/>
      <c r="M372" s="56"/>
      <c r="N372" s="161"/>
      <c r="O372" s="161"/>
    </row>
    <row r="373" spans="1:15" x14ac:dyDescent="0.3">
      <c r="A373" s="46">
        <v>8</v>
      </c>
      <c r="B373" s="46"/>
      <c r="C373" s="47" t="s">
        <v>47</v>
      </c>
      <c r="D373"/>
      <c r="E373"/>
      <c r="F373"/>
      <c r="G373"/>
      <c r="H373"/>
      <c r="I373" s="59" t="s">
        <v>47</v>
      </c>
      <c r="J373" s="59"/>
      <c r="K373" s="61"/>
      <c r="L373"/>
      <c r="M373" s="3"/>
      <c r="N373" s="161"/>
      <c r="O373" s="3"/>
    </row>
    <row r="374" spans="1:15" x14ac:dyDescent="0.3">
      <c r="C374"/>
      <c r="D374"/>
      <c r="E374"/>
      <c r="F374"/>
      <c r="G374" s="57"/>
      <c r="H374"/>
      <c r="I374" s="62" t="s">
        <v>70</v>
      </c>
      <c r="J374"/>
      <c r="K374" s="63">
        <f>J369</f>
        <v>-1473127.65</v>
      </c>
      <c r="L374"/>
      <c r="M374" s="3"/>
      <c r="N374" s="161"/>
      <c r="O374" s="3"/>
    </row>
    <row r="375" spans="1:15" x14ac:dyDescent="0.3">
      <c r="C375"/>
      <c r="D375"/>
      <c r="E375"/>
      <c r="F375"/>
      <c r="G375"/>
      <c r="H375"/>
      <c r="I375"/>
      <c r="J375"/>
      <c r="K375"/>
      <c r="L375"/>
      <c r="M375" s="56"/>
      <c r="N375" s="161"/>
      <c r="O375" s="3"/>
    </row>
    <row r="376" spans="1:15" x14ac:dyDescent="0.3">
      <c r="A376" s="64" t="s">
        <v>71</v>
      </c>
      <c r="C376"/>
      <c r="D376"/>
      <c r="E376"/>
      <c r="F376"/>
      <c r="G376"/>
      <c r="H376"/>
      <c r="I376"/>
      <c r="J376"/>
      <c r="K376"/>
      <c r="L376"/>
      <c r="M376" s="162"/>
      <c r="N376" s="161"/>
      <c r="O376" s="161"/>
    </row>
    <row r="377" spans="1:15" x14ac:dyDescent="0.3">
      <c r="C377"/>
      <c r="D377"/>
      <c r="E377"/>
      <c r="F377"/>
      <c r="G377"/>
      <c r="H377"/>
      <c r="I377"/>
      <c r="J377"/>
      <c r="K377"/>
      <c r="L377"/>
      <c r="M377"/>
    </row>
    <row r="378" spans="1:15" x14ac:dyDescent="0.3">
      <c r="A378" s="1">
        <v>1</v>
      </c>
      <c r="B378" s="142" t="s">
        <v>72</v>
      </c>
      <c r="C378" s="142"/>
      <c r="D378" s="142"/>
      <c r="E378" s="142"/>
      <c r="F378" s="142"/>
      <c r="G378" s="142"/>
      <c r="H378" s="142"/>
      <c r="I378" s="142"/>
      <c r="J378" s="142"/>
      <c r="K378" s="142"/>
      <c r="L378" s="142"/>
      <c r="M378" s="142"/>
    </row>
    <row r="379" spans="1:15" x14ac:dyDescent="0.3">
      <c r="B379" s="142"/>
      <c r="C379" s="142"/>
      <c r="D379" s="142"/>
      <c r="E379" s="142"/>
      <c r="F379" s="142"/>
      <c r="G379" s="142"/>
      <c r="H379" s="142"/>
      <c r="I379" s="142"/>
      <c r="J379" s="142"/>
      <c r="K379" s="142"/>
      <c r="L379" s="142"/>
      <c r="M379" s="142"/>
    </row>
    <row r="380" spans="1:15" x14ac:dyDescent="0.3">
      <c r="C380"/>
      <c r="D380"/>
      <c r="E380"/>
      <c r="F380"/>
      <c r="G380"/>
      <c r="H380"/>
      <c r="I380"/>
      <c r="J380"/>
      <c r="K380"/>
      <c r="L380"/>
      <c r="M380"/>
    </row>
    <row r="381" spans="1:15" x14ac:dyDescent="0.3">
      <c r="A381" s="1">
        <v>2</v>
      </c>
      <c r="B381" s="143" t="s">
        <v>73</v>
      </c>
      <c r="C381" s="143"/>
      <c r="D381" s="143"/>
      <c r="E381" s="143"/>
      <c r="F381" s="143"/>
      <c r="G381" s="143"/>
      <c r="H381" s="143"/>
      <c r="I381" s="143"/>
      <c r="J381" s="143"/>
      <c r="K381" s="143"/>
      <c r="L381" s="143"/>
      <c r="M381" s="143"/>
    </row>
    <row r="382" spans="1:15" x14ac:dyDescent="0.3">
      <c r="B382" s="143"/>
      <c r="C382" s="143"/>
      <c r="D382" s="143"/>
      <c r="E382" s="143"/>
      <c r="F382" s="143"/>
      <c r="G382" s="143"/>
      <c r="H382" s="143"/>
      <c r="I382" s="143"/>
      <c r="J382" s="143"/>
      <c r="K382" s="143"/>
      <c r="L382" s="143"/>
      <c r="M382" s="143"/>
    </row>
    <row r="383" spans="1:15" x14ac:dyDescent="0.3">
      <c r="C383"/>
      <c r="D383"/>
      <c r="E383"/>
      <c r="F383"/>
      <c r="G383"/>
      <c r="H383"/>
      <c r="I383"/>
      <c r="J383"/>
      <c r="K383"/>
      <c r="L383"/>
      <c r="M383"/>
    </row>
    <row r="384" spans="1:15" x14ac:dyDescent="0.3">
      <c r="A384" s="1">
        <v>3</v>
      </c>
      <c r="B384" s="144" t="s">
        <v>74</v>
      </c>
      <c r="C384" s="144"/>
      <c r="D384" s="144"/>
      <c r="E384" s="144"/>
      <c r="F384" s="144"/>
      <c r="G384" s="144"/>
      <c r="H384" s="144"/>
      <c r="I384" s="144"/>
      <c r="J384" s="144"/>
      <c r="K384" s="144"/>
      <c r="L384" s="144"/>
      <c r="M384" s="144"/>
    </row>
    <row r="385" spans="1:13" x14ac:dyDescent="0.3">
      <c r="C385"/>
      <c r="D385"/>
      <c r="E385"/>
      <c r="F385"/>
      <c r="G385"/>
      <c r="H385"/>
      <c r="I385"/>
      <c r="J385"/>
      <c r="K385"/>
      <c r="L385"/>
      <c r="M385"/>
    </row>
    <row r="386" spans="1:13" x14ac:dyDescent="0.3">
      <c r="A386" s="1">
        <v>4</v>
      </c>
      <c r="B386" s="65" t="s">
        <v>75</v>
      </c>
      <c r="C386" s="12"/>
      <c r="D386"/>
      <c r="E386"/>
      <c r="F386"/>
      <c r="G386"/>
      <c r="H386"/>
      <c r="I386"/>
      <c r="J386"/>
      <c r="K386"/>
      <c r="L386"/>
      <c r="M386"/>
    </row>
    <row r="387" spans="1:13" x14ac:dyDescent="0.3">
      <c r="C387"/>
      <c r="D387"/>
      <c r="E387"/>
      <c r="F387"/>
      <c r="G387"/>
      <c r="H387"/>
      <c r="I387"/>
      <c r="J387"/>
      <c r="K387"/>
      <c r="L387"/>
      <c r="M387"/>
    </row>
    <row r="388" spans="1:13" x14ac:dyDescent="0.3">
      <c r="A388" s="1">
        <v>5</v>
      </c>
      <c r="B388" s="66" t="s">
        <v>76</v>
      </c>
      <c r="C388"/>
      <c r="D388"/>
      <c r="E388"/>
      <c r="F388"/>
      <c r="G388"/>
      <c r="H388"/>
      <c r="I388"/>
      <c r="J388"/>
      <c r="K388"/>
      <c r="L388"/>
      <c r="M388"/>
    </row>
    <row r="389" spans="1:13" x14ac:dyDescent="0.3">
      <c r="C389"/>
      <c r="D389"/>
      <c r="E389"/>
      <c r="F389"/>
      <c r="G389"/>
      <c r="H389"/>
      <c r="I389"/>
      <c r="J389"/>
      <c r="K389"/>
      <c r="L389"/>
      <c r="M389"/>
    </row>
    <row r="390" spans="1:13" x14ac:dyDescent="0.3">
      <c r="A390" s="1">
        <v>6</v>
      </c>
      <c r="B390" s="144" t="s">
        <v>77</v>
      </c>
      <c r="C390" s="144"/>
      <c r="D390" s="144"/>
      <c r="E390" s="144"/>
      <c r="F390" s="144"/>
      <c r="G390" s="144"/>
      <c r="H390" s="144"/>
      <c r="I390" s="144"/>
      <c r="J390" s="144"/>
      <c r="K390" s="144"/>
      <c r="L390" s="144"/>
      <c r="M390" s="144"/>
    </row>
    <row r="391" spans="1:13" x14ac:dyDescent="0.3">
      <c r="B391" s="144"/>
      <c r="C391" s="144"/>
      <c r="D391" s="144"/>
      <c r="E391" s="144"/>
      <c r="F391" s="144"/>
      <c r="G391" s="144"/>
      <c r="H391" s="144"/>
      <c r="I391" s="144"/>
      <c r="J391" s="144"/>
      <c r="K391" s="144"/>
      <c r="L391" s="144"/>
      <c r="M391" s="144"/>
    </row>
    <row r="392" spans="1:13" x14ac:dyDescent="0.3">
      <c r="B392" s="144"/>
      <c r="C392" s="144"/>
      <c r="D392" s="144"/>
      <c r="E392" s="144"/>
      <c r="F392" s="144"/>
      <c r="G392" s="144"/>
      <c r="H392" s="144"/>
      <c r="I392" s="144"/>
      <c r="J392" s="144"/>
      <c r="K392" s="144"/>
      <c r="L392" s="144"/>
      <c r="M392" s="144"/>
    </row>
    <row r="396" spans="1:13" x14ac:dyDescent="0.3">
      <c r="C396"/>
      <c r="D396"/>
      <c r="E396"/>
      <c r="F396"/>
      <c r="G396"/>
      <c r="H396"/>
      <c r="I396"/>
      <c r="J396"/>
      <c r="K396"/>
      <c r="L396" s="68"/>
      <c r="M396" s="69"/>
    </row>
    <row r="397" spans="1:13" x14ac:dyDescent="0.3">
      <c r="C397"/>
      <c r="D397"/>
      <c r="E397"/>
      <c r="F397"/>
      <c r="G397"/>
      <c r="H397"/>
      <c r="I397"/>
      <c r="J397"/>
      <c r="K397"/>
      <c r="L397" s="68"/>
      <c r="M397" s="70"/>
    </row>
    <row r="398" spans="1:13" x14ac:dyDescent="0.3">
      <c r="C398"/>
      <c r="D398"/>
      <c r="E398"/>
      <c r="F398"/>
      <c r="G398"/>
      <c r="H398"/>
      <c r="I398"/>
      <c r="J398"/>
      <c r="K398"/>
      <c r="L398" s="68"/>
      <c r="M398" s="70"/>
    </row>
    <row r="399" spans="1:13" x14ac:dyDescent="0.3">
      <c r="C399"/>
      <c r="D399"/>
      <c r="E399"/>
      <c r="F399"/>
      <c r="G399"/>
      <c r="H399"/>
      <c r="I399"/>
      <c r="J399"/>
      <c r="K399"/>
      <c r="L399" s="68"/>
      <c r="M399" s="70"/>
    </row>
    <row r="400" spans="1:13" x14ac:dyDescent="0.3">
      <c r="C400"/>
      <c r="D400"/>
      <c r="E400"/>
      <c r="F400"/>
      <c r="G400"/>
      <c r="H400"/>
      <c r="I400"/>
      <c r="J400"/>
      <c r="K400"/>
      <c r="L400" s="68"/>
      <c r="M400" s="71"/>
    </row>
    <row r="401" spans="1:13" s="2" customFormat="1" x14ac:dyDescent="0.3">
      <c r="A401" s="1"/>
      <c r="B401" s="1"/>
      <c r="C401"/>
      <c r="D401"/>
      <c r="E401"/>
      <c r="F401"/>
      <c r="G401"/>
      <c r="H401"/>
      <c r="I401"/>
      <c r="J401"/>
      <c r="K401"/>
      <c r="L401" s="68"/>
      <c r="M401" s="71"/>
    </row>
    <row r="402" spans="1:13" s="2" customFormat="1" x14ac:dyDescent="0.3">
      <c r="A402" s="1"/>
      <c r="B402" s="1"/>
      <c r="C402"/>
      <c r="D402"/>
      <c r="E402"/>
      <c r="F402"/>
      <c r="G402"/>
      <c r="H402"/>
      <c r="I402"/>
      <c r="J402"/>
      <c r="K402"/>
      <c r="L402" s="68"/>
      <c r="M402" s="71"/>
    </row>
    <row r="403" spans="1:13" s="2" customFormat="1" x14ac:dyDescent="0.3">
      <c r="A403" s="1"/>
      <c r="B403" s="1"/>
      <c r="C403"/>
      <c r="D403"/>
      <c r="E403"/>
      <c r="F403"/>
      <c r="G403"/>
      <c r="H403"/>
      <c r="I403"/>
      <c r="J403"/>
      <c r="K403"/>
      <c r="L403"/>
      <c r="M403"/>
    </row>
    <row r="404" spans="1:13" s="2" customFormat="1" ht="17.399999999999999" x14ac:dyDescent="0.25">
      <c r="A404" s="138" t="s">
        <v>6</v>
      </c>
      <c r="B404" s="138"/>
      <c r="C404" s="138"/>
      <c r="D404" s="138"/>
      <c r="E404" s="138"/>
      <c r="F404" s="138"/>
      <c r="G404" s="138"/>
      <c r="H404" s="138"/>
      <c r="I404" s="138"/>
      <c r="J404" s="138"/>
      <c r="K404" s="138"/>
      <c r="L404" s="138"/>
      <c r="M404" s="138"/>
    </row>
    <row r="405" spans="1:13" s="2" customFormat="1" ht="19.2" x14ac:dyDescent="0.25">
      <c r="A405" s="138" t="s">
        <v>7</v>
      </c>
      <c r="B405" s="138"/>
      <c r="C405" s="138"/>
      <c r="D405" s="138"/>
      <c r="E405" s="138"/>
      <c r="F405" s="138"/>
      <c r="G405" s="138"/>
      <c r="H405" s="138"/>
      <c r="I405" s="138"/>
      <c r="J405" s="138"/>
      <c r="K405" s="138"/>
      <c r="L405" s="138"/>
      <c r="M405" s="138"/>
    </row>
    <row r="406" spans="1:13" s="2" customFormat="1" x14ac:dyDescent="0.3">
      <c r="A406" s="1"/>
      <c r="B406" s="1"/>
      <c r="C406"/>
      <c r="D406"/>
      <c r="E406"/>
      <c r="F406"/>
      <c r="G406"/>
      <c r="I406"/>
      <c r="J406"/>
      <c r="K406"/>
      <c r="L406"/>
      <c r="M406"/>
    </row>
    <row r="407" spans="1:13" s="2" customFormat="1" x14ac:dyDescent="0.3">
      <c r="A407" s="1"/>
      <c r="B407" s="1"/>
      <c r="C407"/>
      <c r="D407"/>
      <c r="E407" s="10" t="s">
        <v>8</v>
      </c>
      <c r="F407" s="11" t="s">
        <v>79</v>
      </c>
      <c r="G407"/>
      <c r="I407"/>
      <c r="J407"/>
      <c r="K407"/>
      <c r="L407"/>
      <c r="M407"/>
    </row>
    <row r="408" spans="1:13" s="2" customFormat="1" x14ac:dyDescent="0.3">
      <c r="A408" s="1"/>
      <c r="B408" s="1"/>
      <c r="C408" s="12"/>
      <c r="D408"/>
      <c r="E408" s="10" t="s">
        <v>10</v>
      </c>
      <c r="F408" s="13">
        <v>2015</v>
      </c>
      <c r="G408" s="14"/>
      <c r="H408"/>
      <c r="I408"/>
      <c r="J408"/>
      <c r="K408"/>
      <c r="L408"/>
      <c r="M408"/>
    </row>
    <row r="409" spans="1:13" s="2" customFormat="1" x14ac:dyDescent="0.3">
      <c r="A409" s="1"/>
      <c r="B409" s="1"/>
      <c r="C409"/>
      <c r="D409"/>
      <c r="E409"/>
      <c r="F409"/>
      <c r="G409"/>
      <c r="H409"/>
      <c r="I409"/>
      <c r="J409"/>
      <c r="K409"/>
      <c r="L409"/>
      <c r="M409"/>
    </row>
    <row r="410" spans="1:13" s="2" customFormat="1" x14ac:dyDescent="0.3">
      <c r="A410" s="1"/>
      <c r="B410" s="1"/>
      <c r="C410"/>
      <c r="D410" s="135" t="s">
        <v>11</v>
      </c>
      <c r="E410" s="136"/>
      <c r="F410" s="136"/>
      <c r="G410" s="137"/>
      <c r="H410"/>
      <c r="I410" s="15"/>
      <c r="J410" s="16" t="s">
        <v>12</v>
      </c>
      <c r="K410" s="16"/>
      <c r="L410" s="17"/>
      <c r="M410" s="3"/>
    </row>
    <row r="411" spans="1:13" s="2" customFormat="1" ht="28.95" x14ac:dyDescent="0.25">
      <c r="A411" s="18" t="s">
        <v>13</v>
      </c>
      <c r="B411" s="18" t="s">
        <v>14</v>
      </c>
      <c r="C411" s="19" t="s">
        <v>15</v>
      </c>
      <c r="D411" s="18" t="s">
        <v>16</v>
      </c>
      <c r="E411" s="20" t="s">
        <v>17</v>
      </c>
      <c r="F411" s="20" t="s">
        <v>18</v>
      </c>
      <c r="G411" s="18" t="s">
        <v>19</v>
      </c>
      <c r="H411" s="21"/>
      <c r="I411" s="22" t="s">
        <v>16</v>
      </c>
      <c r="J411" s="23" t="s">
        <v>20</v>
      </c>
      <c r="K411" s="23" t="s">
        <v>18</v>
      </c>
      <c r="L411" s="24" t="s">
        <v>19</v>
      </c>
      <c r="M411" s="18" t="s">
        <v>21</v>
      </c>
    </row>
    <row r="412" spans="1:13" s="2" customFormat="1" ht="26.4" x14ac:dyDescent="0.3">
      <c r="A412" s="25">
        <v>12</v>
      </c>
      <c r="B412" s="73">
        <v>1611</v>
      </c>
      <c r="C412" s="27" t="s">
        <v>22</v>
      </c>
      <c r="D412" s="32">
        <f>G324</f>
        <v>540149.5</v>
      </c>
      <c r="E412" s="32">
        <f>218360.8-50000</f>
        <v>168360.8</v>
      </c>
      <c r="F412" s="32"/>
      <c r="G412" s="29">
        <f>SUM(D412:F412)</f>
        <v>708510.3</v>
      </c>
      <c r="H412" s="30"/>
      <c r="I412" s="31">
        <f>L324</f>
        <v>-107619</v>
      </c>
      <c r="J412" s="32">
        <v>-123586.65</v>
      </c>
      <c r="K412" s="32"/>
      <c r="L412" s="29">
        <f>SUM(I412:K412)</f>
        <v>-231205.65</v>
      </c>
      <c r="M412" s="33">
        <f>G412+L412</f>
        <v>477304.65</v>
      </c>
    </row>
    <row r="413" spans="1:13" s="2" customFormat="1" ht="26.4" x14ac:dyDescent="0.3">
      <c r="A413" s="25" t="s">
        <v>23</v>
      </c>
      <c r="B413" s="73">
        <v>1612</v>
      </c>
      <c r="C413" s="27" t="s">
        <v>24</v>
      </c>
      <c r="D413" s="32">
        <f t="shared" ref="D413:D450" si="37">G325</f>
        <v>43879.040000000001</v>
      </c>
      <c r="E413" s="32">
        <v>0</v>
      </c>
      <c r="F413" s="32"/>
      <c r="G413" s="29">
        <f t="shared" ref="G413:G450" si="38">SUM(D413:F413)</f>
        <v>43879.040000000001</v>
      </c>
      <c r="H413" s="30"/>
      <c r="I413" s="31">
        <f t="shared" ref="I413:I450" si="39">L325</f>
        <v>0</v>
      </c>
      <c r="J413" s="32"/>
      <c r="K413" s="32"/>
      <c r="L413" s="29">
        <f t="shared" ref="L413:L450" si="40">SUM(I413:K413)</f>
        <v>0</v>
      </c>
      <c r="M413" s="33">
        <f t="shared" ref="M413:M450" si="41">G413+L413</f>
        <v>43879.040000000001</v>
      </c>
    </row>
    <row r="414" spans="1:13" s="2" customFormat="1" x14ac:dyDescent="0.3">
      <c r="A414" s="25" t="s">
        <v>25</v>
      </c>
      <c r="B414" s="73">
        <v>1805</v>
      </c>
      <c r="C414" s="35" t="s">
        <v>26</v>
      </c>
      <c r="D414" s="32">
        <f t="shared" si="37"/>
        <v>104039.08</v>
      </c>
      <c r="E414" s="32">
        <v>0</v>
      </c>
      <c r="F414" s="32"/>
      <c r="G414" s="29">
        <f t="shared" si="38"/>
        <v>104039.08</v>
      </c>
      <c r="H414" s="30"/>
      <c r="I414" s="31">
        <f t="shared" si="39"/>
        <v>0</v>
      </c>
      <c r="J414" s="32"/>
      <c r="K414" s="32"/>
      <c r="L414" s="29">
        <f t="shared" si="40"/>
        <v>0</v>
      </c>
      <c r="M414" s="33">
        <f t="shared" si="41"/>
        <v>104039.08</v>
      </c>
    </row>
    <row r="415" spans="1:13" s="2" customFormat="1" x14ac:dyDescent="0.3">
      <c r="A415" s="25">
        <v>47</v>
      </c>
      <c r="B415" s="73">
        <v>1808</v>
      </c>
      <c r="C415" s="36" t="s">
        <v>27</v>
      </c>
      <c r="D415" s="32">
        <f t="shared" si="37"/>
        <v>149808.17000000001</v>
      </c>
      <c r="E415" s="32">
        <v>28387.339999999997</v>
      </c>
      <c r="F415" s="32"/>
      <c r="G415" s="29">
        <f t="shared" si="38"/>
        <v>178195.51</v>
      </c>
      <c r="H415" s="30"/>
      <c r="I415" s="31">
        <f t="shared" si="39"/>
        <v>-3989</v>
      </c>
      <c r="J415" s="32">
        <v>-4258.53</v>
      </c>
      <c r="K415" s="32"/>
      <c r="L415" s="29">
        <f t="shared" si="40"/>
        <v>-8247.5299999999988</v>
      </c>
      <c r="M415" s="33">
        <f t="shared" si="41"/>
        <v>169947.98</v>
      </c>
    </row>
    <row r="416" spans="1:13" s="2" customFormat="1" x14ac:dyDescent="0.3">
      <c r="A416" s="25">
        <v>13</v>
      </c>
      <c r="B416" s="73">
        <v>1810</v>
      </c>
      <c r="C416" s="36" t="s">
        <v>28</v>
      </c>
      <c r="D416" s="32">
        <f t="shared" si="37"/>
        <v>0</v>
      </c>
      <c r="E416" s="32"/>
      <c r="F416" s="32"/>
      <c r="G416" s="29">
        <f t="shared" si="38"/>
        <v>0</v>
      </c>
      <c r="H416" s="30"/>
      <c r="I416" s="31">
        <f t="shared" si="39"/>
        <v>0</v>
      </c>
      <c r="J416" s="32"/>
      <c r="K416" s="32"/>
      <c r="L416" s="29">
        <f t="shared" si="40"/>
        <v>0</v>
      </c>
      <c r="M416" s="33">
        <f t="shared" si="41"/>
        <v>0</v>
      </c>
    </row>
    <row r="417" spans="1:16" x14ac:dyDescent="0.3">
      <c r="A417" s="25">
        <v>47</v>
      </c>
      <c r="B417" s="73">
        <v>1815</v>
      </c>
      <c r="C417" s="36" t="s">
        <v>29</v>
      </c>
      <c r="D417" s="32">
        <f t="shared" si="37"/>
        <v>0</v>
      </c>
      <c r="E417" s="32"/>
      <c r="F417" s="32"/>
      <c r="G417" s="29">
        <f t="shared" si="38"/>
        <v>0</v>
      </c>
      <c r="H417" s="30"/>
      <c r="I417" s="31">
        <f t="shared" si="39"/>
        <v>0</v>
      </c>
      <c r="J417" s="32"/>
      <c r="K417" s="32"/>
      <c r="L417" s="29">
        <f t="shared" si="40"/>
        <v>0</v>
      </c>
      <c r="M417" s="33">
        <f t="shared" si="41"/>
        <v>0</v>
      </c>
    </row>
    <row r="418" spans="1:16" x14ac:dyDescent="0.3">
      <c r="A418" s="25">
        <v>47</v>
      </c>
      <c r="B418" s="73">
        <v>1820</v>
      </c>
      <c r="C418" s="27" t="s">
        <v>30</v>
      </c>
      <c r="D418" s="32">
        <f t="shared" si="37"/>
        <v>419329.29999999993</v>
      </c>
      <c r="E418" s="32">
        <v>7.2759576141834259E-11</v>
      </c>
      <c r="F418" s="32">
        <v>-51366.3</v>
      </c>
      <c r="G418" s="29">
        <f t="shared" si="38"/>
        <v>367963</v>
      </c>
      <c r="H418" s="30"/>
      <c r="I418" s="31">
        <f t="shared" si="39"/>
        <v>-10591</v>
      </c>
      <c r="J418" s="32">
        <v>-9727.65</v>
      </c>
      <c r="K418" s="32">
        <v>16727.57</v>
      </c>
      <c r="L418" s="29">
        <f t="shared" si="40"/>
        <v>-3591.0800000000017</v>
      </c>
      <c r="M418" s="33">
        <f t="shared" si="41"/>
        <v>364371.92</v>
      </c>
    </row>
    <row r="419" spans="1:16" x14ac:dyDescent="0.3">
      <c r="A419" s="25">
        <v>47</v>
      </c>
      <c r="B419" s="73">
        <v>1825</v>
      </c>
      <c r="C419" s="36" t="s">
        <v>31</v>
      </c>
      <c r="D419" s="32">
        <f t="shared" si="37"/>
        <v>0</v>
      </c>
      <c r="E419" s="32"/>
      <c r="F419" s="32"/>
      <c r="G419" s="29">
        <f t="shared" si="38"/>
        <v>0</v>
      </c>
      <c r="H419" s="30"/>
      <c r="I419" s="31">
        <f t="shared" si="39"/>
        <v>0</v>
      </c>
      <c r="J419" s="32"/>
      <c r="K419" s="32"/>
      <c r="L419" s="29">
        <f t="shared" si="40"/>
        <v>0</v>
      </c>
      <c r="M419" s="33">
        <f t="shared" si="41"/>
        <v>0</v>
      </c>
    </row>
    <row r="420" spans="1:16" x14ac:dyDescent="0.3">
      <c r="A420" s="25">
        <v>47</v>
      </c>
      <c r="B420" s="73">
        <v>1830</v>
      </c>
      <c r="C420" s="36" t="s">
        <v>32</v>
      </c>
      <c r="D420" s="32">
        <f t="shared" si="37"/>
        <v>5166141.6199999992</v>
      </c>
      <c r="E420" s="32">
        <v>706809.00000000035</v>
      </c>
      <c r="F420" s="32">
        <v>-28189.85</v>
      </c>
      <c r="G420" s="29">
        <f t="shared" si="38"/>
        <v>5844760.7699999996</v>
      </c>
      <c r="H420" s="30"/>
      <c r="I420" s="31">
        <f t="shared" si="39"/>
        <v>-101173.14</v>
      </c>
      <c r="J420" s="32">
        <v>-160727</v>
      </c>
      <c r="K420" s="32">
        <v>62828.58</v>
      </c>
      <c r="L420" s="29">
        <f t="shared" si="40"/>
        <v>-199071.56</v>
      </c>
      <c r="M420" s="33">
        <f t="shared" si="41"/>
        <v>5645689.21</v>
      </c>
    </row>
    <row r="421" spans="1:16" x14ac:dyDescent="0.3">
      <c r="A421" s="25">
        <v>47</v>
      </c>
      <c r="B421" s="73">
        <v>1835</v>
      </c>
      <c r="C421" s="36" t="s">
        <v>33</v>
      </c>
      <c r="D421" s="32">
        <f t="shared" si="37"/>
        <v>6127968.419999999</v>
      </c>
      <c r="E421" s="32">
        <v>983489.00000000058</v>
      </c>
      <c r="F421" s="32">
        <v>-9685.11</v>
      </c>
      <c r="G421" s="29">
        <f t="shared" si="38"/>
        <v>7101772.3099999996</v>
      </c>
      <c r="H421" s="30"/>
      <c r="I421" s="31">
        <f t="shared" si="39"/>
        <v>-209508.72</v>
      </c>
      <c r="J421" s="32">
        <v>-230568</v>
      </c>
      <c r="K421" s="32">
        <v>9685.11</v>
      </c>
      <c r="L421" s="29">
        <f t="shared" si="40"/>
        <v>-430391.61</v>
      </c>
      <c r="M421" s="33">
        <f t="shared" si="41"/>
        <v>6671380.6999999993</v>
      </c>
    </row>
    <row r="422" spans="1:16" x14ac:dyDescent="0.3">
      <c r="A422" s="25">
        <v>47</v>
      </c>
      <c r="B422" s="73">
        <v>1840</v>
      </c>
      <c r="C422" s="36" t="s">
        <v>34</v>
      </c>
      <c r="D422" s="32">
        <f t="shared" si="37"/>
        <v>2407760.2999999998</v>
      </c>
      <c r="E422" s="32">
        <v>113924.05000000028</v>
      </c>
      <c r="F422" s="32"/>
      <c r="G422" s="29">
        <f t="shared" si="38"/>
        <v>2521684.35</v>
      </c>
      <c r="H422" s="30"/>
      <c r="I422" s="31">
        <f t="shared" si="39"/>
        <v>-66590</v>
      </c>
      <c r="J422" s="32">
        <v>-68363</v>
      </c>
      <c r="K422" s="32"/>
      <c r="L422" s="29">
        <f t="shared" si="40"/>
        <v>-134953</v>
      </c>
      <c r="M422" s="33">
        <f t="shared" si="41"/>
        <v>2386731.35</v>
      </c>
    </row>
    <row r="423" spans="1:16" x14ac:dyDescent="0.3">
      <c r="A423" s="25">
        <v>47</v>
      </c>
      <c r="B423" s="73">
        <v>1845</v>
      </c>
      <c r="C423" s="36" t="s">
        <v>35</v>
      </c>
      <c r="D423" s="32">
        <f t="shared" si="37"/>
        <v>5765435.7899999991</v>
      </c>
      <c r="E423" s="32">
        <v>298197.3900000006</v>
      </c>
      <c r="F423" s="32"/>
      <c r="G423" s="29">
        <f t="shared" si="38"/>
        <v>6063633.1799999997</v>
      </c>
      <c r="H423" s="30"/>
      <c r="I423" s="31">
        <f t="shared" si="39"/>
        <v>-158724.18</v>
      </c>
      <c r="J423" s="32">
        <v>-170886</v>
      </c>
      <c r="K423" s="32"/>
      <c r="L423" s="29">
        <f t="shared" si="40"/>
        <v>-329610.18</v>
      </c>
      <c r="M423" s="33">
        <f t="shared" si="41"/>
        <v>5734023</v>
      </c>
    </row>
    <row r="424" spans="1:16" x14ac:dyDescent="0.3">
      <c r="A424" s="25">
        <v>47</v>
      </c>
      <c r="B424" s="73">
        <v>1850</v>
      </c>
      <c r="C424" s="36" t="s">
        <v>36</v>
      </c>
      <c r="D424" s="32">
        <f t="shared" si="37"/>
        <v>6990794.2299999995</v>
      </c>
      <c r="E424" s="32">
        <v>725235.29999999888</v>
      </c>
      <c r="F424" s="32">
        <v>-85500</v>
      </c>
      <c r="G424" s="29">
        <f t="shared" si="38"/>
        <v>7630529.5299999984</v>
      </c>
      <c r="H424" s="30"/>
      <c r="I424" s="31">
        <f t="shared" si="39"/>
        <v>-92017.04</v>
      </c>
      <c r="J424" s="32">
        <v>-213390</v>
      </c>
      <c r="K424" s="32">
        <v>85500</v>
      </c>
      <c r="L424" s="29">
        <f t="shared" si="40"/>
        <v>-219907.03999999998</v>
      </c>
      <c r="M424" s="33">
        <f t="shared" si="41"/>
        <v>7410622.4899999984</v>
      </c>
    </row>
    <row r="425" spans="1:16" x14ac:dyDescent="0.3">
      <c r="A425" s="25">
        <v>47</v>
      </c>
      <c r="B425" s="73">
        <v>1855</v>
      </c>
      <c r="C425" s="36" t="s">
        <v>37</v>
      </c>
      <c r="D425" s="32">
        <f t="shared" si="37"/>
        <v>3249053.85</v>
      </c>
      <c r="E425" s="32">
        <v>605659.81000000052</v>
      </c>
      <c r="F425" s="32"/>
      <c r="G425" s="29">
        <f t="shared" si="38"/>
        <v>3854713.6600000006</v>
      </c>
      <c r="H425" s="30"/>
      <c r="I425" s="31">
        <f t="shared" si="39"/>
        <v>-74557</v>
      </c>
      <c r="J425" s="32">
        <v>-83969</v>
      </c>
      <c r="K425" s="32"/>
      <c r="L425" s="29">
        <f t="shared" si="40"/>
        <v>-158526</v>
      </c>
      <c r="M425" s="89">
        <f t="shared" si="41"/>
        <v>3696187.6600000006</v>
      </c>
    </row>
    <row r="426" spans="1:16" x14ac:dyDescent="0.3">
      <c r="A426" s="25">
        <v>47</v>
      </c>
      <c r="B426" s="73">
        <v>1860</v>
      </c>
      <c r="C426" s="36" t="s">
        <v>38</v>
      </c>
      <c r="D426" s="32">
        <f t="shared" si="37"/>
        <v>1045835.54</v>
      </c>
      <c r="E426" s="32">
        <v>353471</v>
      </c>
      <c r="F426" s="32">
        <v>-3810</v>
      </c>
      <c r="G426" s="29">
        <f t="shared" si="38"/>
        <v>1395496.54</v>
      </c>
      <c r="H426" s="30"/>
      <c r="I426" s="31">
        <f t="shared" si="39"/>
        <v>-318105</v>
      </c>
      <c r="J426" s="32">
        <v>-90107</v>
      </c>
      <c r="K426" s="32">
        <v>3810</v>
      </c>
      <c r="L426" s="29">
        <f t="shared" si="40"/>
        <v>-404402</v>
      </c>
      <c r="M426" s="89">
        <f t="shared" si="41"/>
        <v>991094.54</v>
      </c>
    </row>
    <row r="427" spans="1:16" x14ac:dyDescent="0.3">
      <c r="A427" s="25">
        <v>47</v>
      </c>
      <c r="B427" s="73">
        <v>1860</v>
      </c>
      <c r="C427" s="35" t="s">
        <v>39</v>
      </c>
      <c r="D427" s="32">
        <f t="shared" si="37"/>
        <v>2624070.25</v>
      </c>
      <c r="E427" s="32"/>
      <c r="F427" s="32">
        <v>-84825</v>
      </c>
      <c r="G427" s="29">
        <f t="shared" si="38"/>
        <v>2539245.25</v>
      </c>
      <c r="H427" s="30"/>
      <c r="I427" s="31">
        <f t="shared" si="39"/>
        <v>8152.83</v>
      </c>
      <c r="J427" s="90">
        <v>-231658</v>
      </c>
      <c r="K427" s="32">
        <v>42413</v>
      </c>
      <c r="L427" s="29">
        <f t="shared" si="40"/>
        <v>-181092.17</v>
      </c>
      <c r="M427" s="89">
        <f t="shared" si="41"/>
        <v>2358153.08</v>
      </c>
      <c r="P427" s="91"/>
    </row>
    <row r="428" spans="1:16" x14ac:dyDescent="0.3">
      <c r="A428" s="25" t="s">
        <v>25</v>
      </c>
      <c r="B428" s="73">
        <v>1905</v>
      </c>
      <c r="C428" s="35" t="s">
        <v>26</v>
      </c>
      <c r="D428" s="32">
        <f t="shared" si="37"/>
        <v>0</v>
      </c>
      <c r="E428" s="32"/>
      <c r="F428" s="32"/>
      <c r="G428" s="29">
        <f t="shared" si="38"/>
        <v>0</v>
      </c>
      <c r="H428" s="30"/>
      <c r="I428" s="31">
        <f t="shared" si="39"/>
        <v>0</v>
      </c>
      <c r="J428" s="32"/>
      <c r="K428" s="32"/>
      <c r="L428" s="29">
        <f t="shared" si="40"/>
        <v>0</v>
      </c>
      <c r="M428" s="33">
        <f t="shared" si="41"/>
        <v>0</v>
      </c>
    </row>
    <row r="429" spans="1:16" x14ac:dyDescent="0.3">
      <c r="A429" s="25">
        <v>47</v>
      </c>
      <c r="B429" s="73">
        <v>1908</v>
      </c>
      <c r="C429" s="36" t="s">
        <v>40</v>
      </c>
      <c r="D429" s="32">
        <f t="shared" si="37"/>
        <v>0</v>
      </c>
      <c r="E429" s="32"/>
      <c r="F429" s="32"/>
      <c r="G429" s="29">
        <f t="shared" si="38"/>
        <v>0</v>
      </c>
      <c r="H429" s="30"/>
      <c r="I429" s="31">
        <f t="shared" si="39"/>
        <v>0</v>
      </c>
      <c r="J429" s="32"/>
      <c r="K429" s="32"/>
      <c r="L429" s="29">
        <f t="shared" si="40"/>
        <v>0</v>
      </c>
      <c r="M429" s="33">
        <f t="shared" si="41"/>
        <v>0</v>
      </c>
    </row>
    <row r="430" spans="1:16" x14ac:dyDescent="0.3">
      <c r="A430" s="25">
        <v>13</v>
      </c>
      <c r="B430" s="73">
        <v>1910</v>
      </c>
      <c r="C430" s="36" t="s">
        <v>28</v>
      </c>
      <c r="D430" s="32">
        <f t="shared" si="37"/>
        <v>270695.05</v>
      </c>
      <c r="E430" s="32">
        <v>127047.06</v>
      </c>
      <c r="F430" s="32"/>
      <c r="G430" s="29">
        <f t="shared" si="38"/>
        <v>397742.11</v>
      </c>
      <c r="H430" s="30"/>
      <c r="I430" s="31">
        <f t="shared" si="39"/>
        <v>-4805</v>
      </c>
      <c r="J430" s="32">
        <v>-6387.4400000000005</v>
      </c>
      <c r="K430" s="32"/>
      <c r="L430" s="29">
        <f t="shared" si="40"/>
        <v>-11192.44</v>
      </c>
      <c r="M430" s="33">
        <f t="shared" si="41"/>
        <v>386549.67</v>
      </c>
    </row>
    <row r="431" spans="1:16" x14ac:dyDescent="0.3">
      <c r="A431" s="25">
        <v>8</v>
      </c>
      <c r="B431" s="73">
        <v>1915</v>
      </c>
      <c r="C431" s="36" t="s">
        <v>41</v>
      </c>
      <c r="D431" s="32">
        <f t="shared" si="37"/>
        <v>23526.350000000006</v>
      </c>
      <c r="E431" s="32">
        <v>5891.6499999999942</v>
      </c>
      <c r="F431" s="32"/>
      <c r="G431" s="29">
        <f t="shared" si="38"/>
        <v>29418</v>
      </c>
      <c r="H431" s="30"/>
      <c r="I431" s="31">
        <f t="shared" si="39"/>
        <v>-2424</v>
      </c>
      <c r="J431" s="32">
        <v>-4139.1000000000004</v>
      </c>
      <c r="K431" s="32"/>
      <c r="L431" s="29">
        <f t="shared" si="40"/>
        <v>-6563.1</v>
      </c>
      <c r="M431" s="33">
        <f t="shared" si="41"/>
        <v>22854.9</v>
      </c>
    </row>
    <row r="432" spans="1:16" x14ac:dyDescent="0.3">
      <c r="A432" s="25">
        <v>8</v>
      </c>
      <c r="B432" s="73">
        <v>1915</v>
      </c>
      <c r="C432" s="36" t="s">
        <v>42</v>
      </c>
      <c r="D432" s="32">
        <f t="shared" si="37"/>
        <v>0</v>
      </c>
      <c r="E432" s="32"/>
      <c r="F432" s="32"/>
      <c r="G432" s="29">
        <f t="shared" si="38"/>
        <v>0</v>
      </c>
      <c r="H432" s="30"/>
      <c r="I432" s="31">
        <f t="shared" si="39"/>
        <v>0</v>
      </c>
      <c r="J432" s="32"/>
      <c r="K432" s="32"/>
      <c r="L432" s="29">
        <f t="shared" si="40"/>
        <v>0</v>
      </c>
      <c r="M432" s="33">
        <f t="shared" si="41"/>
        <v>0</v>
      </c>
    </row>
    <row r="433" spans="1:16" x14ac:dyDescent="0.3">
      <c r="A433" s="25">
        <v>10</v>
      </c>
      <c r="B433" s="73">
        <v>1920</v>
      </c>
      <c r="C433" s="36" t="s">
        <v>43</v>
      </c>
      <c r="D433" s="32">
        <f t="shared" si="37"/>
        <v>0</v>
      </c>
      <c r="E433" s="32"/>
      <c r="F433" s="32"/>
      <c r="G433" s="29">
        <f t="shared" si="38"/>
        <v>0</v>
      </c>
      <c r="H433" s="30"/>
      <c r="I433" s="31">
        <f t="shared" si="39"/>
        <v>0</v>
      </c>
      <c r="J433" s="32"/>
      <c r="K433" s="32"/>
      <c r="L433" s="29">
        <f t="shared" si="40"/>
        <v>0</v>
      </c>
      <c r="M433" s="33">
        <f t="shared" si="41"/>
        <v>0</v>
      </c>
    </row>
    <row r="434" spans="1:16" ht="26.4" x14ac:dyDescent="0.3">
      <c r="A434" s="25">
        <v>45</v>
      </c>
      <c r="B434" s="81">
        <v>1920</v>
      </c>
      <c r="C434" s="27" t="s">
        <v>44</v>
      </c>
      <c r="D434" s="32">
        <f t="shared" si="37"/>
        <v>0</v>
      </c>
      <c r="E434" s="32"/>
      <c r="F434" s="32"/>
      <c r="G434" s="29">
        <f t="shared" si="38"/>
        <v>0</v>
      </c>
      <c r="H434" s="30"/>
      <c r="I434" s="31">
        <f t="shared" si="39"/>
        <v>0</v>
      </c>
      <c r="J434" s="32"/>
      <c r="K434" s="32"/>
      <c r="L434" s="29">
        <f t="shared" si="40"/>
        <v>0</v>
      </c>
      <c r="M434" s="33">
        <f t="shared" si="41"/>
        <v>0</v>
      </c>
    </row>
    <row r="435" spans="1:16" ht="26.4" x14ac:dyDescent="0.3">
      <c r="A435" s="25">
        <v>45.1</v>
      </c>
      <c r="B435" s="81">
        <v>1920</v>
      </c>
      <c r="C435" s="27" t="s">
        <v>45</v>
      </c>
      <c r="D435" s="32">
        <f t="shared" si="37"/>
        <v>117714</v>
      </c>
      <c r="E435" s="32">
        <v>11372.01999999999</v>
      </c>
      <c r="F435" s="32"/>
      <c r="G435" s="29">
        <f t="shared" si="38"/>
        <v>129086.01999999999</v>
      </c>
      <c r="H435" s="30"/>
      <c r="I435" s="31">
        <f t="shared" si="39"/>
        <v>-24029.46</v>
      </c>
      <c r="J435" s="32">
        <v>-28568.49</v>
      </c>
      <c r="K435" s="32"/>
      <c r="L435" s="29">
        <f t="shared" si="40"/>
        <v>-52597.95</v>
      </c>
      <c r="M435" s="33">
        <f t="shared" si="41"/>
        <v>76488.069999999992</v>
      </c>
    </row>
    <row r="436" spans="1:16" x14ac:dyDescent="0.3">
      <c r="A436" s="25">
        <v>10</v>
      </c>
      <c r="B436" s="73">
        <v>1930</v>
      </c>
      <c r="C436" s="36" t="s">
        <v>46</v>
      </c>
      <c r="D436" s="32">
        <f t="shared" si="37"/>
        <v>1146619.1300000011</v>
      </c>
      <c r="E436" s="32">
        <f>212572.78+100300</f>
        <v>312872.78000000003</v>
      </c>
      <c r="F436" s="32">
        <f>-125326.6-100300</f>
        <v>-225626.6</v>
      </c>
      <c r="G436" s="29">
        <f t="shared" si="38"/>
        <v>1233865.310000001</v>
      </c>
      <c r="H436" s="30"/>
      <c r="I436" s="31">
        <f t="shared" si="39"/>
        <v>-188329.2</v>
      </c>
      <c r="J436" s="32">
        <f>-155910</f>
        <v>-155910</v>
      </c>
      <c r="K436" s="32">
        <f>125326.6+43377</f>
        <v>168703.6</v>
      </c>
      <c r="L436" s="29">
        <f>SUM(I436:K436)</f>
        <v>-175535.6</v>
      </c>
      <c r="M436" s="33">
        <f t="shared" si="41"/>
        <v>1058329.7100000009</v>
      </c>
    </row>
    <row r="437" spans="1:16" x14ac:dyDescent="0.3">
      <c r="A437" s="25">
        <v>8</v>
      </c>
      <c r="B437" s="73">
        <v>1935</v>
      </c>
      <c r="C437" s="36" t="s">
        <v>47</v>
      </c>
      <c r="D437" s="32">
        <f t="shared" si="37"/>
        <v>0</v>
      </c>
      <c r="E437" s="32"/>
      <c r="F437" s="32"/>
      <c r="G437" s="29">
        <f t="shared" si="38"/>
        <v>0</v>
      </c>
      <c r="H437" s="30"/>
      <c r="I437" s="31">
        <f t="shared" si="39"/>
        <v>0</v>
      </c>
      <c r="J437" s="32"/>
      <c r="K437" s="32"/>
      <c r="L437" s="29">
        <f t="shared" si="40"/>
        <v>0</v>
      </c>
      <c r="M437" s="33">
        <f t="shared" si="41"/>
        <v>0</v>
      </c>
    </row>
    <row r="438" spans="1:16" x14ac:dyDescent="0.3">
      <c r="A438" s="25">
        <v>8</v>
      </c>
      <c r="B438" s="73">
        <v>1940</v>
      </c>
      <c r="C438" s="36" t="s">
        <v>48</v>
      </c>
      <c r="D438" s="32">
        <f t="shared" si="37"/>
        <v>287349.52</v>
      </c>
      <c r="E438" s="32">
        <f>12250.85</f>
        <v>12250.85</v>
      </c>
      <c r="F438" s="32"/>
      <c r="G438" s="29">
        <f t="shared" si="38"/>
        <v>299600.37</v>
      </c>
      <c r="H438" s="30"/>
      <c r="I438" s="31">
        <f t="shared" si="39"/>
        <v>-21336</v>
      </c>
      <c r="J438" s="32">
        <v>-16109.48</v>
      </c>
      <c r="K438" s="32"/>
      <c r="L438" s="29">
        <f t="shared" si="40"/>
        <v>-37445.479999999996</v>
      </c>
      <c r="M438" s="33">
        <f t="shared" si="41"/>
        <v>262154.89</v>
      </c>
    </row>
    <row r="439" spans="1:16" x14ac:dyDescent="0.3">
      <c r="A439" s="25">
        <v>8</v>
      </c>
      <c r="B439" s="73">
        <v>1945</v>
      </c>
      <c r="C439" s="36" t="s">
        <v>49</v>
      </c>
      <c r="D439" s="32">
        <f t="shared" si="37"/>
        <v>9193.1400000000012</v>
      </c>
      <c r="E439" s="32">
        <v>16620</v>
      </c>
      <c r="F439" s="32"/>
      <c r="G439" s="29">
        <f t="shared" si="38"/>
        <v>25813.14</v>
      </c>
      <c r="H439" s="30"/>
      <c r="I439" s="31">
        <f t="shared" si="39"/>
        <v>-1808</v>
      </c>
      <c r="J439" s="32">
        <v>-2846.52</v>
      </c>
      <c r="K439" s="32"/>
      <c r="L439" s="29">
        <f t="shared" si="40"/>
        <v>-4654.5200000000004</v>
      </c>
      <c r="M439" s="33">
        <f t="shared" si="41"/>
        <v>21158.62</v>
      </c>
    </row>
    <row r="440" spans="1:16" x14ac:dyDescent="0.3">
      <c r="A440" s="25">
        <v>8</v>
      </c>
      <c r="B440" s="73">
        <v>1950</v>
      </c>
      <c r="C440" s="36" t="s">
        <v>50</v>
      </c>
      <c r="D440" s="32">
        <f t="shared" si="37"/>
        <v>43881.82</v>
      </c>
      <c r="E440" s="32">
        <f>158994.97</f>
        <v>158994.97</v>
      </c>
      <c r="F440" s="32"/>
      <c r="G440" s="29">
        <f t="shared" si="38"/>
        <v>202876.79</v>
      </c>
      <c r="H440" s="30"/>
      <c r="I440" s="31">
        <f t="shared" si="39"/>
        <v>-8011</v>
      </c>
      <c r="J440" s="32">
        <f>1959.47-43377</f>
        <v>-41417.53</v>
      </c>
      <c r="K440" s="32"/>
      <c r="L440" s="29">
        <f t="shared" si="40"/>
        <v>-49428.53</v>
      </c>
      <c r="M440" s="89">
        <f t="shared" si="41"/>
        <v>153448.26</v>
      </c>
    </row>
    <row r="441" spans="1:16" x14ac:dyDescent="0.3">
      <c r="A441" s="25">
        <v>8</v>
      </c>
      <c r="B441" s="73">
        <v>1955</v>
      </c>
      <c r="C441" s="36" t="s">
        <v>51</v>
      </c>
      <c r="D441" s="32">
        <f t="shared" si="37"/>
        <v>0</v>
      </c>
      <c r="E441" s="32"/>
      <c r="F441" s="32"/>
      <c r="G441" s="29">
        <f t="shared" si="38"/>
        <v>0</v>
      </c>
      <c r="H441" s="30"/>
      <c r="I441" s="31">
        <f t="shared" si="39"/>
        <v>0</v>
      </c>
      <c r="J441" s="32"/>
      <c r="K441" s="32"/>
      <c r="L441" s="29">
        <f t="shared" si="40"/>
        <v>0</v>
      </c>
      <c r="M441" s="33">
        <f t="shared" si="41"/>
        <v>0</v>
      </c>
    </row>
    <row r="442" spans="1:16" x14ac:dyDescent="0.3">
      <c r="A442" s="40">
        <v>8</v>
      </c>
      <c r="B442" s="81">
        <v>1955</v>
      </c>
      <c r="C442" s="41" t="s">
        <v>52</v>
      </c>
      <c r="D442" s="32">
        <f t="shared" si="37"/>
        <v>0</v>
      </c>
      <c r="E442" s="32"/>
      <c r="F442" s="32"/>
      <c r="G442" s="29">
        <f t="shared" si="38"/>
        <v>0</v>
      </c>
      <c r="H442" s="30"/>
      <c r="I442" s="31">
        <f t="shared" si="39"/>
        <v>0</v>
      </c>
      <c r="J442" s="32"/>
      <c r="K442" s="32"/>
      <c r="L442" s="29">
        <f t="shared" si="40"/>
        <v>0</v>
      </c>
      <c r="M442" s="33">
        <f t="shared" si="41"/>
        <v>0</v>
      </c>
    </row>
    <row r="443" spans="1:16" x14ac:dyDescent="0.3">
      <c r="A443" s="40">
        <v>8</v>
      </c>
      <c r="B443" s="81">
        <v>1960</v>
      </c>
      <c r="C443" s="27" t="s">
        <v>53</v>
      </c>
      <c r="D443" s="32">
        <f t="shared" si="37"/>
        <v>0</v>
      </c>
      <c r="E443" s="32"/>
      <c r="F443" s="32"/>
      <c r="G443" s="29">
        <f t="shared" si="38"/>
        <v>0</v>
      </c>
      <c r="H443" s="30"/>
      <c r="I443" s="31">
        <f t="shared" si="39"/>
        <v>0</v>
      </c>
      <c r="J443" s="32"/>
      <c r="K443" s="32"/>
      <c r="L443" s="29">
        <f t="shared" si="40"/>
        <v>0</v>
      </c>
      <c r="M443" s="33">
        <f t="shared" si="41"/>
        <v>0</v>
      </c>
    </row>
    <row r="444" spans="1:16" ht="26.4" x14ac:dyDescent="0.3">
      <c r="A444" s="43">
        <v>47</v>
      </c>
      <c r="B444" s="81">
        <v>1970</v>
      </c>
      <c r="C444" s="36" t="s">
        <v>54</v>
      </c>
      <c r="D444" s="32">
        <f t="shared" si="37"/>
        <v>0</v>
      </c>
      <c r="E444" s="32"/>
      <c r="F444" s="32"/>
      <c r="G444" s="29">
        <f t="shared" si="38"/>
        <v>0</v>
      </c>
      <c r="H444" s="30"/>
      <c r="I444" s="31">
        <f t="shared" si="39"/>
        <v>0</v>
      </c>
      <c r="J444" s="32"/>
      <c r="K444" s="32"/>
      <c r="L444" s="29">
        <f t="shared" si="40"/>
        <v>0</v>
      </c>
      <c r="M444" s="33">
        <f t="shared" si="41"/>
        <v>0</v>
      </c>
    </row>
    <row r="445" spans="1:16" x14ac:dyDescent="0.3">
      <c r="A445" s="25">
        <v>47</v>
      </c>
      <c r="B445" s="73">
        <v>1975</v>
      </c>
      <c r="C445" s="36" t="s">
        <v>55</v>
      </c>
      <c r="D445" s="32">
        <f t="shared" si="37"/>
        <v>0</v>
      </c>
      <c r="E445" s="32"/>
      <c r="F445" s="32"/>
      <c r="G445" s="29">
        <f t="shared" si="38"/>
        <v>0</v>
      </c>
      <c r="H445" s="30"/>
      <c r="I445" s="31">
        <f t="shared" si="39"/>
        <v>0</v>
      </c>
      <c r="J445" s="32"/>
      <c r="K445" s="32"/>
      <c r="L445" s="29">
        <f t="shared" si="40"/>
        <v>0</v>
      </c>
      <c r="M445" s="33">
        <f t="shared" si="41"/>
        <v>0</v>
      </c>
    </row>
    <row r="446" spans="1:16" x14ac:dyDescent="0.3">
      <c r="A446" s="25">
        <v>47</v>
      </c>
      <c r="B446" s="73">
        <v>1980</v>
      </c>
      <c r="C446" s="36" t="s">
        <v>56</v>
      </c>
      <c r="D446" s="32">
        <f t="shared" si="37"/>
        <v>202324.2</v>
      </c>
      <c r="E446" s="32">
        <v>64232.049999999988</v>
      </c>
      <c r="F446" s="32"/>
      <c r="G446" s="29">
        <f t="shared" si="38"/>
        <v>266556.25</v>
      </c>
      <c r="H446" s="30"/>
      <c r="I446" s="31">
        <f t="shared" si="39"/>
        <v>-51622</v>
      </c>
      <c r="J446" s="32">
        <v>-58430.6</v>
      </c>
      <c r="K446" s="32"/>
      <c r="L446" s="29">
        <f t="shared" si="40"/>
        <v>-110052.6</v>
      </c>
      <c r="M446" s="89">
        <f t="shared" si="41"/>
        <v>156503.65</v>
      </c>
      <c r="P446" s="91"/>
    </row>
    <row r="447" spans="1:16" x14ac:dyDescent="0.3">
      <c r="A447" s="25">
        <v>47</v>
      </c>
      <c r="B447" s="73">
        <v>1985</v>
      </c>
      <c r="C447" s="36" t="s">
        <v>57</v>
      </c>
      <c r="D447" s="32">
        <f t="shared" si="37"/>
        <v>0</v>
      </c>
      <c r="E447" s="32"/>
      <c r="F447" s="32"/>
      <c r="G447" s="29">
        <f t="shared" si="38"/>
        <v>0</v>
      </c>
      <c r="H447" s="30"/>
      <c r="I447" s="31">
        <f t="shared" si="39"/>
        <v>0</v>
      </c>
      <c r="J447" s="32"/>
      <c r="K447" s="32"/>
      <c r="L447" s="29">
        <f t="shared" si="40"/>
        <v>0</v>
      </c>
      <c r="M447" s="33">
        <f t="shared" si="41"/>
        <v>0</v>
      </c>
    </row>
    <row r="448" spans="1:16" x14ac:dyDescent="0.3">
      <c r="A448" s="43">
        <v>47</v>
      </c>
      <c r="B448" s="73">
        <v>1990</v>
      </c>
      <c r="C448" s="45" t="s">
        <v>58</v>
      </c>
      <c r="D448" s="32">
        <f t="shared" si="37"/>
        <v>0</v>
      </c>
      <c r="E448" s="32"/>
      <c r="F448" s="32"/>
      <c r="G448" s="29">
        <f t="shared" si="38"/>
        <v>0</v>
      </c>
      <c r="H448" s="30"/>
      <c r="I448" s="31">
        <f t="shared" si="39"/>
        <v>0</v>
      </c>
      <c r="J448" s="32"/>
      <c r="K448" s="32"/>
      <c r="L448" s="29">
        <f t="shared" si="40"/>
        <v>0</v>
      </c>
      <c r="M448" s="33">
        <f t="shared" si="41"/>
        <v>0</v>
      </c>
    </row>
    <row r="449" spans="1:15" x14ac:dyDescent="0.3">
      <c r="A449" s="25">
        <v>47</v>
      </c>
      <c r="B449" s="73">
        <v>1995</v>
      </c>
      <c r="C449" s="36" t="s">
        <v>59</v>
      </c>
      <c r="D449" s="32">
        <f t="shared" si="37"/>
        <v>-5826178.9500000002</v>
      </c>
      <c r="E449" s="32"/>
      <c r="F449" s="32"/>
      <c r="G449" s="29">
        <f t="shared" si="38"/>
        <v>-5826178.9500000002</v>
      </c>
      <c r="H449" s="30"/>
      <c r="I449" s="31">
        <f t="shared" si="39"/>
        <v>119932</v>
      </c>
      <c r="J449" s="32">
        <f>113174</f>
        <v>113174</v>
      </c>
      <c r="K449" s="32"/>
      <c r="L449" s="29">
        <f t="shared" si="40"/>
        <v>233106</v>
      </c>
      <c r="M449" s="33">
        <f t="shared" si="41"/>
        <v>-5593072.9500000002</v>
      </c>
      <c r="O449" s="2"/>
    </row>
    <row r="450" spans="1:15" ht="15.6" x14ac:dyDescent="0.3">
      <c r="A450" s="25">
        <v>47</v>
      </c>
      <c r="B450" s="73">
        <v>2440</v>
      </c>
      <c r="C450" s="36" t="s">
        <v>60</v>
      </c>
      <c r="D450" s="32">
        <f t="shared" si="37"/>
        <v>-804188</v>
      </c>
      <c r="E450" s="32">
        <v>-667718.79999999981</v>
      </c>
      <c r="F450" s="32"/>
      <c r="G450" s="29">
        <f t="shared" si="38"/>
        <v>-1471906.7999999998</v>
      </c>
      <c r="H450"/>
      <c r="I450" s="31">
        <f t="shared" si="39"/>
        <v>0</v>
      </c>
      <c r="J450" s="32">
        <v>19080</v>
      </c>
      <c r="K450" s="92"/>
      <c r="L450" s="29">
        <f t="shared" si="40"/>
        <v>19080</v>
      </c>
      <c r="M450" s="33">
        <f t="shared" si="41"/>
        <v>-1452826.7999999998</v>
      </c>
      <c r="O450" s="2"/>
    </row>
    <row r="451" spans="1:15" x14ac:dyDescent="0.3">
      <c r="A451" s="46"/>
      <c r="B451" s="46"/>
      <c r="C451" s="47"/>
      <c r="D451" s="32">
        <v>0</v>
      </c>
      <c r="E451" s="48"/>
      <c r="F451" s="48"/>
      <c r="G451" s="29">
        <v>0</v>
      </c>
      <c r="H451"/>
      <c r="I451" s="48"/>
      <c r="J451" s="48"/>
      <c r="K451" s="48"/>
      <c r="L451" s="29">
        <v>0</v>
      </c>
      <c r="M451" s="33">
        <v>0</v>
      </c>
      <c r="O451" s="2"/>
    </row>
    <row r="452" spans="1:15" x14ac:dyDescent="0.3">
      <c r="A452" s="46"/>
      <c r="B452" s="46"/>
      <c r="C452" s="49" t="s">
        <v>61</v>
      </c>
      <c r="D452" s="50">
        <f>SUM(D412:D451)</f>
        <v>30105201.350000013</v>
      </c>
      <c r="E452" s="50">
        <f t="shared" ref="E452:M452" si="42">SUM(E412:E451)</f>
        <v>4025096.2700000005</v>
      </c>
      <c r="F452" s="50">
        <f t="shared" si="42"/>
        <v>-489002.86</v>
      </c>
      <c r="G452" s="50">
        <f t="shared" si="42"/>
        <v>33641294.759999998</v>
      </c>
      <c r="H452" s="50">
        <f t="shared" si="42"/>
        <v>0</v>
      </c>
      <c r="I452" s="50">
        <f t="shared" si="42"/>
        <v>-1317153.9099999999</v>
      </c>
      <c r="J452" s="50">
        <f t="shared" si="42"/>
        <v>-1568795.9900000002</v>
      </c>
      <c r="K452" s="50">
        <f t="shared" si="42"/>
        <v>389667.86</v>
      </c>
      <c r="L452" s="50">
        <f t="shared" si="42"/>
        <v>-2496282.04</v>
      </c>
      <c r="M452" s="50">
        <f t="shared" si="42"/>
        <v>31145012.719999991</v>
      </c>
      <c r="O452" s="2"/>
    </row>
    <row r="453" spans="1:15" ht="26.4" x14ac:dyDescent="0.3">
      <c r="A453" s="46"/>
      <c r="B453" s="46"/>
      <c r="C453" s="51" t="s">
        <v>62</v>
      </c>
      <c r="D453" s="48"/>
      <c r="E453" s="48"/>
      <c r="F453" s="48"/>
      <c r="G453" s="29">
        <v>0</v>
      </c>
      <c r="H453"/>
      <c r="I453" s="48"/>
      <c r="J453" s="48"/>
      <c r="K453" s="48"/>
      <c r="L453" s="29">
        <v>0</v>
      </c>
      <c r="M453" s="33">
        <v>0</v>
      </c>
      <c r="O453" s="2"/>
    </row>
    <row r="454" spans="1:15" ht="26.4" x14ac:dyDescent="0.3">
      <c r="A454" s="46"/>
      <c r="B454" s="46"/>
      <c r="C454" s="52" t="s">
        <v>63</v>
      </c>
      <c r="D454" s="48"/>
      <c r="E454" s="48"/>
      <c r="F454" s="48"/>
      <c r="G454" s="29">
        <v>0</v>
      </c>
      <c r="H454"/>
      <c r="I454" s="48"/>
      <c r="J454" s="48"/>
      <c r="K454" s="48"/>
      <c r="L454" s="29">
        <v>0</v>
      </c>
      <c r="M454" s="33">
        <v>0</v>
      </c>
      <c r="O454" s="2"/>
    </row>
    <row r="455" spans="1:15" x14ac:dyDescent="0.3">
      <c r="A455" s="46"/>
      <c r="B455" s="46"/>
      <c r="C455" s="49" t="s">
        <v>65</v>
      </c>
      <c r="D455" s="50">
        <f>SUM(D452:D454)</f>
        <v>30105201.350000013</v>
      </c>
      <c r="E455" s="50">
        <f t="shared" ref="E455:M455" si="43">SUM(E452:E454)</f>
        <v>4025096.2700000005</v>
      </c>
      <c r="F455" s="50">
        <f t="shared" si="43"/>
        <v>-489002.86</v>
      </c>
      <c r="G455" s="50">
        <f t="shared" si="43"/>
        <v>33641294.759999998</v>
      </c>
      <c r="H455" s="50">
        <f t="shared" si="43"/>
        <v>0</v>
      </c>
      <c r="I455" s="50">
        <f t="shared" si="43"/>
        <v>-1317153.9099999999</v>
      </c>
      <c r="J455" s="50">
        <f t="shared" si="43"/>
        <v>-1568795.9900000002</v>
      </c>
      <c r="K455" s="50">
        <f t="shared" si="43"/>
        <v>389667.86</v>
      </c>
      <c r="L455" s="50">
        <f t="shared" si="43"/>
        <v>-2496282.04</v>
      </c>
      <c r="M455" s="50">
        <f t="shared" si="43"/>
        <v>31145012.719999991</v>
      </c>
      <c r="O455" s="2"/>
    </row>
    <row r="456" spans="1:15" ht="16.2" x14ac:dyDescent="0.3">
      <c r="A456" s="46"/>
      <c r="B456" s="46"/>
      <c r="C456" s="139" t="s">
        <v>66</v>
      </c>
      <c r="D456" s="140"/>
      <c r="E456" s="140"/>
      <c r="F456" s="140"/>
      <c r="G456" s="140"/>
      <c r="H456" s="140"/>
      <c r="I456" s="141"/>
      <c r="J456" s="88">
        <v>20829.010000000002</v>
      </c>
      <c r="K456" s="54"/>
      <c r="L456" s="55"/>
      <c r="M456" s="56"/>
      <c r="O456" s="2"/>
    </row>
    <row r="457" spans="1:15" x14ac:dyDescent="0.3">
      <c r="A457" s="46"/>
      <c r="B457" s="46"/>
      <c r="C457" s="139" t="s">
        <v>67</v>
      </c>
      <c r="D457" s="140"/>
      <c r="E457" s="140"/>
      <c r="F457" s="140"/>
      <c r="G457" s="140"/>
      <c r="H457" s="140"/>
      <c r="I457" s="141"/>
      <c r="J457" s="50">
        <f>SUM(J455:J456)</f>
        <v>-1547966.9800000002</v>
      </c>
      <c r="K457" s="54"/>
      <c r="L457" s="55"/>
      <c r="M457" s="56"/>
      <c r="N457" s="161"/>
      <c r="O457" s="3"/>
    </row>
    <row r="458" spans="1:15" x14ac:dyDescent="0.3">
      <c r="C458"/>
      <c r="D458" s="74"/>
      <c r="E458" s="74"/>
      <c r="F458" s="74"/>
      <c r="G458" s="74"/>
      <c r="H458" s="75"/>
      <c r="I458" s="74"/>
      <c r="J458" s="74"/>
      <c r="K458" s="74"/>
      <c r="L458" s="74"/>
      <c r="M458" s="56"/>
      <c r="N458" s="161"/>
      <c r="O458" s="3"/>
    </row>
    <row r="459" spans="1:15" x14ac:dyDescent="0.3">
      <c r="C459"/>
      <c r="D459"/>
      <c r="E459"/>
      <c r="F459"/>
      <c r="G459"/>
      <c r="H459"/>
      <c r="I459" s="58" t="s">
        <v>68</v>
      </c>
      <c r="J459" s="59"/>
      <c r="K459"/>
      <c r="L459"/>
      <c r="M459" s="56"/>
      <c r="N459" s="161"/>
      <c r="O459" s="3"/>
    </row>
    <row r="460" spans="1:15" x14ac:dyDescent="0.3">
      <c r="A460" s="46">
        <v>10</v>
      </c>
      <c r="B460" s="46"/>
      <c r="C460" s="47" t="s">
        <v>69</v>
      </c>
      <c r="D460"/>
      <c r="E460"/>
      <c r="F460"/>
      <c r="G460"/>
      <c r="H460"/>
      <c r="I460" s="59" t="s">
        <v>69</v>
      </c>
      <c r="J460" s="59"/>
      <c r="K460" s="60"/>
      <c r="L460"/>
      <c r="M460" s="56"/>
      <c r="N460" s="161"/>
      <c r="O460" s="3"/>
    </row>
    <row r="461" spans="1:15" x14ac:dyDescent="0.3">
      <c r="A461" s="46">
        <v>8</v>
      </c>
      <c r="B461" s="46"/>
      <c r="C461" s="47" t="s">
        <v>47</v>
      </c>
      <c r="D461"/>
      <c r="E461"/>
      <c r="F461"/>
      <c r="G461"/>
      <c r="H461"/>
      <c r="I461" s="59" t="s">
        <v>47</v>
      </c>
      <c r="J461" s="59"/>
      <c r="K461" s="61"/>
      <c r="L461"/>
      <c r="M461" s="56"/>
      <c r="N461" s="161"/>
      <c r="O461" s="3"/>
    </row>
    <row r="462" spans="1:15" x14ac:dyDescent="0.3">
      <c r="C462"/>
      <c r="D462"/>
      <c r="E462"/>
      <c r="F462"/>
      <c r="G462"/>
      <c r="H462"/>
      <c r="I462" s="62" t="s">
        <v>70</v>
      </c>
      <c r="J462"/>
      <c r="K462" s="63">
        <v>-1504591.44</v>
      </c>
      <c r="L462"/>
      <c r="M462" s="3"/>
      <c r="N462" s="161"/>
      <c r="O462" s="3"/>
    </row>
    <row r="463" spans="1:15" x14ac:dyDescent="0.3">
      <c r="C463"/>
      <c r="D463"/>
      <c r="E463"/>
      <c r="F463"/>
      <c r="G463"/>
      <c r="H463"/>
      <c r="I463" s="80"/>
      <c r="J463"/>
      <c r="K463"/>
      <c r="L463"/>
      <c r="M463" s="3"/>
      <c r="N463" s="161"/>
      <c r="O463" s="3"/>
    </row>
    <row r="464" spans="1:15" x14ac:dyDescent="0.3">
      <c r="A464" s="64" t="s">
        <v>71</v>
      </c>
      <c r="C464"/>
      <c r="D464"/>
      <c r="E464"/>
      <c r="F464"/>
      <c r="G464"/>
      <c r="H464"/>
      <c r="I464"/>
      <c r="J464"/>
      <c r="K464"/>
      <c r="L464"/>
      <c r="M464" s="56"/>
      <c r="N464" s="161"/>
      <c r="O464" s="3"/>
    </row>
    <row r="465" spans="1:15" x14ac:dyDescent="0.3">
      <c r="C465"/>
      <c r="D465"/>
      <c r="E465"/>
      <c r="F465"/>
      <c r="G465"/>
      <c r="H465"/>
      <c r="I465"/>
      <c r="J465"/>
      <c r="K465"/>
      <c r="L465"/>
      <c r="M465" s="162"/>
      <c r="N465" s="161"/>
      <c r="O465" s="161"/>
    </row>
    <row r="466" spans="1:15" x14ac:dyDescent="0.3">
      <c r="A466" s="1">
        <v>1</v>
      </c>
      <c r="B466" s="142" t="s">
        <v>72</v>
      </c>
      <c r="C466" s="142"/>
      <c r="D466" s="142"/>
      <c r="E466" s="142"/>
      <c r="F466" s="142"/>
      <c r="G466" s="142"/>
      <c r="H466" s="142"/>
      <c r="I466" s="142"/>
      <c r="J466" s="142"/>
      <c r="K466" s="142"/>
      <c r="L466" s="142"/>
      <c r="M466" s="142"/>
    </row>
    <row r="467" spans="1:15" x14ac:dyDescent="0.3">
      <c r="B467" s="142"/>
      <c r="C467" s="142"/>
      <c r="D467" s="142"/>
      <c r="E467" s="142"/>
      <c r="F467" s="142"/>
      <c r="G467" s="142"/>
      <c r="H467" s="142"/>
      <c r="I467" s="142"/>
      <c r="J467" s="142"/>
      <c r="K467" s="142"/>
      <c r="L467" s="142"/>
      <c r="M467" s="142"/>
    </row>
    <row r="468" spans="1:15" x14ac:dyDescent="0.3">
      <c r="C468"/>
      <c r="D468"/>
      <c r="E468"/>
      <c r="F468"/>
      <c r="G468"/>
      <c r="H468"/>
      <c r="I468"/>
      <c r="J468"/>
      <c r="K468"/>
      <c r="L468"/>
      <c r="M468"/>
    </row>
    <row r="469" spans="1:15" x14ac:dyDescent="0.3">
      <c r="A469" s="1">
        <v>2</v>
      </c>
      <c r="B469" s="143" t="s">
        <v>73</v>
      </c>
      <c r="C469" s="143"/>
      <c r="D469" s="143"/>
      <c r="E469" s="143"/>
      <c r="F469" s="143"/>
      <c r="G469" s="143"/>
      <c r="H469" s="143"/>
      <c r="I469" s="143"/>
      <c r="J469" s="143"/>
      <c r="K469" s="143"/>
      <c r="L469" s="143"/>
      <c r="M469" s="143"/>
    </row>
    <row r="470" spans="1:15" x14ac:dyDescent="0.3">
      <c r="B470" s="143"/>
      <c r="C470" s="143"/>
      <c r="D470" s="143"/>
      <c r="E470" s="143"/>
      <c r="F470" s="143"/>
      <c r="G470" s="143"/>
      <c r="H470" s="143"/>
      <c r="I470" s="143"/>
      <c r="J470" s="143"/>
      <c r="K470" s="143"/>
      <c r="L470" s="143"/>
      <c r="M470" s="143"/>
    </row>
    <row r="471" spans="1:15" x14ac:dyDescent="0.3">
      <c r="C471"/>
      <c r="D471"/>
      <c r="E471"/>
      <c r="F471"/>
      <c r="G471"/>
      <c r="H471"/>
      <c r="I471"/>
      <c r="J471"/>
      <c r="K471"/>
      <c r="L471"/>
      <c r="M471"/>
    </row>
    <row r="472" spans="1:15" x14ac:dyDescent="0.3">
      <c r="A472" s="1">
        <v>3</v>
      </c>
      <c r="B472" s="144" t="s">
        <v>74</v>
      </c>
      <c r="C472" s="144"/>
      <c r="D472" s="144"/>
      <c r="E472" s="144"/>
      <c r="F472" s="144"/>
      <c r="G472" s="144"/>
      <c r="H472" s="144"/>
      <c r="I472" s="144"/>
      <c r="J472" s="144"/>
      <c r="K472" s="144"/>
      <c r="L472" s="144"/>
      <c r="M472" s="144"/>
    </row>
    <row r="473" spans="1:15" x14ac:dyDescent="0.3">
      <c r="C473"/>
      <c r="D473"/>
      <c r="E473"/>
      <c r="F473"/>
      <c r="G473"/>
      <c r="H473"/>
      <c r="I473"/>
      <c r="J473"/>
      <c r="K473"/>
      <c r="L473"/>
      <c r="M473"/>
    </row>
    <row r="474" spans="1:15" x14ac:dyDescent="0.3">
      <c r="A474" s="1">
        <v>4</v>
      </c>
      <c r="B474" s="65" t="s">
        <v>75</v>
      </c>
      <c r="C474" s="12"/>
      <c r="D474"/>
      <c r="E474"/>
      <c r="F474"/>
      <c r="G474"/>
      <c r="H474"/>
      <c r="I474"/>
      <c r="J474"/>
      <c r="K474"/>
      <c r="L474"/>
      <c r="M474"/>
    </row>
    <row r="475" spans="1:15" x14ac:dyDescent="0.3">
      <c r="C475"/>
      <c r="D475"/>
      <c r="E475"/>
      <c r="F475"/>
      <c r="G475"/>
      <c r="H475"/>
      <c r="I475"/>
      <c r="J475"/>
      <c r="K475"/>
      <c r="L475"/>
      <c r="M475"/>
    </row>
    <row r="476" spans="1:15" x14ac:dyDescent="0.3">
      <c r="A476" s="1">
        <v>5</v>
      </c>
      <c r="B476" s="66" t="s">
        <v>76</v>
      </c>
      <c r="C476"/>
      <c r="D476"/>
      <c r="E476"/>
      <c r="F476"/>
      <c r="G476"/>
      <c r="H476"/>
      <c r="I476"/>
      <c r="J476"/>
      <c r="K476"/>
      <c r="L476"/>
      <c r="M476"/>
    </row>
    <row r="477" spans="1:15" x14ac:dyDescent="0.3">
      <c r="C477"/>
      <c r="D477"/>
      <c r="E477"/>
      <c r="F477"/>
      <c r="G477"/>
      <c r="H477"/>
      <c r="I477"/>
      <c r="J477"/>
      <c r="K477"/>
      <c r="L477"/>
      <c r="M477"/>
    </row>
    <row r="478" spans="1:15" x14ac:dyDescent="0.3">
      <c r="A478" s="1">
        <v>6</v>
      </c>
      <c r="B478" s="144" t="s">
        <v>77</v>
      </c>
      <c r="C478" s="144"/>
      <c r="D478" s="144"/>
      <c r="E478" s="144"/>
      <c r="F478" s="144"/>
      <c r="G478" s="144"/>
      <c r="H478" s="144"/>
      <c r="I478" s="144"/>
      <c r="J478" s="144"/>
      <c r="K478" s="144"/>
      <c r="L478" s="144"/>
      <c r="M478" s="144"/>
    </row>
    <row r="479" spans="1:15" x14ac:dyDescent="0.3">
      <c r="B479" s="144"/>
      <c r="C479" s="144"/>
      <c r="D479" s="144"/>
      <c r="E479" s="144"/>
      <c r="F479" s="144"/>
      <c r="G479" s="144"/>
      <c r="H479" s="144"/>
      <c r="I479" s="144"/>
      <c r="J479" s="144"/>
      <c r="K479" s="144"/>
      <c r="L479" s="144"/>
      <c r="M479" s="144"/>
    </row>
    <row r="480" spans="1:15" x14ac:dyDescent="0.3">
      <c r="B480" s="144"/>
      <c r="C480" s="144"/>
      <c r="D480" s="144"/>
      <c r="E480" s="144"/>
      <c r="F480" s="144"/>
      <c r="G480" s="144"/>
      <c r="H480" s="144"/>
      <c r="I480" s="144"/>
      <c r="J480" s="144"/>
      <c r="K480" s="144"/>
      <c r="L480" s="144"/>
      <c r="M480" s="144"/>
    </row>
    <row r="482" spans="1:15" ht="13.2" x14ac:dyDescent="0.25">
      <c r="N482" s="2"/>
      <c r="O482" s="2"/>
    </row>
    <row r="483" spans="1:15" ht="13.2" x14ac:dyDescent="0.25">
      <c r="N483" s="2"/>
      <c r="O483" s="2"/>
    </row>
    <row r="484" spans="1:15" x14ac:dyDescent="0.3">
      <c r="C484"/>
      <c r="D484"/>
      <c r="E484"/>
      <c r="F484"/>
      <c r="G484"/>
      <c r="H484"/>
      <c r="I484"/>
      <c r="J484"/>
      <c r="K484"/>
      <c r="L484" s="68"/>
      <c r="M484" s="69"/>
      <c r="N484" s="2"/>
      <c r="O484" s="2"/>
    </row>
    <row r="485" spans="1:15" x14ac:dyDescent="0.3">
      <c r="C485"/>
      <c r="D485"/>
      <c r="E485"/>
      <c r="F485"/>
      <c r="G485"/>
      <c r="H485"/>
      <c r="I485"/>
      <c r="J485"/>
      <c r="K485"/>
      <c r="L485" s="68"/>
      <c r="M485" s="70"/>
      <c r="N485" s="2"/>
      <c r="O485" s="2"/>
    </row>
    <row r="486" spans="1:15" x14ac:dyDescent="0.3">
      <c r="C486"/>
      <c r="D486"/>
      <c r="E486"/>
      <c r="F486"/>
      <c r="G486"/>
      <c r="H486"/>
      <c r="I486"/>
      <c r="J486"/>
      <c r="K486"/>
      <c r="L486" s="68"/>
      <c r="M486" s="70"/>
      <c r="N486" s="2"/>
      <c r="O486" s="2"/>
    </row>
    <row r="487" spans="1:15" x14ac:dyDescent="0.3">
      <c r="C487"/>
      <c r="D487"/>
      <c r="E487"/>
      <c r="F487"/>
      <c r="G487"/>
      <c r="H487"/>
      <c r="I487"/>
      <c r="J487"/>
      <c r="K487"/>
      <c r="L487" s="68"/>
      <c r="M487" s="70"/>
      <c r="N487" s="2"/>
      <c r="O487" s="2"/>
    </row>
    <row r="488" spans="1:15" x14ac:dyDescent="0.3">
      <c r="C488"/>
      <c r="D488"/>
      <c r="E488"/>
      <c r="F488"/>
      <c r="G488"/>
      <c r="H488"/>
      <c r="I488"/>
      <c r="J488"/>
      <c r="K488"/>
      <c r="L488" s="68"/>
      <c r="M488" s="71"/>
      <c r="N488" s="2"/>
      <c r="O488" s="2"/>
    </row>
    <row r="489" spans="1:15" x14ac:dyDescent="0.3">
      <c r="C489"/>
      <c r="D489"/>
      <c r="E489"/>
      <c r="F489"/>
      <c r="G489"/>
      <c r="H489"/>
      <c r="I489"/>
      <c r="J489"/>
      <c r="K489"/>
      <c r="L489" s="68"/>
      <c r="M489" s="71"/>
      <c r="N489" s="2"/>
      <c r="O489" s="2"/>
    </row>
    <row r="490" spans="1:15" x14ac:dyDescent="0.3">
      <c r="C490"/>
      <c r="D490"/>
      <c r="E490"/>
      <c r="F490"/>
      <c r="G490"/>
      <c r="H490"/>
      <c r="I490"/>
      <c r="J490"/>
      <c r="K490"/>
      <c r="L490" s="68"/>
      <c r="M490" s="71"/>
      <c r="N490" s="2"/>
      <c r="O490" s="2"/>
    </row>
    <row r="491" spans="1:15" x14ac:dyDescent="0.3">
      <c r="C491"/>
      <c r="D491"/>
      <c r="E491"/>
      <c r="F491"/>
      <c r="G491"/>
      <c r="H491"/>
      <c r="I491"/>
      <c r="J491"/>
      <c r="K491"/>
      <c r="L491"/>
      <c r="M491"/>
      <c r="N491" s="2"/>
      <c r="O491" s="2"/>
    </row>
    <row r="492" spans="1:15" ht="17.399999999999999" x14ac:dyDescent="0.25">
      <c r="A492" s="138" t="s">
        <v>6</v>
      </c>
      <c r="B492" s="138"/>
      <c r="C492" s="138"/>
      <c r="D492" s="138"/>
      <c r="E492" s="138"/>
      <c r="F492" s="138"/>
      <c r="G492" s="138"/>
      <c r="H492" s="138"/>
      <c r="I492" s="138"/>
      <c r="J492" s="138"/>
      <c r="K492" s="138"/>
      <c r="L492" s="138"/>
      <c r="M492" s="138"/>
      <c r="N492" s="2"/>
      <c r="O492" s="2"/>
    </row>
    <row r="493" spans="1:15" ht="19.2" x14ac:dyDescent="0.25">
      <c r="A493" s="138" t="s">
        <v>7</v>
      </c>
      <c r="B493" s="138"/>
      <c r="C493" s="138"/>
      <c r="D493" s="138"/>
      <c r="E493" s="138"/>
      <c r="F493" s="138"/>
      <c r="G493" s="138"/>
      <c r="H493" s="138"/>
      <c r="I493" s="138"/>
      <c r="J493" s="138"/>
      <c r="K493" s="138"/>
      <c r="L493" s="138"/>
      <c r="M493" s="138"/>
      <c r="N493" s="2"/>
      <c r="O493" s="2"/>
    </row>
    <row r="494" spans="1:15" x14ac:dyDescent="0.3">
      <c r="C494"/>
      <c r="D494"/>
      <c r="E494"/>
      <c r="F494"/>
      <c r="G494"/>
      <c r="H494" s="2"/>
      <c r="I494"/>
      <c r="J494"/>
      <c r="K494"/>
      <c r="L494"/>
      <c r="M494"/>
      <c r="N494" s="2"/>
      <c r="O494" s="2"/>
    </row>
    <row r="495" spans="1:15" x14ac:dyDescent="0.3">
      <c r="C495"/>
      <c r="D495"/>
      <c r="E495" s="10" t="s">
        <v>8</v>
      </c>
      <c r="F495" s="11" t="s">
        <v>79</v>
      </c>
      <c r="G495"/>
      <c r="H495" s="2"/>
      <c r="I495"/>
      <c r="J495"/>
      <c r="K495"/>
      <c r="L495"/>
      <c r="M495"/>
      <c r="N495" s="2"/>
      <c r="O495" s="2"/>
    </row>
    <row r="496" spans="1:15" x14ac:dyDescent="0.3">
      <c r="C496" s="12"/>
      <c r="D496"/>
      <c r="E496" s="10" t="s">
        <v>10</v>
      </c>
      <c r="F496" s="13">
        <v>2016</v>
      </c>
      <c r="G496" s="14"/>
      <c r="H496"/>
      <c r="I496"/>
      <c r="J496"/>
      <c r="K496"/>
      <c r="L496"/>
      <c r="M496"/>
      <c r="N496" s="2"/>
      <c r="O496" s="2"/>
    </row>
    <row r="497" spans="1:13" x14ac:dyDescent="0.3">
      <c r="C497"/>
      <c r="D497"/>
      <c r="E497"/>
      <c r="F497"/>
      <c r="G497"/>
      <c r="H497"/>
      <c r="I497"/>
      <c r="J497"/>
      <c r="K497"/>
      <c r="L497"/>
      <c r="M497"/>
    </row>
    <row r="498" spans="1:13" x14ac:dyDescent="0.3">
      <c r="C498"/>
      <c r="D498" s="135" t="s">
        <v>11</v>
      </c>
      <c r="E498" s="136"/>
      <c r="F498" s="136"/>
      <c r="G498" s="137"/>
      <c r="H498"/>
      <c r="I498" s="15"/>
      <c r="J498" s="16" t="s">
        <v>12</v>
      </c>
      <c r="K498" s="16"/>
      <c r="L498" s="17"/>
      <c r="M498" s="3"/>
    </row>
    <row r="499" spans="1:13" ht="29.4" x14ac:dyDescent="0.3">
      <c r="A499" s="18" t="s">
        <v>13</v>
      </c>
      <c r="B499" s="18" t="s">
        <v>14</v>
      </c>
      <c r="C499" s="19" t="s">
        <v>15</v>
      </c>
      <c r="D499" s="18" t="s">
        <v>16</v>
      </c>
      <c r="E499" s="20" t="s">
        <v>17</v>
      </c>
      <c r="F499" s="20" t="s">
        <v>18</v>
      </c>
      <c r="G499" s="18" t="s">
        <v>19</v>
      </c>
      <c r="H499" s="21"/>
      <c r="I499" s="22" t="s">
        <v>16</v>
      </c>
      <c r="J499" s="23" t="s">
        <v>20</v>
      </c>
      <c r="K499" s="23" t="s">
        <v>18</v>
      </c>
      <c r="L499" s="24" t="s">
        <v>19</v>
      </c>
      <c r="M499" s="18" t="s">
        <v>21</v>
      </c>
    </row>
    <row r="500" spans="1:13" ht="26.4" x14ac:dyDescent="0.3">
      <c r="A500" s="25">
        <v>12</v>
      </c>
      <c r="B500" s="73">
        <v>1611</v>
      </c>
      <c r="C500" s="27" t="s">
        <v>22</v>
      </c>
      <c r="D500" s="32">
        <f>G412</f>
        <v>708510.3</v>
      </c>
      <c r="E500" s="32">
        <v>27000.43</v>
      </c>
      <c r="F500" s="32"/>
      <c r="G500" s="29">
        <f>SUM(D500:F500)</f>
        <v>735510.7300000001</v>
      </c>
      <c r="H500" s="30"/>
      <c r="I500" s="31">
        <f>L412</f>
        <v>-231205.65</v>
      </c>
      <c r="J500" s="32">
        <v>-139054</v>
      </c>
      <c r="K500" s="32"/>
      <c r="L500" s="29">
        <f>SUM(I500:K500)</f>
        <v>-370259.65</v>
      </c>
      <c r="M500" s="33">
        <f>G500+L500</f>
        <v>365251.08000000007</v>
      </c>
    </row>
    <row r="501" spans="1:13" ht="26.4" x14ac:dyDescent="0.3">
      <c r="A501" s="25" t="s">
        <v>23</v>
      </c>
      <c r="B501" s="73">
        <v>1612</v>
      </c>
      <c r="C501" s="27" t="s">
        <v>24</v>
      </c>
      <c r="D501" s="32">
        <f t="shared" ref="D501" si="44">G413</f>
        <v>43879.040000000001</v>
      </c>
      <c r="E501" s="32">
        <v>1800</v>
      </c>
      <c r="F501" s="32"/>
      <c r="G501" s="29">
        <f t="shared" ref="G501:G539" si="45">SUM(D501:F501)</f>
        <v>45679.040000000001</v>
      </c>
      <c r="H501" s="30"/>
      <c r="I501" s="31">
        <f t="shared" ref="I501" si="46">L413</f>
        <v>0</v>
      </c>
      <c r="J501" s="32"/>
      <c r="K501" s="32"/>
      <c r="L501" s="29">
        <f t="shared" ref="L501:L539" si="47">SUM(I501:K501)</f>
        <v>0</v>
      </c>
      <c r="M501" s="33">
        <f t="shared" ref="M501:M539" si="48">G501+L501</f>
        <v>45679.040000000001</v>
      </c>
    </row>
    <row r="502" spans="1:13" x14ac:dyDescent="0.3">
      <c r="A502" s="25"/>
      <c r="B502" s="73">
        <v>1655</v>
      </c>
      <c r="C502" s="27" t="s">
        <v>80</v>
      </c>
      <c r="D502" s="32"/>
      <c r="E502" s="32">
        <v>163929</v>
      </c>
      <c r="F502" s="32"/>
      <c r="G502" s="29">
        <f t="shared" si="45"/>
        <v>163929</v>
      </c>
      <c r="H502" s="30"/>
      <c r="I502" s="31"/>
      <c r="J502" s="32"/>
      <c r="K502" s="32"/>
      <c r="L502" s="29">
        <f t="shared" si="47"/>
        <v>0</v>
      </c>
      <c r="M502" s="33">
        <f t="shared" si="48"/>
        <v>163929</v>
      </c>
    </row>
    <row r="503" spans="1:13" x14ac:dyDescent="0.3">
      <c r="A503" s="25" t="s">
        <v>25</v>
      </c>
      <c r="B503" s="73">
        <v>1805</v>
      </c>
      <c r="C503" s="35" t="s">
        <v>26</v>
      </c>
      <c r="D503" s="32">
        <f t="shared" ref="D503:D539" si="49">G414</f>
        <v>104039.08</v>
      </c>
      <c r="E503" s="32">
        <v>74505</v>
      </c>
      <c r="F503" s="32"/>
      <c r="G503" s="29">
        <f t="shared" si="45"/>
        <v>178544.08000000002</v>
      </c>
      <c r="H503" s="30"/>
      <c r="I503" s="31">
        <f t="shared" ref="I503:I539" si="50">L414</f>
        <v>0</v>
      </c>
      <c r="J503" s="32"/>
      <c r="K503" s="32"/>
      <c r="L503" s="29">
        <f t="shared" si="47"/>
        <v>0</v>
      </c>
      <c r="M503" s="33">
        <f t="shared" si="48"/>
        <v>178544.08000000002</v>
      </c>
    </row>
    <row r="504" spans="1:13" x14ac:dyDescent="0.3">
      <c r="A504" s="25">
        <v>47</v>
      </c>
      <c r="B504" s="73">
        <v>1808</v>
      </c>
      <c r="C504" s="36" t="s">
        <v>27</v>
      </c>
      <c r="D504" s="32">
        <f t="shared" si="49"/>
        <v>178195.51</v>
      </c>
      <c r="E504" s="32">
        <v>3193.5</v>
      </c>
      <c r="F504" s="32"/>
      <c r="G504" s="29">
        <f t="shared" si="45"/>
        <v>181389.01</v>
      </c>
      <c r="H504" s="30"/>
      <c r="I504" s="31">
        <f t="shared" si="50"/>
        <v>-8247.5299999999988</v>
      </c>
      <c r="J504" s="32">
        <v>-4521.7</v>
      </c>
      <c r="K504" s="32"/>
      <c r="L504" s="29">
        <f t="shared" si="47"/>
        <v>-12769.23</v>
      </c>
      <c r="M504" s="33">
        <f t="shared" si="48"/>
        <v>168619.78</v>
      </c>
    </row>
    <row r="505" spans="1:13" x14ac:dyDescent="0.3">
      <c r="A505" s="25">
        <v>13</v>
      </c>
      <c r="B505" s="34">
        <v>1810</v>
      </c>
      <c r="C505" s="36" t="s">
        <v>28</v>
      </c>
      <c r="D505" s="32">
        <f t="shared" si="49"/>
        <v>0</v>
      </c>
      <c r="E505" s="32"/>
      <c r="F505" s="32"/>
      <c r="G505" s="29">
        <f t="shared" si="45"/>
        <v>0</v>
      </c>
      <c r="H505" s="30"/>
      <c r="I505" s="31">
        <f t="shared" si="50"/>
        <v>0</v>
      </c>
      <c r="J505" s="32"/>
      <c r="K505" s="32"/>
      <c r="L505" s="29">
        <f t="shared" si="47"/>
        <v>0</v>
      </c>
      <c r="M505" s="33">
        <f t="shared" si="48"/>
        <v>0</v>
      </c>
    </row>
    <row r="506" spans="1:13" x14ac:dyDescent="0.3">
      <c r="A506" s="25">
        <v>47</v>
      </c>
      <c r="B506" s="34">
        <v>1815</v>
      </c>
      <c r="C506" s="36" t="s">
        <v>29</v>
      </c>
      <c r="D506" s="32">
        <f t="shared" si="49"/>
        <v>0</v>
      </c>
      <c r="E506" s="32"/>
      <c r="F506" s="32"/>
      <c r="G506" s="29">
        <f t="shared" si="45"/>
        <v>0</v>
      </c>
      <c r="H506" s="30"/>
      <c r="I506" s="31">
        <f t="shared" si="50"/>
        <v>0</v>
      </c>
      <c r="J506" s="32"/>
      <c r="K506" s="32"/>
      <c r="L506" s="29">
        <f t="shared" si="47"/>
        <v>0</v>
      </c>
      <c r="M506" s="33">
        <f t="shared" si="48"/>
        <v>0</v>
      </c>
    </row>
    <row r="507" spans="1:13" x14ac:dyDescent="0.3">
      <c r="A507" s="25">
        <v>47</v>
      </c>
      <c r="B507" s="73">
        <v>1820</v>
      </c>
      <c r="C507" s="27" t="s">
        <v>30</v>
      </c>
      <c r="D507" s="32">
        <f t="shared" si="49"/>
        <v>367963</v>
      </c>
      <c r="E507" s="32"/>
      <c r="F507" s="32"/>
      <c r="G507" s="29">
        <f t="shared" si="45"/>
        <v>367963</v>
      </c>
      <c r="H507" s="30"/>
      <c r="I507" s="31">
        <f t="shared" si="50"/>
        <v>-3591.0800000000017</v>
      </c>
      <c r="J507" s="32">
        <v>-9727.65</v>
      </c>
      <c r="K507" s="32"/>
      <c r="L507" s="29">
        <f t="shared" si="47"/>
        <v>-13318.730000000001</v>
      </c>
      <c r="M507" s="33">
        <f t="shared" si="48"/>
        <v>354644.27</v>
      </c>
    </row>
    <row r="508" spans="1:13" x14ac:dyDescent="0.3">
      <c r="A508" s="25">
        <v>47</v>
      </c>
      <c r="B508" s="34">
        <v>1825</v>
      </c>
      <c r="C508" s="36" t="s">
        <v>31</v>
      </c>
      <c r="D508" s="32">
        <f t="shared" si="49"/>
        <v>0</v>
      </c>
      <c r="E508" s="32"/>
      <c r="F508" s="32"/>
      <c r="G508" s="29">
        <f t="shared" si="45"/>
        <v>0</v>
      </c>
      <c r="H508" s="30"/>
      <c r="I508" s="31">
        <f t="shared" si="50"/>
        <v>0</v>
      </c>
      <c r="J508" s="32"/>
      <c r="K508" s="32"/>
      <c r="L508" s="29">
        <f t="shared" si="47"/>
        <v>0</v>
      </c>
      <c r="M508" s="33">
        <f t="shared" si="48"/>
        <v>0</v>
      </c>
    </row>
    <row r="509" spans="1:13" x14ac:dyDescent="0.3">
      <c r="A509" s="25">
        <v>47</v>
      </c>
      <c r="B509" s="73">
        <v>1830</v>
      </c>
      <c r="C509" s="36" t="s">
        <v>32</v>
      </c>
      <c r="D509" s="32">
        <f t="shared" si="49"/>
        <v>5844760.7699999996</v>
      </c>
      <c r="E509" s="32">
        <v>548836.86</v>
      </c>
      <c r="F509" s="32">
        <v>-77577.100000000006</v>
      </c>
      <c r="G509" s="29">
        <f t="shared" si="45"/>
        <v>6316020.5300000003</v>
      </c>
      <c r="H509" s="30"/>
      <c r="I509" s="31">
        <f t="shared" si="50"/>
        <v>-199071.56</v>
      </c>
      <c r="J509" s="32">
        <v>-173283</v>
      </c>
      <c r="K509" s="32">
        <v>77577.100000000006</v>
      </c>
      <c r="L509" s="29">
        <f t="shared" si="47"/>
        <v>-294777.45999999996</v>
      </c>
      <c r="M509" s="33">
        <f t="shared" si="48"/>
        <v>6021243.0700000003</v>
      </c>
    </row>
    <row r="510" spans="1:13" x14ac:dyDescent="0.3">
      <c r="A510" s="25">
        <v>47</v>
      </c>
      <c r="B510" s="34">
        <v>1835</v>
      </c>
      <c r="C510" s="36" t="s">
        <v>33</v>
      </c>
      <c r="D510" s="32">
        <f t="shared" si="49"/>
        <v>7101772.3099999996</v>
      </c>
      <c r="E510" s="32">
        <v>887130.6</v>
      </c>
      <c r="F510" s="32">
        <v>-340364.18</v>
      </c>
      <c r="G510" s="29">
        <f t="shared" si="45"/>
        <v>7648538.7299999995</v>
      </c>
      <c r="H510" s="30"/>
      <c r="I510" s="31">
        <f t="shared" si="50"/>
        <v>-430391.61</v>
      </c>
      <c r="J510" s="32">
        <v>-246157</v>
      </c>
      <c r="K510" s="32">
        <v>340364.18</v>
      </c>
      <c r="L510" s="29">
        <f t="shared" si="47"/>
        <v>-336184.43</v>
      </c>
      <c r="M510" s="33">
        <f t="shared" si="48"/>
        <v>7312354.2999999998</v>
      </c>
    </row>
    <row r="511" spans="1:13" x14ac:dyDescent="0.3">
      <c r="A511" s="25">
        <v>47</v>
      </c>
      <c r="B511" s="73">
        <v>1840</v>
      </c>
      <c r="C511" s="36" t="s">
        <v>34</v>
      </c>
      <c r="D511" s="32">
        <f t="shared" si="49"/>
        <v>2521684.35</v>
      </c>
      <c r="E511" s="32">
        <v>221002.74</v>
      </c>
      <c r="F511" s="32"/>
      <c r="G511" s="29">
        <f t="shared" si="45"/>
        <v>2742687.09</v>
      </c>
      <c r="H511" s="30"/>
      <c r="I511" s="31">
        <f t="shared" si="50"/>
        <v>-134953</v>
      </c>
      <c r="J511" s="32">
        <v>-72085</v>
      </c>
      <c r="K511" s="32"/>
      <c r="L511" s="29">
        <f t="shared" si="47"/>
        <v>-207038</v>
      </c>
      <c r="M511" s="33">
        <f t="shared" si="48"/>
        <v>2535649.09</v>
      </c>
    </row>
    <row r="512" spans="1:13" x14ac:dyDescent="0.3">
      <c r="A512" s="25">
        <v>47</v>
      </c>
      <c r="B512" s="73">
        <v>1845</v>
      </c>
      <c r="C512" s="36" t="s">
        <v>35</v>
      </c>
      <c r="D512" s="32">
        <f t="shared" si="49"/>
        <v>6063633.1799999997</v>
      </c>
      <c r="E512" s="32">
        <v>659041.52</v>
      </c>
      <c r="F512" s="32">
        <v>-256441.2</v>
      </c>
      <c r="G512" s="29">
        <f t="shared" si="45"/>
        <v>6466233.4999999991</v>
      </c>
      <c r="H512" s="30"/>
      <c r="I512" s="31">
        <f t="shared" si="50"/>
        <v>-329610.18</v>
      </c>
      <c r="J512" s="32">
        <v>-181522</v>
      </c>
      <c r="K512" s="32">
        <v>256441.2</v>
      </c>
      <c r="L512" s="29">
        <f t="shared" si="47"/>
        <v>-254690.97999999998</v>
      </c>
      <c r="M512" s="33">
        <f t="shared" si="48"/>
        <v>6211542.5199999996</v>
      </c>
    </row>
    <row r="513" spans="1:16" x14ac:dyDescent="0.3">
      <c r="A513" s="25">
        <v>47</v>
      </c>
      <c r="B513" s="73">
        <v>1850</v>
      </c>
      <c r="C513" s="36" t="s">
        <v>36</v>
      </c>
      <c r="D513" s="32">
        <f t="shared" si="49"/>
        <v>7630529.5299999984</v>
      </c>
      <c r="E513" s="32">
        <v>535550.79</v>
      </c>
      <c r="F513" s="32">
        <v>-187547.86</v>
      </c>
      <c r="G513" s="29">
        <f t="shared" si="45"/>
        <v>7978532.4599999981</v>
      </c>
      <c r="H513" s="30"/>
      <c r="I513" s="31">
        <f t="shared" si="50"/>
        <v>-219907.03999999998</v>
      </c>
      <c r="J513" s="32">
        <v>-229149</v>
      </c>
      <c r="K513" s="32">
        <v>187547.86</v>
      </c>
      <c r="L513" s="29">
        <f t="shared" si="47"/>
        <v>-261508.18</v>
      </c>
      <c r="M513" s="89">
        <f t="shared" si="48"/>
        <v>7717024.2799999984</v>
      </c>
    </row>
    <row r="514" spans="1:16" x14ac:dyDescent="0.3">
      <c r="A514" s="25">
        <v>47</v>
      </c>
      <c r="B514" s="73">
        <v>1855</v>
      </c>
      <c r="C514" s="36" t="s">
        <v>37</v>
      </c>
      <c r="D514" s="32">
        <f t="shared" si="49"/>
        <v>3854713.6600000006</v>
      </c>
      <c r="E514" s="32">
        <v>591580.52</v>
      </c>
      <c r="F514" s="32"/>
      <c r="G514" s="29">
        <f t="shared" si="45"/>
        <v>4446294.1800000006</v>
      </c>
      <c r="H514" s="30"/>
      <c r="I514" s="31">
        <f t="shared" si="50"/>
        <v>-158526</v>
      </c>
      <c r="J514" s="32">
        <v>-93946</v>
      </c>
      <c r="K514" s="32"/>
      <c r="L514" s="29">
        <f t="shared" si="47"/>
        <v>-252472</v>
      </c>
      <c r="M514" s="89">
        <f t="shared" si="48"/>
        <v>4193822.1800000006</v>
      </c>
    </row>
    <row r="515" spans="1:16" x14ac:dyDescent="0.3">
      <c r="A515" s="25">
        <v>47</v>
      </c>
      <c r="B515" s="73">
        <v>1860</v>
      </c>
      <c r="C515" s="36" t="s">
        <v>38</v>
      </c>
      <c r="D515" s="32">
        <f t="shared" si="49"/>
        <v>1395496.54</v>
      </c>
      <c r="E515" s="32">
        <v>246046</v>
      </c>
      <c r="F515" s="32"/>
      <c r="G515" s="29">
        <f t="shared" si="45"/>
        <v>1641542.54</v>
      </c>
      <c r="H515" s="30"/>
      <c r="I515" s="31">
        <f t="shared" si="50"/>
        <v>-404402</v>
      </c>
      <c r="J515" s="32">
        <v>-109376</v>
      </c>
      <c r="K515" s="32"/>
      <c r="L515" s="29">
        <f t="shared" si="47"/>
        <v>-513778</v>
      </c>
      <c r="M515" s="89">
        <f t="shared" si="48"/>
        <v>1127764.54</v>
      </c>
    </row>
    <row r="516" spans="1:16" x14ac:dyDescent="0.3">
      <c r="A516" s="25">
        <v>47</v>
      </c>
      <c r="B516" s="73">
        <v>1860</v>
      </c>
      <c r="C516" s="35" t="s">
        <v>39</v>
      </c>
      <c r="D516" s="32">
        <f t="shared" si="49"/>
        <v>2539245.25</v>
      </c>
      <c r="E516" s="32"/>
      <c r="F516" s="32"/>
      <c r="G516" s="29">
        <f t="shared" si="45"/>
        <v>2539245.25</v>
      </c>
      <c r="H516" s="30"/>
      <c r="I516" s="31">
        <f t="shared" si="50"/>
        <v>-181092.17</v>
      </c>
      <c r="J516" s="32">
        <v>-231658</v>
      </c>
      <c r="K516" s="32"/>
      <c r="L516" s="29">
        <f t="shared" si="47"/>
        <v>-412750.17000000004</v>
      </c>
      <c r="M516" s="89">
        <f t="shared" si="48"/>
        <v>2126495.08</v>
      </c>
      <c r="P516" s="91"/>
    </row>
    <row r="517" spans="1:16" x14ac:dyDescent="0.3">
      <c r="A517" s="25" t="s">
        <v>25</v>
      </c>
      <c r="B517" s="34">
        <v>1905</v>
      </c>
      <c r="C517" s="35" t="s">
        <v>26</v>
      </c>
      <c r="D517" s="32">
        <f t="shared" si="49"/>
        <v>0</v>
      </c>
      <c r="E517" s="32"/>
      <c r="F517" s="32"/>
      <c r="G517" s="29">
        <f t="shared" si="45"/>
        <v>0</v>
      </c>
      <c r="H517" s="30"/>
      <c r="I517" s="31">
        <f t="shared" si="50"/>
        <v>0</v>
      </c>
      <c r="J517" s="32"/>
      <c r="K517" s="32"/>
      <c r="L517" s="29">
        <f t="shared" si="47"/>
        <v>0</v>
      </c>
      <c r="M517" s="33">
        <f t="shared" si="48"/>
        <v>0</v>
      </c>
    </row>
    <row r="518" spans="1:16" x14ac:dyDescent="0.3">
      <c r="A518" s="25">
        <v>47</v>
      </c>
      <c r="B518" s="34">
        <v>1908</v>
      </c>
      <c r="C518" s="36" t="s">
        <v>40</v>
      </c>
      <c r="D518" s="32">
        <f t="shared" si="49"/>
        <v>0</v>
      </c>
      <c r="E518" s="32"/>
      <c r="F518" s="32"/>
      <c r="G518" s="29">
        <f t="shared" si="45"/>
        <v>0</v>
      </c>
      <c r="H518" s="30"/>
      <c r="I518" s="31">
        <f t="shared" si="50"/>
        <v>0</v>
      </c>
      <c r="J518" s="32"/>
      <c r="K518" s="32"/>
      <c r="L518" s="29">
        <f t="shared" si="47"/>
        <v>0</v>
      </c>
      <c r="M518" s="33">
        <f t="shared" si="48"/>
        <v>0</v>
      </c>
    </row>
    <row r="519" spans="1:16" x14ac:dyDescent="0.3">
      <c r="A519" s="25">
        <v>13</v>
      </c>
      <c r="B519" s="73">
        <v>1910</v>
      </c>
      <c r="C519" s="36" t="s">
        <v>28</v>
      </c>
      <c r="D519" s="32">
        <f t="shared" si="49"/>
        <v>397742.11</v>
      </c>
      <c r="E519" s="32">
        <v>41813.15</v>
      </c>
      <c r="F519" s="32"/>
      <c r="G519" s="29">
        <f t="shared" si="45"/>
        <v>439555.26</v>
      </c>
      <c r="H519" s="30"/>
      <c r="I519" s="31">
        <f t="shared" si="50"/>
        <v>-11192.44</v>
      </c>
      <c r="J519" s="32">
        <v>-7922.54</v>
      </c>
      <c r="K519" s="32"/>
      <c r="L519" s="29">
        <f t="shared" si="47"/>
        <v>-19114.98</v>
      </c>
      <c r="M519" s="33">
        <f t="shared" si="48"/>
        <v>420440.28</v>
      </c>
    </row>
    <row r="520" spans="1:16" x14ac:dyDescent="0.3">
      <c r="A520" s="25">
        <v>8</v>
      </c>
      <c r="B520" s="25">
        <v>1915</v>
      </c>
      <c r="C520" s="36" t="s">
        <v>41</v>
      </c>
      <c r="D520" s="32">
        <f t="shared" si="49"/>
        <v>29418</v>
      </c>
      <c r="E520" s="32"/>
      <c r="F520" s="32"/>
      <c r="G520" s="29">
        <f t="shared" si="45"/>
        <v>29418</v>
      </c>
      <c r="H520" s="30"/>
      <c r="I520" s="31">
        <f t="shared" si="50"/>
        <v>-6563.1</v>
      </c>
      <c r="J520" s="32">
        <v>-4110.5</v>
      </c>
      <c r="K520" s="32"/>
      <c r="L520" s="29">
        <f t="shared" si="47"/>
        <v>-10673.6</v>
      </c>
      <c r="M520" s="33">
        <f t="shared" si="48"/>
        <v>18744.400000000001</v>
      </c>
    </row>
    <row r="521" spans="1:16" x14ac:dyDescent="0.3">
      <c r="A521" s="25">
        <v>8</v>
      </c>
      <c r="B521" s="34">
        <v>1915</v>
      </c>
      <c r="C521" s="36" t="s">
        <v>42</v>
      </c>
      <c r="D521" s="32">
        <f t="shared" si="49"/>
        <v>0</v>
      </c>
      <c r="E521" s="32"/>
      <c r="F521" s="32"/>
      <c r="G521" s="29">
        <f t="shared" si="45"/>
        <v>0</v>
      </c>
      <c r="H521" s="30"/>
      <c r="I521" s="31">
        <f t="shared" si="50"/>
        <v>0</v>
      </c>
      <c r="J521" s="32"/>
      <c r="K521" s="32"/>
      <c r="L521" s="29">
        <f t="shared" si="47"/>
        <v>0</v>
      </c>
      <c r="M521" s="33">
        <f t="shared" si="48"/>
        <v>0</v>
      </c>
    </row>
    <row r="522" spans="1:16" x14ac:dyDescent="0.3">
      <c r="A522" s="25">
        <v>10</v>
      </c>
      <c r="B522" s="34">
        <v>1920</v>
      </c>
      <c r="C522" s="36" t="s">
        <v>43</v>
      </c>
      <c r="D522" s="32">
        <f t="shared" si="49"/>
        <v>0</v>
      </c>
      <c r="E522" s="32"/>
      <c r="F522" s="32"/>
      <c r="G522" s="29">
        <f t="shared" si="45"/>
        <v>0</v>
      </c>
      <c r="H522" s="30"/>
      <c r="I522" s="31">
        <f t="shared" si="50"/>
        <v>0</v>
      </c>
      <c r="J522" s="32"/>
      <c r="K522" s="32"/>
      <c r="L522" s="29">
        <f t="shared" si="47"/>
        <v>0</v>
      </c>
      <c r="M522" s="33">
        <f t="shared" si="48"/>
        <v>0</v>
      </c>
    </row>
    <row r="523" spans="1:16" ht="26.4" x14ac:dyDescent="0.3">
      <c r="A523" s="25">
        <v>45</v>
      </c>
      <c r="B523" s="38">
        <v>1920</v>
      </c>
      <c r="C523" s="27" t="s">
        <v>44</v>
      </c>
      <c r="D523" s="32">
        <f t="shared" si="49"/>
        <v>0</v>
      </c>
      <c r="E523" s="32"/>
      <c r="F523" s="32"/>
      <c r="G523" s="29">
        <f t="shared" si="45"/>
        <v>0</v>
      </c>
      <c r="H523" s="30"/>
      <c r="I523" s="31">
        <f t="shared" si="50"/>
        <v>0</v>
      </c>
      <c r="J523" s="32"/>
      <c r="K523" s="32"/>
      <c r="L523" s="29">
        <f t="shared" si="47"/>
        <v>0</v>
      </c>
      <c r="M523" s="33">
        <f t="shared" si="48"/>
        <v>0</v>
      </c>
    </row>
    <row r="524" spans="1:16" ht="26.4" x14ac:dyDescent="0.3">
      <c r="A524" s="25">
        <v>45.1</v>
      </c>
      <c r="B524" s="81">
        <v>1920</v>
      </c>
      <c r="C524" s="27" t="s">
        <v>45</v>
      </c>
      <c r="D524" s="32">
        <f t="shared" si="49"/>
        <v>129086.01999999999</v>
      </c>
      <c r="E524" s="32">
        <v>22003.13</v>
      </c>
      <c r="F524" s="32"/>
      <c r="G524" s="29">
        <f t="shared" si="45"/>
        <v>151089.15</v>
      </c>
      <c r="H524" s="30"/>
      <c r="I524" s="31">
        <f t="shared" si="50"/>
        <v>-52597.95</v>
      </c>
      <c r="J524" s="32">
        <v>-31906</v>
      </c>
      <c r="K524" s="32"/>
      <c r="L524" s="29">
        <f t="shared" si="47"/>
        <v>-84503.95</v>
      </c>
      <c r="M524" s="33">
        <f t="shared" si="48"/>
        <v>66585.2</v>
      </c>
    </row>
    <row r="525" spans="1:16" x14ac:dyDescent="0.3">
      <c r="A525" s="25">
        <v>10</v>
      </c>
      <c r="B525" s="73">
        <v>1930</v>
      </c>
      <c r="C525" s="36" t="s">
        <v>46</v>
      </c>
      <c r="D525" s="32">
        <f t="shared" si="49"/>
        <v>1233865.310000001</v>
      </c>
      <c r="E525" s="32">
        <v>346258.45</v>
      </c>
      <c r="F525" s="32">
        <v>-487092.5</v>
      </c>
      <c r="G525" s="29">
        <f t="shared" si="45"/>
        <v>1093031.2600000009</v>
      </c>
      <c r="H525" s="30"/>
      <c r="I525" s="31">
        <f t="shared" si="50"/>
        <v>-175535.6</v>
      </c>
      <c r="J525" s="32">
        <v>-192983.56</v>
      </c>
      <c r="K525" s="32">
        <v>487092.5</v>
      </c>
      <c r="L525" s="29">
        <f t="shared" si="47"/>
        <v>118573.33999999997</v>
      </c>
      <c r="M525" s="33">
        <f t="shared" si="48"/>
        <v>1211604.600000001</v>
      </c>
    </row>
    <row r="526" spans="1:16" x14ac:dyDescent="0.3">
      <c r="A526" s="25">
        <v>8</v>
      </c>
      <c r="B526" s="26">
        <v>1935</v>
      </c>
      <c r="C526" s="36" t="s">
        <v>47</v>
      </c>
      <c r="D526" s="32">
        <f t="shared" si="49"/>
        <v>0</v>
      </c>
      <c r="E526" s="32"/>
      <c r="F526" s="32"/>
      <c r="G526" s="29">
        <f t="shared" si="45"/>
        <v>0</v>
      </c>
      <c r="H526" s="30"/>
      <c r="I526" s="31">
        <f t="shared" si="50"/>
        <v>0</v>
      </c>
      <c r="J526" s="32"/>
      <c r="K526" s="32"/>
      <c r="L526" s="29">
        <f t="shared" si="47"/>
        <v>0</v>
      </c>
      <c r="M526" s="33">
        <f t="shared" si="48"/>
        <v>0</v>
      </c>
    </row>
    <row r="527" spans="1:16" x14ac:dyDescent="0.3">
      <c r="A527" s="25">
        <v>8</v>
      </c>
      <c r="B527" s="73">
        <v>1940</v>
      </c>
      <c r="C527" s="36" t="s">
        <v>48</v>
      </c>
      <c r="D527" s="32">
        <f t="shared" si="49"/>
        <v>299600.37</v>
      </c>
      <c r="E527" s="32">
        <v>15489.42</v>
      </c>
      <c r="F527" s="32"/>
      <c r="G527" s="29">
        <f t="shared" si="45"/>
        <v>315089.78999999998</v>
      </c>
      <c r="H527" s="30"/>
      <c r="I527" s="31">
        <f t="shared" si="50"/>
        <v>-37445.479999999996</v>
      </c>
      <c r="J527" s="32">
        <v>-16742.559999999998</v>
      </c>
      <c r="K527" s="32"/>
      <c r="L527" s="29">
        <f t="shared" si="47"/>
        <v>-54188.039999999994</v>
      </c>
      <c r="M527" s="33">
        <f t="shared" si="48"/>
        <v>260901.75</v>
      </c>
    </row>
    <row r="528" spans="1:16" x14ac:dyDescent="0.3">
      <c r="A528" s="25">
        <v>8</v>
      </c>
      <c r="B528" s="73">
        <v>1945</v>
      </c>
      <c r="C528" s="36" t="s">
        <v>49</v>
      </c>
      <c r="D528" s="32">
        <f t="shared" si="49"/>
        <v>25813.14</v>
      </c>
      <c r="E528" s="32"/>
      <c r="F528" s="32"/>
      <c r="G528" s="29">
        <f t="shared" si="45"/>
        <v>25813.14</v>
      </c>
      <c r="H528" s="30"/>
      <c r="I528" s="31">
        <f t="shared" si="50"/>
        <v>-4654.5200000000004</v>
      </c>
      <c r="J528" s="32">
        <v>-3885.27</v>
      </c>
      <c r="K528" s="32"/>
      <c r="L528" s="29">
        <f t="shared" si="47"/>
        <v>-8539.7900000000009</v>
      </c>
      <c r="M528" s="33">
        <f t="shared" si="48"/>
        <v>17273.349999999999</v>
      </c>
    </row>
    <row r="529" spans="1:16" x14ac:dyDescent="0.3">
      <c r="A529" s="25">
        <v>8</v>
      </c>
      <c r="B529" s="73">
        <v>1950</v>
      </c>
      <c r="C529" s="36" t="s">
        <v>50</v>
      </c>
      <c r="D529" s="32">
        <f t="shared" si="49"/>
        <v>202876.79</v>
      </c>
      <c r="E529" s="32">
        <v>1573.8</v>
      </c>
      <c r="F529" s="32"/>
      <c r="G529" s="29">
        <f t="shared" si="45"/>
        <v>204450.59</v>
      </c>
      <c r="H529" s="30"/>
      <c r="I529" s="31">
        <f t="shared" si="50"/>
        <v>-49428.53</v>
      </c>
      <c r="J529" s="32">
        <v>-27665.06</v>
      </c>
      <c r="K529" s="32"/>
      <c r="L529" s="29">
        <f t="shared" si="47"/>
        <v>-77093.59</v>
      </c>
      <c r="M529" s="33">
        <f t="shared" si="48"/>
        <v>127357</v>
      </c>
    </row>
    <row r="530" spans="1:16" x14ac:dyDescent="0.3">
      <c r="A530" s="25">
        <v>8</v>
      </c>
      <c r="B530" s="73">
        <v>1955</v>
      </c>
      <c r="C530" s="36" t="s">
        <v>51</v>
      </c>
      <c r="D530" s="32">
        <f t="shared" si="49"/>
        <v>0</v>
      </c>
      <c r="E530" s="32">
        <v>31915.4</v>
      </c>
      <c r="F530" s="32"/>
      <c r="G530" s="29">
        <f t="shared" si="45"/>
        <v>31915.4</v>
      </c>
      <c r="H530" s="30"/>
      <c r="I530" s="31">
        <f t="shared" si="50"/>
        <v>0</v>
      </c>
      <c r="J530" s="32">
        <v>-3191.54</v>
      </c>
      <c r="K530" s="32"/>
      <c r="L530" s="29">
        <f t="shared" si="47"/>
        <v>-3191.54</v>
      </c>
      <c r="M530" s="33">
        <f t="shared" si="48"/>
        <v>28723.86</v>
      </c>
    </row>
    <row r="531" spans="1:16" x14ac:dyDescent="0.3">
      <c r="A531" s="40">
        <v>8</v>
      </c>
      <c r="B531" s="38">
        <v>1955</v>
      </c>
      <c r="C531" s="41" t="s">
        <v>52</v>
      </c>
      <c r="D531" s="32">
        <f t="shared" si="49"/>
        <v>0</v>
      </c>
      <c r="E531" s="32"/>
      <c r="F531" s="32"/>
      <c r="G531" s="29">
        <f t="shared" si="45"/>
        <v>0</v>
      </c>
      <c r="H531" s="30"/>
      <c r="I531" s="31">
        <f t="shared" si="50"/>
        <v>0</v>
      </c>
      <c r="J531" s="32"/>
      <c r="K531" s="32"/>
      <c r="L531" s="29">
        <f t="shared" si="47"/>
        <v>0</v>
      </c>
      <c r="M531" s="33">
        <f t="shared" si="48"/>
        <v>0</v>
      </c>
    </row>
    <row r="532" spans="1:16" x14ac:dyDescent="0.3">
      <c r="A532" s="40">
        <v>8</v>
      </c>
      <c r="B532" s="42">
        <v>1960</v>
      </c>
      <c r="C532" s="27" t="s">
        <v>53</v>
      </c>
      <c r="D532" s="32">
        <f t="shared" si="49"/>
        <v>0</v>
      </c>
      <c r="E532" s="32"/>
      <c r="F532" s="32"/>
      <c r="G532" s="29">
        <f t="shared" si="45"/>
        <v>0</v>
      </c>
      <c r="H532" s="30"/>
      <c r="I532" s="31">
        <f t="shared" si="50"/>
        <v>0</v>
      </c>
      <c r="J532" s="32"/>
      <c r="K532" s="32"/>
      <c r="L532" s="29">
        <f t="shared" si="47"/>
        <v>0</v>
      </c>
      <c r="M532" s="33">
        <f t="shared" si="48"/>
        <v>0</v>
      </c>
    </row>
    <row r="533" spans="1:16" ht="26.4" x14ac:dyDescent="0.3">
      <c r="A533" s="43">
        <v>47</v>
      </c>
      <c r="B533" s="42">
        <v>1970</v>
      </c>
      <c r="C533" s="36" t="s">
        <v>54</v>
      </c>
      <c r="D533" s="32">
        <f t="shared" si="49"/>
        <v>0</v>
      </c>
      <c r="E533" s="32"/>
      <c r="F533" s="32"/>
      <c r="G533" s="29">
        <f t="shared" si="45"/>
        <v>0</v>
      </c>
      <c r="H533" s="30"/>
      <c r="I533" s="31">
        <f t="shared" si="50"/>
        <v>0</v>
      </c>
      <c r="J533" s="32"/>
      <c r="K533" s="32"/>
      <c r="L533" s="29">
        <f t="shared" si="47"/>
        <v>0</v>
      </c>
      <c r="M533" s="33">
        <f t="shared" si="48"/>
        <v>0</v>
      </c>
    </row>
    <row r="534" spans="1:16" x14ac:dyDescent="0.3">
      <c r="A534" s="25">
        <v>47</v>
      </c>
      <c r="B534" s="26">
        <v>1975</v>
      </c>
      <c r="C534" s="36" t="s">
        <v>55</v>
      </c>
      <c r="D534" s="32">
        <f t="shared" si="49"/>
        <v>0</v>
      </c>
      <c r="E534" s="32"/>
      <c r="F534" s="32"/>
      <c r="G534" s="29">
        <f t="shared" si="45"/>
        <v>0</v>
      </c>
      <c r="H534" s="30"/>
      <c r="I534" s="31">
        <f t="shared" si="50"/>
        <v>0</v>
      </c>
      <c r="J534" s="32"/>
      <c r="K534" s="32"/>
      <c r="L534" s="29">
        <f t="shared" si="47"/>
        <v>0</v>
      </c>
      <c r="M534" s="33">
        <f t="shared" si="48"/>
        <v>0</v>
      </c>
    </row>
    <row r="535" spans="1:16" x14ac:dyDescent="0.3">
      <c r="A535" s="25">
        <v>47</v>
      </c>
      <c r="B535" s="73">
        <v>1980</v>
      </c>
      <c r="C535" s="36" t="s">
        <v>56</v>
      </c>
      <c r="D535" s="32">
        <f t="shared" si="49"/>
        <v>266556.25</v>
      </c>
      <c r="E535" s="32">
        <v>188030.44</v>
      </c>
      <c r="F535" s="32"/>
      <c r="G535" s="29">
        <f t="shared" si="45"/>
        <v>454586.69</v>
      </c>
      <c r="H535" s="30"/>
      <c r="I535" s="31">
        <f t="shared" si="50"/>
        <v>-110052.6</v>
      </c>
      <c r="J535" s="32">
        <v>-83656.84</v>
      </c>
      <c r="K535" s="32"/>
      <c r="L535" s="29">
        <f t="shared" si="47"/>
        <v>-193709.44</v>
      </c>
      <c r="M535" s="33">
        <f t="shared" si="48"/>
        <v>260877.25</v>
      </c>
      <c r="P535" s="91"/>
    </row>
    <row r="536" spans="1:16" x14ac:dyDescent="0.3">
      <c r="A536" s="25">
        <v>47</v>
      </c>
      <c r="B536" s="26">
        <v>1985</v>
      </c>
      <c r="C536" s="36" t="s">
        <v>57</v>
      </c>
      <c r="D536" s="32">
        <f t="shared" si="49"/>
        <v>0</v>
      </c>
      <c r="E536" s="32"/>
      <c r="F536" s="32"/>
      <c r="G536" s="29">
        <f t="shared" si="45"/>
        <v>0</v>
      </c>
      <c r="H536" s="30"/>
      <c r="I536" s="31">
        <f t="shared" si="50"/>
        <v>0</v>
      </c>
      <c r="J536" s="32"/>
      <c r="K536" s="32"/>
      <c r="L536" s="29">
        <f t="shared" si="47"/>
        <v>0</v>
      </c>
      <c r="M536" s="33">
        <f t="shared" si="48"/>
        <v>0</v>
      </c>
    </row>
    <row r="537" spans="1:16" x14ac:dyDescent="0.3">
      <c r="A537" s="43">
        <v>47</v>
      </c>
      <c r="B537" s="26">
        <v>1990</v>
      </c>
      <c r="C537" s="45" t="s">
        <v>58</v>
      </c>
      <c r="D537" s="32">
        <f t="shared" si="49"/>
        <v>0</v>
      </c>
      <c r="E537" s="32"/>
      <c r="F537" s="32"/>
      <c r="G537" s="29">
        <f t="shared" si="45"/>
        <v>0</v>
      </c>
      <c r="H537" s="30"/>
      <c r="I537" s="31">
        <f t="shared" si="50"/>
        <v>0</v>
      </c>
      <c r="J537" s="32"/>
      <c r="K537" s="32"/>
      <c r="L537" s="29">
        <f t="shared" si="47"/>
        <v>0</v>
      </c>
      <c r="M537" s="33">
        <f t="shared" si="48"/>
        <v>0</v>
      </c>
    </row>
    <row r="538" spans="1:16" x14ac:dyDescent="0.3">
      <c r="A538" s="25">
        <v>47</v>
      </c>
      <c r="B538" s="73">
        <v>1995</v>
      </c>
      <c r="C538" s="36" t="s">
        <v>59</v>
      </c>
      <c r="D538" s="32">
        <f t="shared" si="49"/>
        <v>-5826178.9500000002</v>
      </c>
      <c r="E538" s="32"/>
      <c r="F538" s="32"/>
      <c r="G538" s="29">
        <f t="shared" si="45"/>
        <v>-5826178.9500000002</v>
      </c>
      <c r="H538" s="30"/>
      <c r="I538" s="31">
        <f t="shared" si="50"/>
        <v>233106</v>
      </c>
      <c r="J538" s="32">
        <v>113286</v>
      </c>
      <c r="K538" s="32"/>
      <c r="L538" s="29">
        <f t="shared" si="47"/>
        <v>346392</v>
      </c>
      <c r="M538" s="33">
        <f t="shared" si="48"/>
        <v>-5479786.9500000002</v>
      </c>
    </row>
    <row r="539" spans="1:16" ht="15.6" x14ac:dyDescent="0.3">
      <c r="A539" s="25">
        <v>47</v>
      </c>
      <c r="B539" s="73">
        <v>2440</v>
      </c>
      <c r="C539" s="36" t="s">
        <v>60</v>
      </c>
      <c r="D539" s="32">
        <f t="shared" si="49"/>
        <v>-1471906.7999999998</v>
      </c>
      <c r="E539" s="32">
        <v>-485626</v>
      </c>
      <c r="F539" s="32"/>
      <c r="G539" s="29">
        <f t="shared" si="45"/>
        <v>-1957532.7999999998</v>
      </c>
      <c r="H539"/>
      <c r="I539" s="31">
        <f t="shared" si="50"/>
        <v>19080</v>
      </c>
      <c r="J539" s="32">
        <f>28636+6754+3</f>
        <v>35393</v>
      </c>
      <c r="K539" s="32"/>
      <c r="L539" s="29">
        <f t="shared" si="47"/>
        <v>54473</v>
      </c>
      <c r="M539" s="33">
        <f t="shared" si="48"/>
        <v>-1903059.7999999998</v>
      </c>
    </row>
    <row r="540" spans="1:16" x14ac:dyDescent="0.3">
      <c r="A540" s="46"/>
      <c r="B540" s="46"/>
      <c r="C540" s="47"/>
      <c r="D540" s="32">
        <v>0</v>
      </c>
      <c r="E540" s="48"/>
      <c r="F540" s="48"/>
      <c r="G540" s="29">
        <v>0</v>
      </c>
      <c r="H540"/>
      <c r="I540" s="31">
        <v>0</v>
      </c>
      <c r="J540" s="48"/>
      <c r="K540" s="48"/>
      <c r="L540" s="29">
        <v>0</v>
      </c>
      <c r="M540" s="33">
        <v>0</v>
      </c>
    </row>
    <row r="541" spans="1:16" x14ac:dyDescent="0.3">
      <c r="A541" s="46"/>
      <c r="B541" s="46"/>
      <c r="C541" s="49" t="s">
        <v>61</v>
      </c>
      <c r="D541" s="50">
        <f t="shared" ref="D541:L541" si="51">SUM(D500:D540)</f>
        <v>33641294.759999998</v>
      </c>
      <c r="E541" s="50">
        <f>SUM(E500:E540)</f>
        <v>4121074.7500000009</v>
      </c>
      <c r="F541" s="50">
        <f t="shared" si="51"/>
        <v>-1349022.8399999999</v>
      </c>
      <c r="G541" s="50">
        <f t="shared" si="51"/>
        <v>36413346.669999994</v>
      </c>
      <c r="H541" s="50">
        <f t="shared" si="51"/>
        <v>0</v>
      </c>
      <c r="I541" s="50">
        <f t="shared" si="51"/>
        <v>-2496282.04</v>
      </c>
      <c r="J541" s="50">
        <f t="shared" si="51"/>
        <v>-1713864.2200000004</v>
      </c>
      <c r="K541" s="50">
        <f t="shared" si="51"/>
        <v>1349022.8399999999</v>
      </c>
      <c r="L541" s="50">
        <f t="shared" si="51"/>
        <v>-2861123.4200000004</v>
      </c>
      <c r="M541" s="50">
        <f>SUM(M500:M540)</f>
        <v>33552223.249999996</v>
      </c>
      <c r="N541" s="93"/>
    </row>
    <row r="542" spans="1:16" ht="26.4" x14ac:dyDescent="0.3">
      <c r="A542" s="46"/>
      <c r="B542" s="46"/>
      <c r="C542" s="51" t="s">
        <v>62</v>
      </c>
      <c r="D542" s="48"/>
      <c r="E542" s="48"/>
      <c r="F542" s="48"/>
      <c r="G542" s="29"/>
      <c r="H542"/>
      <c r="I542" s="48"/>
      <c r="J542" s="48"/>
      <c r="K542" s="48"/>
      <c r="L542" s="29">
        <v>0</v>
      </c>
      <c r="M542" s="33"/>
    </row>
    <row r="543" spans="1:16" ht="26.4" x14ac:dyDescent="0.3">
      <c r="A543" s="46"/>
      <c r="B543" s="46"/>
      <c r="C543" s="52" t="s">
        <v>63</v>
      </c>
      <c r="D543" s="48"/>
      <c r="E543" s="48"/>
      <c r="F543" s="48"/>
      <c r="G543" s="29">
        <v>0</v>
      </c>
      <c r="H543"/>
      <c r="I543" s="48"/>
      <c r="J543" s="48"/>
      <c r="K543" s="48"/>
      <c r="L543" s="29">
        <v>0</v>
      </c>
      <c r="M543" s="33">
        <v>0</v>
      </c>
    </row>
    <row r="544" spans="1:16" x14ac:dyDescent="0.3">
      <c r="A544" s="46"/>
      <c r="B544" s="46"/>
      <c r="C544" s="49" t="s">
        <v>65</v>
      </c>
      <c r="D544" s="50">
        <f>SUM(D541:D543)</f>
        <v>33641294.759999998</v>
      </c>
      <c r="E544" s="50">
        <f t="shared" ref="E544:M544" si="52">SUM(E541:E543)</f>
        <v>4121074.7500000009</v>
      </c>
      <c r="F544" s="50">
        <f t="shared" si="52"/>
        <v>-1349022.8399999999</v>
      </c>
      <c r="G544" s="50">
        <f t="shared" si="52"/>
        <v>36413346.669999994</v>
      </c>
      <c r="H544" s="50">
        <f t="shared" si="52"/>
        <v>0</v>
      </c>
      <c r="I544" s="50">
        <f t="shared" si="52"/>
        <v>-2496282.04</v>
      </c>
      <c r="J544" s="50">
        <f t="shared" si="52"/>
        <v>-1713864.2200000004</v>
      </c>
      <c r="K544" s="50">
        <f t="shared" si="52"/>
        <v>1349022.8399999999</v>
      </c>
      <c r="L544" s="50">
        <f t="shared" si="52"/>
        <v>-2861123.4200000004</v>
      </c>
      <c r="M544" s="50">
        <f t="shared" si="52"/>
        <v>33552223.249999996</v>
      </c>
    </row>
    <row r="545" spans="1:15" ht="16.2" x14ac:dyDescent="0.3">
      <c r="A545" s="46"/>
      <c r="B545" s="46"/>
      <c r="C545" s="139" t="s">
        <v>66</v>
      </c>
      <c r="D545" s="140"/>
      <c r="E545" s="140"/>
      <c r="F545" s="140"/>
      <c r="G545" s="140"/>
      <c r="H545" s="140"/>
      <c r="I545" s="141"/>
      <c r="J545" s="48"/>
      <c r="K545" s="54"/>
      <c r="L545" s="55"/>
      <c r="M545" s="56"/>
    </row>
    <row r="546" spans="1:15" x14ac:dyDescent="0.3">
      <c r="A546" s="46"/>
      <c r="B546" s="46"/>
      <c r="C546" s="139" t="s">
        <v>67</v>
      </c>
      <c r="D546" s="140"/>
      <c r="E546" s="140"/>
      <c r="F546" s="140"/>
      <c r="G546" s="140"/>
      <c r="H546" s="140"/>
      <c r="I546" s="141"/>
      <c r="J546" s="50">
        <f>J544</f>
        <v>-1713864.2200000004</v>
      </c>
      <c r="K546" s="54"/>
      <c r="L546" s="55"/>
      <c r="M546" s="56"/>
      <c r="N546" s="161"/>
      <c r="O546" s="161"/>
    </row>
    <row r="547" spans="1:15" x14ac:dyDescent="0.3">
      <c r="C547"/>
      <c r="D547" s="74"/>
      <c r="E547" s="74"/>
      <c r="F547" s="74"/>
      <c r="G547" s="74"/>
      <c r="H547" s="75"/>
      <c r="I547" s="74"/>
      <c r="J547" s="74"/>
      <c r="K547" s="74"/>
      <c r="L547"/>
      <c r="M547" s="56"/>
      <c r="N547" s="161"/>
      <c r="O547" s="161"/>
    </row>
    <row r="548" spans="1:15" x14ac:dyDescent="0.3">
      <c r="C548"/>
      <c r="D548"/>
      <c r="E548"/>
      <c r="F548"/>
      <c r="G548"/>
      <c r="H548"/>
      <c r="I548" s="58" t="s">
        <v>68</v>
      </c>
      <c r="J548" s="59"/>
      <c r="K548"/>
      <c r="L548"/>
      <c r="M548" s="56"/>
      <c r="N548" s="161"/>
      <c r="O548" s="161"/>
    </row>
    <row r="549" spans="1:15" x14ac:dyDescent="0.3">
      <c r="A549" s="46">
        <v>10</v>
      </c>
      <c r="B549" s="46"/>
      <c r="C549" s="47" t="s">
        <v>69</v>
      </c>
      <c r="D549"/>
      <c r="E549"/>
      <c r="F549"/>
      <c r="G549"/>
      <c r="H549"/>
      <c r="I549" s="59" t="s">
        <v>69</v>
      </c>
      <c r="J549" s="59"/>
      <c r="K549" s="60"/>
      <c r="L549"/>
      <c r="M549" s="56"/>
      <c r="N549" s="161"/>
      <c r="O549" s="161"/>
    </row>
    <row r="550" spans="1:15" x14ac:dyDescent="0.3">
      <c r="A550" s="46">
        <v>8</v>
      </c>
      <c r="B550" s="46"/>
      <c r="C550" s="47" t="s">
        <v>47</v>
      </c>
      <c r="D550"/>
      <c r="E550"/>
      <c r="F550"/>
      <c r="G550"/>
      <c r="H550"/>
      <c r="I550" s="59" t="s">
        <v>47</v>
      </c>
      <c r="J550" s="59"/>
      <c r="K550" s="61"/>
      <c r="L550"/>
      <c r="M550" s="56"/>
      <c r="N550" s="161"/>
      <c r="O550" s="161"/>
    </row>
    <row r="551" spans="1:15" x14ac:dyDescent="0.3">
      <c r="C551"/>
      <c r="D551"/>
      <c r="E551"/>
      <c r="F551"/>
      <c r="G551"/>
      <c r="H551"/>
      <c r="I551" s="62" t="s">
        <v>70</v>
      </c>
      <c r="J551"/>
      <c r="K551" s="63">
        <f>J546</f>
        <v>-1713864.2200000004</v>
      </c>
      <c r="L551"/>
      <c r="M551" s="3"/>
      <c r="N551" s="161"/>
      <c r="O551" s="161"/>
    </row>
    <row r="552" spans="1:15" x14ac:dyDescent="0.3">
      <c r="C552"/>
      <c r="D552" s="77">
        <f>D544-G452</f>
        <v>0</v>
      </c>
      <c r="E552"/>
      <c r="F552"/>
      <c r="G552"/>
      <c r="H552"/>
      <c r="I552" s="77">
        <f>I544-L455</f>
        <v>0</v>
      </c>
      <c r="J552"/>
      <c r="K552"/>
      <c r="L552"/>
      <c r="M552" s="3"/>
      <c r="N552" s="161"/>
      <c r="O552" s="161"/>
    </row>
    <row r="553" spans="1:15" x14ac:dyDescent="0.3">
      <c r="A553" s="64" t="s">
        <v>71</v>
      </c>
      <c r="C553"/>
      <c r="D553"/>
      <c r="E553"/>
      <c r="F553"/>
      <c r="G553"/>
      <c r="H553"/>
      <c r="I553"/>
      <c r="J553"/>
      <c r="K553"/>
      <c r="L553"/>
      <c r="M553" s="56"/>
      <c r="N553" s="161"/>
      <c r="O553" s="161"/>
    </row>
    <row r="554" spans="1:15" x14ac:dyDescent="0.3">
      <c r="C554"/>
      <c r="D554"/>
      <c r="E554"/>
      <c r="F554"/>
      <c r="G554"/>
      <c r="H554"/>
      <c r="I554" s="80"/>
      <c r="J554"/>
      <c r="K554"/>
      <c r="L554"/>
      <c r="M554" s="162"/>
      <c r="N554" s="161"/>
      <c r="O554" s="161"/>
    </row>
    <row r="555" spans="1:15" x14ac:dyDescent="0.3">
      <c r="A555" s="1">
        <v>1</v>
      </c>
      <c r="B555" s="142" t="s">
        <v>72</v>
      </c>
      <c r="C555" s="142"/>
      <c r="D555" s="142"/>
      <c r="E555" s="142"/>
      <c r="F555" s="142"/>
      <c r="G555" s="142"/>
      <c r="H555" s="142"/>
      <c r="I555" s="142"/>
      <c r="J555" s="142"/>
      <c r="K555" s="142"/>
      <c r="L555" s="142"/>
      <c r="M555" s="142"/>
    </row>
    <row r="556" spans="1:15" x14ac:dyDescent="0.3">
      <c r="B556" s="142"/>
      <c r="C556" s="142"/>
      <c r="D556" s="142"/>
      <c r="E556" s="142"/>
      <c r="F556" s="142"/>
      <c r="G556" s="142"/>
      <c r="H556" s="142"/>
      <c r="I556" s="142"/>
      <c r="J556" s="142"/>
      <c r="K556" s="142"/>
      <c r="L556" s="142"/>
      <c r="M556" s="142"/>
    </row>
    <row r="557" spans="1:15" x14ac:dyDescent="0.3">
      <c r="C557"/>
      <c r="D557"/>
      <c r="E557"/>
      <c r="F557"/>
      <c r="G557"/>
      <c r="H557"/>
      <c r="I557"/>
      <c r="J557"/>
      <c r="K557"/>
      <c r="L557"/>
      <c r="M557"/>
    </row>
    <row r="558" spans="1:15" x14ac:dyDescent="0.3">
      <c r="A558" s="1">
        <v>2</v>
      </c>
      <c r="B558" s="143" t="s">
        <v>73</v>
      </c>
      <c r="C558" s="143"/>
      <c r="D558" s="143"/>
      <c r="E558" s="143"/>
      <c r="F558" s="143"/>
      <c r="G558" s="143"/>
      <c r="H558" s="143"/>
      <c r="I558" s="143"/>
      <c r="J558" s="143"/>
      <c r="K558" s="143"/>
      <c r="L558" s="143"/>
      <c r="M558" s="143"/>
    </row>
    <row r="559" spans="1:15" x14ac:dyDescent="0.3">
      <c r="B559" s="143"/>
      <c r="C559" s="143"/>
      <c r="D559" s="143"/>
      <c r="E559" s="143"/>
      <c r="F559" s="143"/>
      <c r="G559" s="143"/>
      <c r="H559" s="143"/>
      <c r="I559" s="143"/>
      <c r="J559" s="143"/>
      <c r="K559" s="143"/>
      <c r="L559" s="143"/>
      <c r="M559" s="143"/>
    </row>
    <row r="560" spans="1:15" x14ac:dyDescent="0.3">
      <c r="C560"/>
      <c r="D560"/>
      <c r="E560"/>
      <c r="F560"/>
      <c r="G560"/>
      <c r="H560"/>
      <c r="I560"/>
      <c r="J560"/>
      <c r="K560"/>
      <c r="L560"/>
      <c r="M560"/>
    </row>
    <row r="561" spans="1:13" s="2" customFormat="1" ht="13.2" x14ac:dyDescent="0.25">
      <c r="A561" s="1">
        <v>3</v>
      </c>
      <c r="B561" s="144" t="s">
        <v>74</v>
      </c>
      <c r="C561" s="144"/>
      <c r="D561" s="144"/>
      <c r="E561" s="144"/>
      <c r="F561" s="144"/>
      <c r="G561" s="144"/>
      <c r="H561" s="144"/>
      <c r="I561" s="144"/>
      <c r="J561" s="144"/>
      <c r="K561" s="144"/>
      <c r="L561" s="144"/>
      <c r="M561" s="144"/>
    </row>
    <row r="562" spans="1:13" s="2" customFormat="1" x14ac:dyDescent="0.3">
      <c r="A562" s="1"/>
      <c r="B562" s="1"/>
      <c r="C562"/>
      <c r="D562"/>
      <c r="E562"/>
      <c r="F562"/>
      <c r="G562"/>
      <c r="H562"/>
      <c r="I562"/>
      <c r="J562"/>
      <c r="K562"/>
      <c r="L562"/>
      <c r="M562"/>
    </row>
    <row r="563" spans="1:13" s="2" customFormat="1" x14ac:dyDescent="0.3">
      <c r="A563" s="1">
        <v>4</v>
      </c>
      <c r="B563" s="65" t="s">
        <v>75</v>
      </c>
      <c r="C563" s="12"/>
      <c r="D563"/>
      <c r="E563"/>
      <c r="F563"/>
      <c r="G563"/>
      <c r="H563"/>
      <c r="I563"/>
      <c r="J563"/>
      <c r="K563"/>
      <c r="L563"/>
      <c r="M563"/>
    </row>
    <row r="564" spans="1:13" s="2" customFormat="1" x14ac:dyDescent="0.3">
      <c r="A564" s="1"/>
      <c r="B564" s="1"/>
      <c r="C564"/>
      <c r="D564"/>
      <c r="E564"/>
      <c r="F564"/>
      <c r="G564"/>
      <c r="H564"/>
      <c r="I564"/>
      <c r="J564"/>
      <c r="K564"/>
      <c r="L564"/>
      <c r="M564"/>
    </row>
    <row r="565" spans="1:13" s="2" customFormat="1" x14ac:dyDescent="0.3">
      <c r="A565" s="1">
        <v>5</v>
      </c>
      <c r="B565" s="66" t="s">
        <v>76</v>
      </c>
      <c r="C565"/>
      <c r="D565"/>
      <c r="E565"/>
      <c r="F565"/>
      <c r="G565"/>
      <c r="H565"/>
      <c r="I565"/>
      <c r="J565"/>
      <c r="K565"/>
      <c r="L565"/>
      <c r="M565"/>
    </row>
    <row r="566" spans="1:13" s="2" customFormat="1" x14ac:dyDescent="0.3">
      <c r="A566" s="1"/>
      <c r="B566" s="1"/>
      <c r="C566"/>
      <c r="D566"/>
      <c r="E566"/>
      <c r="F566"/>
      <c r="G566"/>
      <c r="H566"/>
      <c r="I566"/>
      <c r="J566"/>
      <c r="K566"/>
      <c r="L566"/>
      <c r="M566"/>
    </row>
    <row r="567" spans="1:13" s="2" customFormat="1" ht="13.2" x14ac:dyDescent="0.25">
      <c r="A567" s="1">
        <v>6</v>
      </c>
      <c r="B567" s="144" t="s">
        <v>77</v>
      </c>
      <c r="C567" s="144"/>
      <c r="D567" s="144"/>
      <c r="E567" s="144"/>
      <c r="F567" s="144"/>
      <c r="G567" s="144"/>
      <c r="H567" s="144"/>
      <c r="I567" s="144"/>
      <c r="J567" s="144"/>
      <c r="K567" s="144"/>
      <c r="L567" s="144"/>
      <c r="M567" s="144"/>
    </row>
    <row r="568" spans="1:13" s="2" customFormat="1" ht="13.2" x14ac:dyDescent="0.25">
      <c r="A568" s="1"/>
      <c r="B568" s="144"/>
      <c r="C568" s="144"/>
      <c r="D568" s="144"/>
      <c r="E568" s="144"/>
      <c r="F568" s="144"/>
      <c r="G568" s="144"/>
      <c r="H568" s="144"/>
      <c r="I568" s="144"/>
      <c r="J568" s="144"/>
      <c r="K568" s="144"/>
      <c r="L568" s="144"/>
      <c r="M568" s="144"/>
    </row>
    <row r="569" spans="1:13" s="2" customFormat="1" ht="13.2" x14ac:dyDescent="0.25">
      <c r="A569" s="1"/>
      <c r="B569" s="144"/>
      <c r="C569" s="144"/>
      <c r="D569" s="144"/>
      <c r="E569" s="144"/>
      <c r="F569" s="144"/>
      <c r="G569" s="144"/>
      <c r="H569" s="144"/>
      <c r="I569" s="144"/>
      <c r="J569" s="144"/>
      <c r="K569" s="144"/>
      <c r="L569" s="144"/>
      <c r="M569" s="144"/>
    </row>
    <row r="570" spans="1:13" s="2" customFormat="1" ht="13.2" x14ac:dyDescent="0.25">
      <c r="A570" s="1"/>
      <c r="B570" s="1"/>
      <c r="H570" s="3"/>
    </row>
    <row r="571" spans="1:13" s="2" customFormat="1" ht="13.2" x14ac:dyDescent="0.25">
      <c r="A571" s="1"/>
      <c r="B571" s="1"/>
      <c r="H571" s="3"/>
    </row>
    <row r="572" spans="1:13" s="2" customFormat="1" ht="13.2" x14ac:dyDescent="0.25">
      <c r="A572" s="1"/>
      <c r="B572" s="1"/>
      <c r="H572" s="3"/>
    </row>
    <row r="573" spans="1:13" s="2" customFormat="1" ht="13.2" x14ac:dyDescent="0.25">
      <c r="A573" s="1"/>
      <c r="B573" s="1"/>
      <c r="H573" s="3"/>
    </row>
    <row r="574" spans="1:13" s="2" customFormat="1" ht="13.2" x14ac:dyDescent="0.25">
      <c r="A574" s="1"/>
      <c r="B574" s="1"/>
      <c r="H574" s="3"/>
    </row>
    <row r="575" spans="1:13" s="2" customFormat="1" x14ac:dyDescent="0.3">
      <c r="A575" s="1"/>
      <c r="B575" s="1"/>
      <c r="C575"/>
      <c r="D575"/>
      <c r="E575"/>
      <c r="F575"/>
      <c r="G575"/>
      <c r="H575"/>
      <c r="I575"/>
      <c r="J575"/>
      <c r="K575"/>
      <c r="L575" s="68"/>
      <c r="M575" s="69"/>
    </row>
    <row r="576" spans="1:13" s="2" customFormat="1" x14ac:dyDescent="0.3">
      <c r="A576" s="1"/>
      <c r="B576" s="1"/>
      <c r="C576"/>
      <c r="D576"/>
      <c r="E576"/>
      <c r="F576"/>
      <c r="G576"/>
      <c r="H576"/>
      <c r="I576"/>
      <c r="J576"/>
      <c r="K576"/>
      <c r="L576" s="68"/>
      <c r="M576" s="70"/>
    </row>
    <row r="577" spans="1:13" s="2" customFormat="1" x14ac:dyDescent="0.3">
      <c r="A577" s="1"/>
      <c r="B577" s="1"/>
      <c r="C577"/>
      <c r="D577"/>
      <c r="E577"/>
      <c r="F577"/>
      <c r="G577"/>
      <c r="H577"/>
      <c r="I577"/>
      <c r="J577"/>
      <c r="K577"/>
      <c r="L577" s="68"/>
      <c r="M577" s="70"/>
    </row>
    <row r="578" spans="1:13" s="2" customFormat="1" x14ac:dyDescent="0.3">
      <c r="A578" s="1"/>
      <c r="B578" s="1"/>
      <c r="C578"/>
      <c r="D578"/>
      <c r="E578"/>
      <c r="F578"/>
      <c r="G578"/>
      <c r="H578"/>
      <c r="I578"/>
      <c r="J578"/>
      <c r="K578"/>
      <c r="L578" s="68"/>
      <c r="M578" s="70"/>
    </row>
    <row r="579" spans="1:13" s="2" customFormat="1" x14ac:dyDescent="0.3">
      <c r="A579" s="1"/>
      <c r="B579" s="1"/>
      <c r="C579"/>
      <c r="D579"/>
      <c r="E579"/>
      <c r="F579"/>
      <c r="G579"/>
      <c r="H579"/>
      <c r="I579"/>
      <c r="J579"/>
      <c r="K579"/>
      <c r="L579" s="68"/>
      <c r="M579" s="71"/>
    </row>
    <row r="580" spans="1:13" s="2" customFormat="1" x14ac:dyDescent="0.3">
      <c r="A580" s="1"/>
      <c r="B580" s="1"/>
      <c r="C580"/>
      <c r="D580"/>
      <c r="E580"/>
      <c r="F580"/>
      <c r="G580"/>
      <c r="H580"/>
      <c r="I580"/>
      <c r="J580"/>
      <c r="K580"/>
      <c r="L580" s="68"/>
      <c r="M580" s="71"/>
    </row>
    <row r="581" spans="1:13" s="2" customFormat="1" x14ac:dyDescent="0.3">
      <c r="A581" s="1"/>
      <c r="B581" s="1"/>
      <c r="C581" s="94"/>
      <c r="E581"/>
      <c r="F581"/>
      <c r="G581"/>
      <c r="H581"/>
      <c r="I581"/>
      <c r="J581"/>
      <c r="K581"/>
      <c r="L581" s="68"/>
      <c r="M581" s="71"/>
    </row>
    <row r="582" spans="1:13" s="2" customFormat="1" x14ac:dyDescent="0.3">
      <c r="A582" s="1"/>
      <c r="B582" s="1"/>
      <c r="C582" s="94"/>
      <c r="E582"/>
      <c r="F582"/>
      <c r="G582"/>
      <c r="H582"/>
      <c r="I582"/>
      <c r="J582"/>
      <c r="K582"/>
      <c r="L582"/>
      <c r="M582"/>
    </row>
    <row r="583" spans="1:13" s="2" customFormat="1" ht="17.399999999999999" x14ac:dyDescent="0.25">
      <c r="A583" s="138" t="s">
        <v>6</v>
      </c>
      <c r="B583" s="138"/>
      <c r="C583" s="138"/>
      <c r="D583" s="138"/>
      <c r="E583" s="138"/>
      <c r="F583" s="138"/>
      <c r="G583" s="138"/>
      <c r="H583" s="138"/>
      <c r="I583" s="138"/>
      <c r="J583" s="138"/>
      <c r="K583" s="138"/>
      <c r="L583" s="138"/>
      <c r="M583" s="138"/>
    </row>
    <row r="584" spans="1:13" s="2" customFormat="1" ht="19.2" x14ac:dyDescent="0.25">
      <c r="A584" s="138" t="s">
        <v>7</v>
      </c>
      <c r="B584" s="138"/>
      <c r="C584" s="138"/>
      <c r="D584" s="138"/>
      <c r="E584" s="138"/>
      <c r="F584" s="138"/>
      <c r="G584" s="138"/>
      <c r="H584" s="138"/>
      <c r="I584" s="138"/>
      <c r="J584" s="138"/>
      <c r="K584" s="138"/>
      <c r="L584" s="138"/>
      <c r="M584" s="138"/>
    </row>
    <row r="585" spans="1:13" s="2" customFormat="1" x14ac:dyDescent="0.3">
      <c r="A585" s="1"/>
      <c r="B585" s="1"/>
      <c r="C585"/>
      <c r="D585"/>
      <c r="E585"/>
      <c r="F585"/>
      <c r="G585"/>
      <c r="I585"/>
      <c r="J585"/>
      <c r="K585"/>
      <c r="L585"/>
      <c r="M585"/>
    </row>
    <row r="586" spans="1:13" s="2" customFormat="1" x14ac:dyDescent="0.3">
      <c r="A586" s="1"/>
      <c r="B586" s="1"/>
      <c r="C586"/>
      <c r="D586"/>
      <c r="E586" s="10" t="s">
        <v>8</v>
      </c>
      <c r="F586" s="11" t="s">
        <v>79</v>
      </c>
      <c r="G586"/>
      <c r="I586"/>
      <c r="J586"/>
      <c r="K586"/>
      <c r="L586"/>
      <c r="M586"/>
    </row>
    <row r="587" spans="1:13" s="2" customFormat="1" x14ac:dyDescent="0.3">
      <c r="A587" s="1"/>
      <c r="B587" s="1"/>
      <c r="C587" s="12"/>
      <c r="D587"/>
      <c r="E587" s="10" t="s">
        <v>10</v>
      </c>
      <c r="F587" s="13">
        <v>2017</v>
      </c>
      <c r="G587" s="14"/>
      <c r="H587"/>
      <c r="I587"/>
      <c r="J587"/>
      <c r="K587"/>
      <c r="L587"/>
      <c r="M587"/>
    </row>
    <row r="588" spans="1:13" s="2" customFormat="1" x14ac:dyDescent="0.3">
      <c r="A588" s="1"/>
      <c r="B588" s="1"/>
      <c r="C588"/>
      <c r="D588"/>
      <c r="E588"/>
      <c r="F588"/>
      <c r="G588"/>
      <c r="H588"/>
      <c r="I588"/>
      <c r="J588"/>
      <c r="K588"/>
      <c r="L588"/>
      <c r="M588"/>
    </row>
    <row r="589" spans="1:13" s="2" customFormat="1" x14ac:dyDescent="0.3">
      <c r="A589" s="1"/>
      <c r="B589" s="1"/>
      <c r="C589"/>
      <c r="D589" s="135" t="s">
        <v>11</v>
      </c>
      <c r="E589" s="136"/>
      <c r="F589" s="136"/>
      <c r="G589" s="137"/>
      <c r="H589"/>
      <c r="I589" s="15"/>
      <c r="J589" s="16" t="s">
        <v>12</v>
      </c>
      <c r="K589" s="16"/>
      <c r="L589" s="17"/>
      <c r="M589" s="3"/>
    </row>
    <row r="590" spans="1:13" s="2" customFormat="1" ht="28.95" x14ac:dyDescent="0.25">
      <c r="A590" s="18" t="s">
        <v>13</v>
      </c>
      <c r="B590" s="18" t="s">
        <v>14</v>
      </c>
      <c r="C590" s="19" t="s">
        <v>15</v>
      </c>
      <c r="D590" s="18" t="s">
        <v>16</v>
      </c>
      <c r="E590" s="20" t="s">
        <v>17</v>
      </c>
      <c r="F590" s="20" t="s">
        <v>18</v>
      </c>
      <c r="G590" s="18" t="s">
        <v>19</v>
      </c>
      <c r="H590" s="21"/>
      <c r="I590" s="22" t="s">
        <v>16</v>
      </c>
      <c r="J590" s="23" t="s">
        <v>20</v>
      </c>
      <c r="K590" s="23" t="s">
        <v>18</v>
      </c>
      <c r="L590" s="24" t="s">
        <v>19</v>
      </c>
      <c r="M590" s="18" t="s">
        <v>21</v>
      </c>
    </row>
    <row r="591" spans="1:13" s="2" customFormat="1" ht="26.4" x14ac:dyDescent="0.3">
      <c r="A591" s="25">
        <v>12</v>
      </c>
      <c r="B591" s="73">
        <v>1611</v>
      </c>
      <c r="C591" s="27" t="s">
        <v>22</v>
      </c>
      <c r="D591" s="32">
        <f>G500</f>
        <v>735510.7300000001</v>
      </c>
      <c r="E591" s="32">
        <v>36904</v>
      </c>
      <c r="F591" s="32"/>
      <c r="G591" s="29">
        <f>SUM(D591:F591)</f>
        <v>772414.7300000001</v>
      </c>
      <c r="H591" s="30"/>
      <c r="I591" s="31">
        <f>L500</f>
        <v>-370259.65</v>
      </c>
      <c r="J591" s="92">
        <v>-87797</v>
      </c>
      <c r="K591" s="32"/>
      <c r="L591" s="29">
        <f>SUM(I591:K591)</f>
        <v>-458056.65</v>
      </c>
      <c r="M591" s="33">
        <f>G591+L591</f>
        <v>314358.08000000007</v>
      </c>
    </row>
    <row r="592" spans="1:13" s="2" customFormat="1" ht="26.4" x14ac:dyDescent="0.3">
      <c r="A592" s="73" t="s">
        <v>23</v>
      </c>
      <c r="B592" s="73">
        <v>1612</v>
      </c>
      <c r="C592" s="27" t="s">
        <v>24</v>
      </c>
      <c r="D592" s="32">
        <f>G501</f>
        <v>45679.040000000001</v>
      </c>
      <c r="E592" s="32"/>
      <c r="F592" s="32"/>
      <c r="G592" s="29">
        <f t="shared" ref="G592:G630" si="53">SUM(D592:F592)</f>
        <v>45679.040000000001</v>
      </c>
      <c r="H592" s="30"/>
      <c r="I592" s="31">
        <f>L501</f>
        <v>0</v>
      </c>
      <c r="J592" s="32">
        <v>0</v>
      </c>
      <c r="K592" s="32"/>
      <c r="L592" s="29">
        <f t="shared" ref="L592:L630" si="54">SUM(I592:K592)</f>
        <v>0</v>
      </c>
      <c r="M592" s="33">
        <f t="shared" ref="M592:M630" si="55">G592+L592</f>
        <v>45679.040000000001</v>
      </c>
    </row>
    <row r="593" spans="1:16" x14ac:dyDescent="0.3">
      <c r="A593" s="73"/>
      <c r="B593" s="73">
        <v>1655</v>
      </c>
      <c r="C593" s="27" t="s">
        <v>80</v>
      </c>
      <c r="D593" s="32">
        <f>G502</f>
        <v>163929</v>
      </c>
      <c r="E593" s="32">
        <v>2300</v>
      </c>
      <c r="F593" s="32"/>
      <c r="G593" s="29">
        <f t="shared" si="53"/>
        <v>166229</v>
      </c>
      <c r="H593" s="30"/>
      <c r="I593" s="31">
        <f>+L502</f>
        <v>0</v>
      </c>
      <c r="J593" s="32">
        <v>-3668</v>
      </c>
      <c r="K593" s="32"/>
      <c r="L593" s="29">
        <f t="shared" si="54"/>
        <v>-3668</v>
      </c>
      <c r="M593" s="33">
        <f t="shared" si="55"/>
        <v>162561</v>
      </c>
    </row>
    <row r="594" spans="1:16" x14ac:dyDescent="0.3">
      <c r="A594" s="73" t="s">
        <v>25</v>
      </c>
      <c r="B594" s="73">
        <v>1805</v>
      </c>
      <c r="C594" s="35" t="s">
        <v>26</v>
      </c>
      <c r="D594" s="32">
        <f>G503</f>
        <v>178544.08000000002</v>
      </c>
      <c r="E594" s="32"/>
      <c r="F594" s="32"/>
      <c r="G594" s="29">
        <f t="shared" si="53"/>
        <v>178544.08000000002</v>
      </c>
      <c r="H594" s="30"/>
      <c r="I594" s="31">
        <f t="shared" ref="I594:I630" si="56">L503</f>
        <v>0</v>
      </c>
      <c r="J594" s="32">
        <v>0</v>
      </c>
      <c r="K594" s="32"/>
      <c r="L594" s="29">
        <f t="shared" si="54"/>
        <v>0</v>
      </c>
      <c r="M594" s="33">
        <f t="shared" si="55"/>
        <v>178544.08000000002</v>
      </c>
    </row>
    <row r="595" spans="1:16" x14ac:dyDescent="0.3">
      <c r="A595" s="25">
        <v>47</v>
      </c>
      <c r="B595" s="73">
        <v>1808</v>
      </c>
      <c r="C595" s="36" t="s">
        <v>27</v>
      </c>
      <c r="D595" s="32">
        <f t="shared" ref="D595:D630" si="57">G504</f>
        <v>181389.01</v>
      </c>
      <c r="E595" s="32">
        <v>825593</v>
      </c>
      <c r="F595" s="32"/>
      <c r="G595" s="29">
        <f t="shared" si="53"/>
        <v>1006982.01</v>
      </c>
      <c r="H595" s="30"/>
      <c r="I595" s="31">
        <f t="shared" si="56"/>
        <v>-12769.23</v>
      </c>
      <c r="J595" s="32">
        <v>-11428</v>
      </c>
      <c r="K595" s="32"/>
      <c r="L595" s="29">
        <f t="shared" si="54"/>
        <v>-24197.23</v>
      </c>
      <c r="M595" s="33">
        <f t="shared" si="55"/>
        <v>982784.78</v>
      </c>
    </row>
    <row r="596" spans="1:16" x14ac:dyDescent="0.3">
      <c r="A596" s="25">
        <v>13</v>
      </c>
      <c r="B596" s="34">
        <v>1810</v>
      </c>
      <c r="C596" s="36" t="s">
        <v>28</v>
      </c>
      <c r="D596" s="32">
        <f t="shared" si="57"/>
        <v>0</v>
      </c>
      <c r="E596" s="32"/>
      <c r="F596" s="32"/>
      <c r="G596" s="29">
        <f t="shared" si="53"/>
        <v>0</v>
      </c>
      <c r="H596" s="30"/>
      <c r="I596" s="31">
        <f t="shared" si="56"/>
        <v>0</v>
      </c>
      <c r="J596" s="32">
        <v>0</v>
      </c>
      <c r="K596" s="32"/>
      <c r="L596" s="29">
        <f t="shared" si="54"/>
        <v>0</v>
      </c>
      <c r="M596" s="33">
        <f t="shared" si="55"/>
        <v>0</v>
      </c>
    </row>
    <row r="597" spans="1:16" x14ac:dyDescent="0.3">
      <c r="A597" s="25">
        <v>47</v>
      </c>
      <c r="B597" s="34">
        <v>1815</v>
      </c>
      <c r="C597" s="36" t="s">
        <v>29</v>
      </c>
      <c r="D597" s="32">
        <f t="shared" si="57"/>
        <v>0</v>
      </c>
      <c r="E597" s="32"/>
      <c r="F597" s="32"/>
      <c r="G597" s="29">
        <f t="shared" si="53"/>
        <v>0</v>
      </c>
      <c r="H597" s="30"/>
      <c r="I597" s="31">
        <f t="shared" si="56"/>
        <v>0</v>
      </c>
      <c r="J597" s="32">
        <v>0</v>
      </c>
      <c r="K597" s="32"/>
      <c r="L597" s="29">
        <f t="shared" si="54"/>
        <v>0</v>
      </c>
      <c r="M597" s="33">
        <f t="shared" si="55"/>
        <v>0</v>
      </c>
    </row>
    <row r="598" spans="1:16" x14ac:dyDescent="0.3">
      <c r="A598" s="25">
        <v>47</v>
      </c>
      <c r="B598" s="73">
        <v>1820</v>
      </c>
      <c r="C598" s="27" t="s">
        <v>30</v>
      </c>
      <c r="D598" s="32">
        <f t="shared" si="57"/>
        <v>367963</v>
      </c>
      <c r="E598" s="32"/>
      <c r="F598" s="32"/>
      <c r="G598" s="29">
        <f t="shared" si="53"/>
        <v>367963</v>
      </c>
      <c r="H598" s="30"/>
      <c r="I598" s="31">
        <f t="shared" si="56"/>
        <v>-13318.730000000001</v>
      </c>
      <c r="J598" s="32">
        <v>-9727.65</v>
      </c>
      <c r="K598" s="32"/>
      <c r="L598" s="29">
        <f t="shared" si="54"/>
        <v>-23046.38</v>
      </c>
      <c r="M598" s="33">
        <f t="shared" si="55"/>
        <v>344916.62</v>
      </c>
    </row>
    <row r="599" spans="1:16" x14ac:dyDescent="0.3">
      <c r="A599" s="25">
        <v>47</v>
      </c>
      <c r="B599" s="34">
        <v>1825</v>
      </c>
      <c r="C599" s="36" t="s">
        <v>31</v>
      </c>
      <c r="D599" s="32">
        <f t="shared" si="57"/>
        <v>0</v>
      </c>
      <c r="E599" s="32"/>
      <c r="F599" s="32"/>
      <c r="G599" s="29">
        <f t="shared" si="53"/>
        <v>0</v>
      </c>
      <c r="H599" s="30"/>
      <c r="I599" s="31">
        <f t="shared" si="56"/>
        <v>0</v>
      </c>
      <c r="J599" s="32">
        <v>0</v>
      </c>
      <c r="K599" s="32"/>
      <c r="L599" s="29">
        <f t="shared" si="54"/>
        <v>0</v>
      </c>
      <c r="M599" s="33">
        <f t="shared" si="55"/>
        <v>0</v>
      </c>
    </row>
    <row r="600" spans="1:16" x14ac:dyDescent="0.3">
      <c r="A600" s="25">
        <v>47</v>
      </c>
      <c r="B600" s="73">
        <v>1830</v>
      </c>
      <c r="C600" s="36" t="s">
        <v>32</v>
      </c>
      <c r="D600" s="32">
        <f t="shared" si="57"/>
        <v>6316020.5300000003</v>
      </c>
      <c r="E600" s="92">
        <v>369794</v>
      </c>
      <c r="F600" s="32">
        <v>-13790</v>
      </c>
      <c r="G600" s="29">
        <f t="shared" si="53"/>
        <v>6672024.5300000003</v>
      </c>
      <c r="H600" s="30"/>
      <c r="I600" s="31">
        <f t="shared" si="56"/>
        <v>-294777.45999999996</v>
      </c>
      <c r="J600" s="32">
        <v>-180918</v>
      </c>
      <c r="K600" s="32">
        <v>13790</v>
      </c>
      <c r="L600" s="29">
        <f t="shared" si="54"/>
        <v>-461905.45999999996</v>
      </c>
      <c r="M600" s="33">
        <f t="shared" si="55"/>
        <v>6210119.0700000003</v>
      </c>
    </row>
    <row r="601" spans="1:16" x14ac:dyDescent="0.3">
      <c r="A601" s="25">
        <v>47</v>
      </c>
      <c r="B601" s="34">
        <v>1835</v>
      </c>
      <c r="C601" s="95" t="s">
        <v>33</v>
      </c>
      <c r="D601" s="32">
        <f t="shared" si="57"/>
        <v>7648538.7299999995</v>
      </c>
      <c r="E601" s="92">
        <v>576537</v>
      </c>
      <c r="F601" s="32">
        <f>-86402+86402</f>
        <v>0</v>
      </c>
      <c r="G601" s="29">
        <f t="shared" si="53"/>
        <v>8225075.7299999995</v>
      </c>
      <c r="H601" s="30"/>
      <c r="I601" s="31">
        <f t="shared" si="56"/>
        <v>-336184.43</v>
      </c>
      <c r="J601" s="32">
        <v>-252681</v>
      </c>
      <c r="K601" s="32">
        <v>86402</v>
      </c>
      <c r="L601" s="29">
        <f t="shared" si="54"/>
        <v>-502463.42999999993</v>
      </c>
      <c r="M601" s="33">
        <f t="shared" si="55"/>
        <v>7722612.2999999998</v>
      </c>
      <c r="O601" s="53"/>
    </row>
    <row r="602" spans="1:16" x14ac:dyDescent="0.3">
      <c r="A602" s="25">
        <v>47</v>
      </c>
      <c r="B602" s="34">
        <v>1840</v>
      </c>
      <c r="C602" s="36" t="s">
        <v>34</v>
      </c>
      <c r="D602" s="32">
        <f t="shared" si="57"/>
        <v>2742687.09</v>
      </c>
      <c r="E602" s="92">
        <v>33204</v>
      </c>
      <c r="F602" s="32"/>
      <c r="G602" s="29">
        <f t="shared" si="53"/>
        <v>2775891.09</v>
      </c>
      <c r="H602" s="30"/>
      <c r="I602" s="31">
        <f t="shared" si="56"/>
        <v>-207038</v>
      </c>
      <c r="J602" s="32">
        <v>-74909</v>
      </c>
      <c r="K602" s="32"/>
      <c r="L602" s="29">
        <f t="shared" si="54"/>
        <v>-281947</v>
      </c>
      <c r="M602" s="33">
        <f t="shared" si="55"/>
        <v>2493944.09</v>
      </c>
      <c r="O602" s="53"/>
    </row>
    <row r="603" spans="1:16" x14ac:dyDescent="0.3">
      <c r="A603" s="25">
        <v>47</v>
      </c>
      <c r="B603" s="34">
        <v>1845</v>
      </c>
      <c r="C603" s="36" t="s">
        <v>35</v>
      </c>
      <c r="D603" s="32">
        <f t="shared" si="57"/>
        <v>6466233.4999999991</v>
      </c>
      <c r="E603" s="92">
        <f>445731+15</f>
        <v>445746</v>
      </c>
      <c r="F603" s="32">
        <v>-40799</v>
      </c>
      <c r="G603" s="29">
        <f t="shared" si="53"/>
        <v>6871180.4999999991</v>
      </c>
      <c r="H603" s="30"/>
      <c r="I603" s="31">
        <f t="shared" si="56"/>
        <v>-254690.97999999998</v>
      </c>
      <c r="J603" s="32">
        <v>-186471</v>
      </c>
      <c r="K603" s="32">
        <v>40799</v>
      </c>
      <c r="L603" s="29">
        <f t="shared" si="54"/>
        <v>-400362.98</v>
      </c>
      <c r="M603" s="33">
        <f t="shared" si="55"/>
        <v>6470817.5199999996</v>
      </c>
      <c r="O603" s="53"/>
    </row>
    <row r="604" spans="1:16" x14ac:dyDescent="0.3">
      <c r="A604" s="25">
        <v>47</v>
      </c>
      <c r="B604" s="34">
        <v>1850</v>
      </c>
      <c r="C604" s="95" t="s">
        <v>36</v>
      </c>
      <c r="D604" s="32">
        <f t="shared" si="57"/>
        <v>7978532.4599999981</v>
      </c>
      <c r="E604" s="92">
        <v>407574</v>
      </c>
      <c r="F604" s="32">
        <f>-155630+204799</f>
        <v>49169</v>
      </c>
      <c r="G604" s="29">
        <f t="shared" si="53"/>
        <v>8435275.4599999972</v>
      </c>
      <c r="H604" s="30"/>
      <c r="I604" s="31">
        <f t="shared" si="56"/>
        <v>-261508.18</v>
      </c>
      <c r="J604" s="32">
        <v>-236250</v>
      </c>
      <c r="K604" s="32">
        <f>155630-291201</f>
        <v>-135571</v>
      </c>
      <c r="L604" s="29">
        <f t="shared" si="54"/>
        <v>-633329.17999999993</v>
      </c>
      <c r="M604" s="33">
        <f t="shared" si="55"/>
        <v>7801946.2799999975</v>
      </c>
      <c r="O604" s="53"/>
    </row>
    <row r="605" spans="1:16" x14ac:dyDescent="0.3">
      <c r="A605" s="25">
        <v>47</v>
      </c>
      <c r="B605" s="34">
        <v>1855</v>
      </c>
      <c r="C605" s="36" t="s">
        <v>37</v>
      </c>
      <c r="D605" s="32">
        <f t="shared" si="57"/>
        <v>4446294.1800000006</v>
      </c>
      <c r="E605" s="32">
        <v>451417</v>
      </c>
      <c r="F605" s="32"/>
      <c r="G605" s="29">
        <f t="shared" si="53"/>
        <v>4897711.1800000006</v>
      </c>
      <c r="H605" s="30"/>
      <c r="I605" s="31">
        <f t="shared" si="56"/>
        <v>-252472</v>
      </c>
      <c r="J605" s="32">
        <v>-102638</v>
      </c>
      <c r="K605" s="32"/>
      <c r="L605" s="29">
        <f t="shared" si="54"/>
        <v>-355110</v>
      </c>
      <c r="M605" s="33">
        <f t="shared" si="55"/>
        <v>4542601.1800000006</v>
      </c>
      <c r="O605" s="53"/>
    </row>
    <row r="606" spans="1:16" x14ac:dyDescent="0.3">
      <c r="A606" s="25">
        <v>47</v>
      </c>
      <c r="B606" s="34">
        <v>1860</v>
      </c>
      <c r="C606" s="36" t="s">
        <v>38</v>
      </c>
      <c r="D606" s="32">
        <f t="shared" si="57"/>
        <v>1641542.54</v>
      </c>
      <c r="E606" s="32">
        <v>390221</v>
      </c>
      <c r="F606" s="32">
        <v>-46500</v>
      </c>
      <c r="G606" s="29">
        <f t="shared" si="53"/>
        <v>1985263.54</v>
      </c>
      <c r="H606" s="30"/>
      <c r="I606" s="31">
        <f t="shared" si="56"/>
        <v>-513778</v>
      </c>
      <c r="J606" s="32">
        <v>-130201</v>
      </c>
      <c r="K606" s="32">
        <v>28830</v>
      </c>
      <c r="L606" s="29">
        <f t="shared" si="54"/>
        <v>-615149</v>
      </c>
      <c r="M606" s="33">
        <f t="shared" si="55"/>
        <v>1370114.54</v>
      </c>
      <c r="O606" s="53"/>
    </row>
    <row r="607" spans="1:16" x14ac:dyDescent="0.3">
      <c r="A607" s="25">
        <v>47</v>
      </c>
      <c r="B607" s="34">
        <v>1860</v>
      </c>
      <c r="C607" s="35" t="s">
        <v>39</v>
      </c>
      <c r="D607" s="32">
        <f t="shared" si="57"/>
        <v>2539245.25</v>
      </c>
      <c r="E607" s="32"/>
      <c r="F607" s="32"/>
      <c r="G607" s="29">
        <f t="shared" si="53"/>
        <v>2539245.25</v>
      </c>
      <c r="H607" s="30"/>
      <c r="I607" s="31">
        <f t="shared" si="56"/>
        <v>-412750.17000000004</v>
      </c>
      <c r="J607" s="32">
        <v>-231658</v>
      </c>
      <c r="K607" s="32"/>
      <c r="L607" s="29">
        <f t="shared" si="54"/>
        <v>-644408.17000000004</v>
      </c>
      <c r="M607" s="33">
        <f t="shared" si="55"/>
        <v>1894837.08</v>
      </c>
      <c r="P607" s="91"/>
    </row>
    <row r="608" spans="1:16" x14ac:dyDescent="0.3">
      <c r="A608" s="25" t="s">
        <v>25</v>
      </c>
      <c r="B608" s="34">
        <v>1905</v>
      </c>
      <c r="C608" s="35" t="s">
        <v>26</v>
      </c>
      <c r="D608" s="32">
        <f t="shared" si="57"/>
        <v>0</v>
      </c>
      <c r="E608" s="32"/>
      <c r="F608" s="32"/>
      <c r="G608" s="29">
        <f t="shared" si="53"/>
        <v>0</v>
      </c>
      <c r="H608" s="30"/>
      <c r="I608" s="31">
        <f t="shared" si="56"/>
        <v>0</v>
      </c>
      <c r="J608" s="32">
        <v>0</v>
      </c>
      <c r="K608" s="32"/>
      <c r="L608" s="29">
        <f t="shared" si="54"/>
        <v>0</v>
      </c>
      <c r="M608" s="33">
        <f t="shared" si="55"/>
        <v>0</v>
      </c>
      <c r="P608" s="96"/>
    </row>
    <row r="609" spans="1:15" x14ac:dyDescent="0.3">
      <c r="A609" s="25">
        <v>47</v>
      </c>
      <c r="B609" s="34">
        <v>1908</v>
      </c>
      <c r="C609" s="36" t="s">
        <v>40</v>
      </c>
      <c r="D609" s="32">
        <f t="shared" si="57"/>
        <v>0</v>
      </c>
      <c r="E609" s="32"/>
      <c r="F609" s="32"/>
      <c r="G609" s="29">
        <f t="shared" si="53"/>
        <v>0</v>
      </c>
      <c r="H609" s="30"/>
      <c r="I609" s="31">
        <f t="shared" si="56"/>
        <v>0</v>
      </c>
      <c r="J609" s="32">
        <v>0</v>
      </c>
      <c r="K609" s="32"/>
      <c r="L609" s="29">
        <f t="shared" si="54"/>
        <v>0</v>
      </c>
      <c r="M609" s="33">
        <f t="shared" si="55"/>
        <v>0</v>
      </c>
    </row>
    <row r="610" spans="1:15" x14ac:dyDescent="0.3">
      <c r="A610" s="25">
        <v>13</v>
      </c>
      <c r="B610" s="73">
        <v>1910</v>
      </c>
      <c r="C610" s="36" t="s">
        <v>28</v>
      </c>
      <c r="D610" s="32">
        <f t="shared" si="57"/>
        <v>439555.26</v>
      </c>
      <c r="E610" s="32">
        <v>34132</v>
      </c>
      <c r="F610" s="32">
        <v>-28675</v>
      </c>
      <c r="G610" s="29">
        <f t="shared" si="53"/>
        <v>445012.26</v>
      </c>
      <c r="H610" s="30"/>
      <c r="I610" s="31">
        <f t="shared" si="56"/>
        <v>-19114.98</v>
      </c>
      <c r="J610" s="32">
        <v>-8613</v>
      </c>
      <c r="K610" s="32">
        <v>1436</v>
      </c>
      <c r="L610" s="29">
        <f t="shared" si="54"/>
        <v>-26291.98</v>
      </c>
      <c r="M610" s="33">
        <f t="shared" si="55"/>
        <v>418720.28</v>
      </c>
    </row>
    <row r="611" spans="1:15" x14ac:dyDescent="0.3">
      <c r="A611" s="25">
        <v>8</v>
      </c>
      <c r="B611" s="73">
        <v>1915</v>
      </c>
      <c r="C611" s="36" t="s">
        <v>41</v>
      </c>
      <c r="D611" s="32">
        <f t="shared" si="57"/>
        <v>29418</v>
      </c>
      <c r="E611" s="32">
        <v>750</v>
      </c>
      <c r="F611" s="32"/>
      <c r="G611" s="29">
        <f t="shared" si="53"/>
        <v>30168</v>
      </c>
      <c r="H611" s="30"/>
      <c r="I611" s="31">
        <f t="shared" si="56"/>
        <v>-10673.6</v>
      </c>
      <c r="J611" s="32">
        <v>-4084</v>
      </c>
      <c r="K611" s="32"/>
      <c r="L611" s="29">
        <f t="shared" si="54"/>
        <v>-14757.6</v>
      </c>
      <c r="M611" s="33">
        <f t="shared" si="55"/>
        <v>15410.4</v>
      </c>
    </row>
    <row r="612" spans="1:15" x14ac:dyDescent="0.3">
      <c r="A612" s="25">
        <v>8</v>
      </c>
      <c r="B612" s="34">
        <v>1915</v>
      </c>
      <c r="C612" s="36" t="s">
        <v>42</v>
      </c>
      <c r="D612" s="32">
        <f t="shared" si="57"/>
        <v>0</v>
      </c>
      <c r="E612" s="32"/>
      <c r="F612" s="32"/>
      <c r="G612" s="29">
        <f t="shared" si="53"/>
        <v>0</v>
      </c>
      <c r="H612" s="30"/>
      <c r="I612" s="31">
        <f t="shared" si="56"/>
        <v>0</v>
      </c>
      <c r="J612" s="32">
        <v>0</v>
      </c>
      <c r="K612" s="32"/>
      <c r="L612" s="29">
        <f t="shared" si="54"/>
        <v>0</v>
      </c>
      <c r="M612" s="33">
        <f t="shared" si="55"/>
        <v>0</v>
      </c>
    </row>
    <row r="613" spans="1:15" x14ac:dyDescent="0.3">
      <c r="A613" s="25">
        <v>10</v>
      </c>
      <c r="B613" s="34">
        <v>1920</v>
      </c>
      <c r="C613" s="36" t="s">
        <v>43</v>
      </c>
      <c r="D613" s="32">
        <f t="shared" si="57"/>
        <v>0</v>
      </c>
      <c r="E613" s="32"/>
      <c r="F613" s="32"/>
      <c r="G613" s="29">
        <f t="shared" si="53"/>
        <v>0</v>
      </c>
      <c r="H613" s="30"/>
      <c r="I613" s="31">
        <f t="shared" si="56"/>
        <v>0</v>
      </c>
      <c r="J613" s="32">
        <v>0</v>
      </c>
      <c r="K613" s="32"/>
      <c r="L613" s="29">
        <f t="shared" si="54"/>
        <v>0</v>
      </c>
      <c r="M613" s="33">
        <f t="shared" si="55"/>
        <v>0</v>
      </c>
    </row>
    <row r="614" spans="1:15" ht="26.4" x14ac:dyDescent="0.3">
      <c r="A614" s="25">
        <v>45</v>
      </c>
      <c r="B614" s="38">
        <v>1920</v>
      </c>
      <c r="C614" s="27" t="s">
        <v>44</v>
      </c>
      <c r="D614" s="32">
        <f t="shared" si="57"/>
        <v>0</v>
      </c>
      <c r="E614" s="32"/>
      <c r="F614" s="32"/>
      <c r="G614" s="29">
        <f t="shared" si="53"/>
        <v>0</v>
      </c>
      <c r="H614" s="30"/>
      <c r="I614" s="31">
        <f t="shared" si="56"/>
        <v>0</v>
      </c>
      <c r="J614" s="32">
        <v>0</v>
      </c>
      <c r="K614" s="32"/>
      <c r="L614" s="29">
        <f t="shared" si="54"/>
        <v>0</v>
      </c>
      <c r="M614" s="33">
        <f t="shared" si="55"/>
        <v>0</v>
      </c>
    </row>
    <row r="615" spans="1:15" ht="26.4" x14ac:dyDescent="0.3">
      <c r="A615" s="25">
        <v>45.1</v>
      </c>
      <c r="B615" s="81">
        <v>1920</v>
      </c>
      <c r="C615" s="27" t="s">
        <v>45</v>
      </c>
      <c r="D615" s="32">
        <f t="shared" si="57"/>
        <v>151089.15</v>
      </c>
      <c r="E615" s="32">
        <v>11824</v>
      </c>
      <c r="F615" s="32"/>
      <c r="G615" s="29">
        <f t="shared" si="53"/>
        <v>162913.15</v>
      </c>
      <c r="H615" s="30"/>
      <c r="I615" s="31">
        <f t="shared" si="56"/>
        <v>-84503.95</v>
      </c>
      <c r="J615" s="32">
        <v>-30696</v>
      </c>
      <c r="K615" s="32"/>
      <c r="L615" s="29">
        <f t="shared" si="54"/>
        <v>-115199.95</v>
      </c>
      <c r="M615" s="33">
        <f t="shared" si="55"/>
        <v>47713.2</v>
      </c>
    </row>
    <row r="616" spans="1:15" x14ac:dyDescent="0.3">
      <c r="A616" s="25">
        <v>10</v>
      </c>
      <c r="B616" s="73">
        <v>1930</v>
      </c>
      <c r="C616" s="36" t="s">
        <v>46</v>
      </c>
      <c r="D616" s="32">
        <f t="shared" si="57"/>
        <v>1093031.2600000009</v>
      </c>
      <c r="E616" s="32">
        <f>147220+376188</f>
        <v>523408</v>
      </c>
      <c r="F616" s="32">
        <v>-19029</v>
      </c>
      <c r="G616" s="29">
        <f t="shared" si="53"/>
        <v>1597410.2600000009</v>
      </c>
      <c r="H616" s="30"/>
      <c r="I616" s="31">
        <f t="shared" si="56"/>
        <v>118573.33999999997</v>
      </c>
      <c r="J616" s="32">
        <v>-220065</v>
      </c>
      <c r="K616" s="32">
        <f>-376188+20686</f>
        <v>-355502</v>
      </c>
      <c r="L616" s="29">
        <f t="shared" si="54"/>
        <v>-456993.66000000003</v>
      </c>
      <c r="M616" s="33">
        <f t="shared" si="55"/>
        <v>1140416.600000001</v>
      </c>
    </row>
    <row r="617" spans="1:15" x14ac:dyDescent="0.3">
      <c r="A617" s="25">
        <v>8</v>
      </c>
      <c r="B617" s="26">
        <v>1935</v>
      </c>
      <c r="C617" s="36" t="s">
        <v>47</v>
      </c>
      <c r="D617" s="32">
        <f t="shared" si="57"/>
        <v>0</v>
      </c>
      <c r="E617" s="32"/>
      <c r="F617" s="32"/>
      <c r="G617" s="29">
        <f t="shared" si="53"/>
        <v>0</v>
      </c>
      <c r="H617" s="30"/>
      <c r="I617" s="31">
        <f t="shared" si="56"/>
        <v>0</v>
      </c>
      <c r="J617" s="32">
        <v>0</v>
      </c>
      <c r="K617" s="32"/>
      <c r="L617" s="29">
        <f t="shared" si="54"/>
        <v>0</v>
      </c>
      <c r="M617" s="33">
        <f t="shared" si="55"/>
        <v>0</v>
      </c>
    </row>
    <row r="618" spans="1:15" x14ac:dyDescent="0.3">
      <c r="A618" s="25">
        <v>8</v>
      </c>
      <c r="B618" s="73">
        <v>1940</v>
      </c>
      <c r="C618" s="36" t="s">
        <v>48</v>
      </c>
      <c r="D618" s="32">
        <f t="shared" si="57"/>
        <v>315089.78999999998</v>
      </c>
      <c r="E618" s="32">
        <v>15751</v>
      </c>
      <c r="F618" s="32">
        <v>-102098</v>
      </c>
      <c r="G618" s="29">
        <f t="shared" si="53"/>
        <v>228742.78999999998</v>
      </c>
      <c r="H618" s="30"/>
      <c r="I618" s="31">
        <f t="shared" si="56"/>
        <v>-54188.039999999994</v>
      </c>
      <c r="J618" s="32">
        <v>-18882</v>
      </c>
      <c r="K618" s="32">
        <v>102098</v>
      </c>
      <c r="L618" s="29">
        <f t="shared" si="54"/>
        <v>29027.960000000006</v>
      </c>
      <c r="M618" s="33">
        <f t="shared" si="55"/>
        <v>257770.75</v>
      </c>
      <c r="O618" s="53"/>
    </row>
    <row r="619" spans="1:15" x14ac:dyDescent="0.3">
      <c r="A619" s="25">
        <v>8</v>
      </c>
      <c r="B619" s="73">
        <v>1945</v>
      </c>
      <c r="C619" s="36" t="s">
        <v>49</v>
      </c>
      <c r="D619" s="32">
        <f t="shared" si="57"/>
        <v>25813.14</v>
      </c>
      <c r="E619" s="32"/>
      <c r="F619" s="32"/>
      <c r="G619" s="29">
        <f t="shared" si="53"/>
        <v>25813.14</v>
      </c>
      <c r="H619" s="30"/>
      <c r="I619" s="31">
        <f t="shared" si="56"/>
        <v>-8539.7900000000009</v>
      </c>
      <c r="J619" s="32">
        <v>-3885</v>
      </c>
      <c r="K619" s="32"/>
      <c r="L619" s="29">
        <f t="shared" si="54"/>
        <v>-12424.79</v>
      </c>
      <c r="M619" s="33">
        <f t="shared" si="55"/>
        <v>13388.349999999999</v>
      </c>
    </row>
    <row r="620" spans="1:15" x14ac:dyDescent="0.3">
      <c r="A620" s="25">
        <v>8</v>
      </c>
      <c r="B620" s="73">
        <v>1950</v>
      </c>
      <c r="C620" s="36" t="s">
        <v>50</v>
      </c>
      <c r="D620" s="32">
        <f t="shared" si="57"/>
        <v>204450.59</v>
      </c>
      <c r="E620" s="32"/>
      <c r="F620" s="32"/>
      <c r="G620" s="29">
        <f t="shared" si="53"/>
        <v>204450.59</v>
      </c>
      <c r="H620" s="30"/>
      <c r="I620" s="31">
        <f t="shared" si="56"/>
        <v>-77093.59</v>
      </c>
      <c r="J620" s="32">
        <v>-85691</v>
      </c>
      <c r="K620" s="32"/>
      <c r="L620" s="29">
        <f t="shared" si="54"/>
        <v>-162784.59</v>
      </c>
      <c r="M620" s="33">
        <f t="shared" si="55"/>
        <v>41666</v>
      </c>
    </row>
    <row r="621" spans="1:15" x14ac:dyDescent="0.3">
      <c r="A621" s="25">
        <v>8</v>
      </c>
      <c r="B621" s="73">
        <v>1955</v>
      </c>
      <c r="C621" s="36" t="s">
        <v>51</v>
      </c>
      <c r="D621" s="32">
        <f t="shared" si="57"/>
        <v>31915.4</v>
      </c>
      <c r="E621" s="32">
        <v>23482</v>
      </c>
      <c r="F621" s="32"/>
      <c r="G621" s="29">
        <f t="shared" si="53"/>
        <v>55397.4</v>
      </c>
      <c r="H621" s="30"/>
      <c r="I621" s="31">
        <f t="shared" si="56"/>
        <v>-3191.54</v>
      </c>
      <c r="J621" s="32">
        <v>-8731</v>
      </c>
      <c r="K621" s="32"/>
      <c r="L621" s="29">
        <f t="shared" si="54"/>
        <v>-11922.54</v>
      </c>
      <c r="M621" s="33">
        <f t="shared" si="55"/>
        <v>43474.86</v>
      </c>
    </row>
    <row r="622" spans="1:15" x14ac:dyDescent="0.3">
      <c r="A622" s="40">
        <v>8</v>
      </c>
      <c r="B622" s="38">
        <v>1955</v>
      </c>
      <c r="C622" s="41" t="s">
        <v>52</v>
      </c>
      <c r="D622" s="32">
        <f t="shared" si="57"/>
        <v>0</v>
      </c>
      <c r="E622" s="32"/>
      <c r="F622" s="32"/>
      <c r="G622" s="29">
        <f t="shared" si="53"/>
        <v>0</v>
      </c>
      <c r="H622" s="30"/>
      <c r="I622" s="31">
        <f t="shared" si="56"/>
        <v>0</v>
      </c>
      <c r="J622" s="32">
        <v>0</v>
      </c>
      <c r="K622" s="32"/>
      <c r="L622" s="29">
        <f t="shared" si="54"/>
        <v>0</v>
      </c>
      <c r="M622" s="33">
        <f t="shared" si="55"/>
        <v>0</v>
      </c>
    </row>
    <row r="623" spans="1:15" x14ac:dyDescent="0.3">
      <c r="A623" s="40">
        <v>8</v>
      </c>
      <c r="B623" s="42">
        <v>1960</v>
      </c>
      <c r="C623" s="27" t="s">
        <v>53</v>
      </c>
      <c r="D623" s="32">
        <f t="shared" si="57"/>
        <v>0</v>
      </c>
      <c r="E623" s="32"/>
      <c r="F623" s="32"/>
      <c r="G623" s="29">
        <f t="shared" si="53"/>
        <v>0</v>
      </c>
      <c r="H623" s="30"/>
      <c r="I623" s="31">
        <f t="shared" si="56"/>
        <v>0</v>
      </c>
      <c r="J623" s="32">
        <v>0</v>
      </c>
      <c r="K623" s="32"/>
      <c r="L623" s="29">
        <f t="shared" si="54"/>
        <v>0</v>
      </c>
      <c r="M623" s="33">
        <f t="shared" si="55"/>
        <v>0</v>
      </c>
    </row>
    <row r="624" spans="1:15" ht="26.4" x14ac:dyDescent="0.3">
      <c r="A624" s="43">
        <v>47</v>
      </c>
      <c r="B624" s="42">
        <v>1970</v>
      </c>
      <c r="C624" s="36" t="s">
        <v>54</v>
      </c>
      <c r="D624" s="32">
        <f t="shared" si="57"/>
        <v>0</v>
      </c>
      <c r="E624" s="32"/>
      <c r="F624" s="32"/>
      <c r="G624" s="29">
        <f t="shared" si="53"/>
        <v>0</v>
      </c>
      <c r="H624" s="30"/>
      <c r="I624" s="31">
        <f t="shared" si="56"/>
        <v>0</v>
      </c>
      <c r="J624" s="32">
        <v>0</v>
      </c>
      <c r="K624" s="32"/>
      <c r="L624" s="29">
        <f t="shared" si="54"/>
        <v>0</v>
      </c>
      <c r="M624" s="33">
        <f t="shared" si="55"/>
        <v>0</v>
      </c>
    </row>
    <row r="625" spans="1:16" x14ac:dyDescent="0.3">
      <c r="A625" s="25">
        <v>47</v>
      </c>
      <c r="B625" s="26">
        <v>1975</v>
      </c>
      <c r="C625" s="36" t="s">
        <v>55</v>
      </c>
      <c r="D625" s="32">
        <f t="shared" si="57"/>
        <v>0</v>
      </c>
      <c r="E625" s="32"/>
      <c r="F625" s="32"/>
      <c r="G625" s="29">
        <f t="shared" si="53"/>
        <v>0</v>
      </c>
      <c r="H625" s="30"/>
      <c r="I625" s="31">
        <f t="shared" si="56"/>
        <v>0</v>
      </c>
      <c r="J625" s="32">
        <v>0</v>
      </c>
      <c r="K625" s="32"/>
      <c r="L625" s="29">
        <f t="shared" si="54"/>
        <v>0</v>
      </c>
      <c r="M625" s="33">
        <f t="shared" si="55"/>
        <v>0</v>
      </c>
    </row>
    <row r="626" spans="1:16" x14ac:dyDescent="0.3">
      <c r="A626" s="25">
        <v>47</v>
      </c>
      <c r="B626" s="73">
        <v>1980</v>
      </c>
      <c r="C626" s="36" t="s">
        <v>56</v>
      </c>
      <c r="D626" s="32">
        <f t="shared" si="57"/>
        <v>454586.69</v>
      </c>
      <c r="E626" s="32">
        <v>55759</v>
      </c>
      <c r="F626" s="32">
        <v>-213965</v>
      </c>
      <c r="G626" s="29">
        <f t="shared" si="53"/>
        <v>296380.69</v>
      </c>
      <c r="H626" s="30"/>
      <c r="I626" s="31">
        <f t="shared" si="56"/>
        <v>-193709.44</v>
      </c>
      <c r="J626" s="32">
        <v>-97338</v>
      </c>
      <c r="K626" s="32">
        <v>213965</v>
      </c>
      <c r="L626" s="29">
        <f t="shared" si="54"/>
        <v>-77082.44</v>
      </c>
      <c r="M626" s="33">
        <f t="shared" si="55"/>
        <v>219298.25</v>
      </c>
      <c r="P626" s="91"/>
    </row>
    <row r="627" spans="1:16" x14ac:dyDescent="0.3">
      <c r="A627" s="25">
        <v>47</v>
      </c>
      <c r="B627" s="26">
        <v>1985</v>
      </c>
      <c r="C627" s="36" t="s">
        <v>57</v>
      </c>
      <c r="D627" s="32">
        <f t="shared" si="57"/>
        <v>0</v>
      </c>
      <c r="E627" s="32"/>
      <c r="F627" s="32"/>
      <c r="G627" s="29">
        <f t="shared" si="53"/>
        <v>0</v>
      </c>
      <c r="H627" s="30"/>
      <c r="I627" s="31">
        <f t="shared" si="56"/>
        <v>0</v>
      </c>
      <c r="J627" s="32">
        <v>0</v>
      </c>
      <c r="K627" s="32"/>
      <c r="L627" s="29">
        <f t="shared" si="54"/>
        <v>0</v>
      </c>
      <c r="M627" s="33">
        <f t="shared" si="55"/>
        <v>0</v>
      </c>
    </row>
    <row r="628" spans="1:16" x14ac:dyDescent="0.3">
      <c r="A628" s="43">
        <v>47</v>
      </c>
      <c r="B628" s="26">
        <v>1990</v>
      </c>
      <c r="C628" s="45" t="s">
        <v>58</v>
      </c>
      <c r="D628" s="32">
        <f t="shared" si="57"/>
        <v>0</v>
      </c>
      <c r="E628" s="32"/>
      <c r="F628" s="32"/>
      <c r="G628" s="29">
        <f t="shared" si="53"/>
        <v>0</v>
      </c>
      <c r="H628" s="30"/>
      <c r="I628" s="31">
        <f t="shared" si="56"/>
        <v>0</v>
      </c>
      <c r="J628" s="32">
        <v>0</v>
      </c>
      <c r="K628" s="32"/>
      <c r="L628" s="29">
        <f t="shared" si="54"/>
        <v>0</v>
      </c>
      <c r="M628" s="33">
        <f t="shared" si="55"/>
        <v>0</v>
      </c>
    </row>
    <row r="629" spans="1:16" x14ac:dyDescent="0.3">
      <c r="A629" s="25">
        <v>47</v>
      </c>
      <c r="B629" s="73">
        <v>1995</v>
      </c>
      <c r="C629" s="36" t="s">
        <v>59</v>
      </c>
      <c r="D629" s="32">
        <f t="shared" si="57"/>
        <v>-5826178.9500000002</v>
      </c>
      <c r="E629" s="32"/>
      <c r="F629" s="32"/>
      <c r="G629" s="29">
        <f t="shared" si="53"/>
        <v>-5826178.9500000002</v>
      </c>
      <c r="H629" s="30"/>
      <c r="I629" s="31">
        <f t="shared" si="56"/>
        <v>346392</v>
      </c>
      <c r="J629" s="32">
        <v>113286</v>
      </c>
      <c r="K629" s="32"/>
      <c r="L629" s="29">
        <f t="shared" si="54"/>
        <v>459678</v>
      </c>
      <c r="M629" s="33">
        <f t="shared" si="55"/>
        <v>-5366500.95</v>
      </c>
    </row>
    <row r="630" spans="1:16" ht="15.6" x14ac:dyDescent="0.3">
      <c r="A630" s="25">
        <v>47</v>
      </c>
      <c r="B630" s="73">
        <v>2440</v>
      </c>
      <c r="C630" s="36" t="s">
        <v>60</v>
      </c>
      <c r="D630" s="32">
        <f t="shared" si="57"/>
        <v>-1957532.7999999998</v>
      </c>
      <c r="E630" s="32">
        <v>-892192</v>
      </c>
      <c r="F630" s="32"/>
      <c r="G630" s="29">
        <f t="shared" si="53"/>
        <v>-2849724.8</v>
      </c>
      <c r="H630"/>
      <c r="I630" s="31">
        <f t="shared" si="56"/>
        <v>54473</v>
      </c>
      <c r="J630" s="32">
        <v>40060</v>
      </c>
      <c r="K630" s="32"/>
      <c r="L630" s="29">
        <f t="shared" si="54"/>
        <v>94533</v>
      </c>
      <c r="M630" s="33">
        <f t="shared" si="55"/>
        <v>-2755191.8</v>
      </c>
    </row>
    <row r="631" spans="1:16" x14ac:dyDescent="0.3">
      <c r="A631" s="46"/>
      <c r="B631" s="46"/>
      <c r="C631" s="47"/>
      <c r="D631" s="48"/>
      <c r="E631" s="48"/>
      <c r="F631" s="48"/>
      <c r="G631" s="29">
        <v>0</v>
      </c>
      <c r="H631"/>
      <c r="I631" s="48"/>
      <c r="J631" s="48"/>
      <c r="K631" s="48"/>
      <c r="L631" s="29">
        <v>0</v>
      </c>
      <c r="M631" s="33">
        <v>0</v>
      </c>
    </row>
    <row r="632" spans="1:16" x14ac:dyDescent="0.3">
      <c r="A632" s="46"/>
      <c r="B632" s="46"/>
      <c r="C632" s="49" t="s">
        <v>61</v>
      </c>
      <c r="D632" s="50">
        <f>SUM(D591:D631)</f>
        <v>36413346.669999994</v>
      </c>
      <c r="E632" s="50">
        <f t="shared" ref="E632:M632" si="58">SUM(E591:E631)</f>
        <v>3312204</v>
      </c>
      <c r="F632" s="50">
        <f t="shared" si="58"/>
        <v>-415687</v>
      </c>
      <c r="G632" s="50">
        <f t="shared" si="58"/>
        <v>39309863.669999994</v>
      </c>
      <c r="H632" s="50">
        <f t="shared" si="58"/>
        <v>0</v>
      </c>
      <c r="I632" s="50">
        <f t="shared" si="58"/>
        <v>-2861123.4200000004</v>
      </c>
      <c r="J632" s="50">
        <f>SUM(J591:J631)</f>
        <v>-1832985.65</v>
      </c>
      <c r="K632" s="50">
        <f t="shared" si="58"/>
        <v>-3753</v>
      </c>
      <c r="L632" s="50">
        <f t="shared" si="58"/>
        <v>-4697862.07</v>
      </c>
      <c r="M632" s="50">
        <f t="shared" si="58"/>
        <v>34612001.600000001</v>
      </c>
    </row>
    <row r="633" spans="1:16" ht="26.4" x14ac:dyDescent="0.3">
      <c r="A633" s="46"/>
      <c r="B633" s="46"/>
      <c r="C633" s="51" t="s">
        <v>62</v>
      </c>
      <c r="D633" s="32"/>
      <c r="E633" s="48"/>
      <c r="F633" s="48"/>
      <c r="G633" s="29"/>
      <c r="H633"/>
      <c r="I633" s="31"/>
      <c r="J633" s="32"/>
      <c r="K633" s="48"/>
      <c r="L633" s="29"/>
      <c r="M633" s="33"/>
    </row>
    <row r="634" spans="1:16" ht="26.4" x14ac:dyDescent="0.3">
      <c r="A634" s="46"/>
      <c r="B634" s="46"/>
      <c r="C634" s="52" t="s">
        <v>63</v>
      </c>
      <c r="D634" s="48"/>
      <c r="E634" s="48"/>
      <c r="F634" s="48"/>
      <c r="G634" s="29">
        <v>0</v>
      </c>
      <c r="H634"/>
      <c r="I634" s="48"/>
      <c r="J634" s="48"/>
      <c r="K634" s="48"/>
      <c r="L634" s="29">
        <v>0</v>
      </c>
      <c r="M634" s="33">
        <v>0</v>
      </c>
    </row>
    <row r="635" spans="1:16" x14ac:dyDescent="0.3">
      <c r="A635" s="46"/>
      <c r="B635" s="46"/>
      <c r="C635" s="49" t="s">
        <v>65</v>
      </c>
      <c r="D635" s="50">
        <f>SUM(D632:D634)</f>
        <v>36413346.669999994</v>
      </c>
      <c r="E635" s="50">
        <f t="shared" ref="E635:M635" si="59">SUM(E632:E634)</f>
        <v>3312204</v>
      </c>
      <c r="F635" s="50">
        <f t="shared" si="59"/>
        <v>-415687</v>
      </c>
      <c r="G635" s="50">
        <f t="shared" si="59"/>
        <v>39309863.669999994</v>
      </c>
      <c r="H635" s="50">
        <f t="shared" si="59"/>
        <v>0</v>
      </c>
      <c r="I635" s="50">
        <f t="shared" si="59"/>
        <v>-2861123.4200000004</v>
      </c>
      <c r="J635" s="50">
        <f t="shared" si="59"/>
        <v>-1832985.65</v>
      </c>
      <c r="K635" s="50">
        <f t="shared" si="59"/>
        <v>-3753</v>
      </c>
      <c r="L635" s="50">
        <f t="shared" si="59"/>
        <v>-4697862.07</v>
      </c>
      <c r="M635" s="50">
        <f t="shared" si="59"/>
        <v>34612001.600000001</v>
      </c>
    </row>
    <row r="636" spans="1:16" ht="16.2" x14ac:dyDescent="0.3">
      <c r="A636" s="46"/>
      <c r="B636" s="46"/>
      <c r="C636" s="139" t="s">
        <v>66</v>
      </c>
      <c r="D636" s="140"/>
      <c r="E636" s="140"/>
      <c r="F636" s="140"/>
      <c r="G636" s="140"/>
      <c r="H636" s="140"/>
      <c r="I636" s="141"/>
      <c r="J636" s="48"/>
      <c r="K636" s="54"/>
      <c r="L636" s="55"/>
      <c r="M636" s="56"/>
    </row>
    <row r="637" spans="1:16" x14ac:dyDescent="0.3">
      <c r="A637" s="46"/>
      <c r="B637" s="46"/>
      <c r="C637" s="139" t="s">
        <v>67</v>
      </c>
      <c r="D637" s="140"/>
      <c r="E637" s="140"/>
      <c r="F637" s="140"/>
      <c r="G637" s="140"/>
      <c r="H637" s="140"/>
      <c r="I637" s="141"/>
      <c r="J637" s="50">
        <f>J635+J636</f>
        <v>-1832985.65</v>
      </c>
      <c r="K637" s="54"/>
      <c r="L637" s="55"/>
      <c r="M637" s="56"/>
      <c r="N637" s="161"/>
      <c r="O637" s="161"/>
    </row>
    <row r="638" spans="1:16" x14ac:dyDescent="0.3">
      <c r="C638"/>
      <c r="D638"/>
      <c r="E638" s="76"/>
      <c r="F638"/>
      <c r="G638"/>
      <c r="H638"/>
      <c r="I638"/>
      <c r="J638"/>
      <c r="K638"/>
      <c r="L638"/>
      <c r="M638" s="56"/>
      <c r="N638" s="161"/>
      <c r="O638" s="161"/>
    </row>
    <row r="639" spans="1:16" x14ac:dyDescent="0.3">
      <c r="C639"/>
      <c r="D639"/>
      <c r="E639"/>
      <c r="F639"/>
      <c r="G639"/>
      <c r="H639"/>
      <c r="I639" s="58" t="s">
        <v>68</v>
      </c>
      <c r="J639" s="59"/>
      <c r="K639"/>
      <c r="L639"/>
      <c r="M639" s="56"/>
      <c r="N639" s="161"/>
      <c r="O639" s="161"/>
    </row>
    <row r="640" spans="1:16" x14ac:dyDescent="0.3">
      <c r="A640" s="46">
        <v>10</v>
      </c>
      <c r="B640" s="46"/>
      <c r="C640" s="47" t="s">
        <v>69</v>
      </c>
      <c r="D640"/>
      <c r="E640"/>
      <c r="F640"/>
      <c r="G640"/>
      <c r="H640"/>
      <c r="I640" s="59" t="s">
        <v>69</v>
      </c>
      <c r="J640" s="59"/>
      <c r="K640" s="60"/>
      <c r="L640"/>
      <c r="M640" s="56"/>
      <c r="N640" s="161"/>
      <c r="O640" s="161"/>
    </row>
    <row r="641" spans="1:15" x14ac:dyDescent="0.3">
      <c r="A641" s="46">
        <v>8</v>
      </c>
      <c r="B641" s="46"/>
      <c r="C641" s="47" t="s">
        <v>47</v>
      </c>
      <c r="D641"/>
      <c r="E641"/>
      <c r="F641"/>
      <c r="G641"/>
      <c r="H641"/>
      <c r="I641" s="59" t="s">
        <v>47</v>
      </c>
      <c r="J641" s="59"/>
      <c r="K641" s="61"/>
      <c r="L641"/>
      <c r="M641" s="56"/>
      <c r="N641" s="161"/>
      <c r="O641" s="161"/>
    </row>
    <row r="642" spans="1:15" x14ac:dyDescent="0.3">
      <c r="C642"/>
      <c r="D642"/>
      <c r="E642"/>
      <c r="F642"/>
      <c r="G642"/>
      <c r="H642"/>
      <c r="I642" s="62" t="s">
        <v>70</v>
      </c>
      <c r="J642"/>
      <c r="K642" s="63">
        <f>J637</f>
        <v>-1832985.65</v>
      </c>
      <c r="L642"/>
      <c r="M642" s="3"/>
      <c r="N642" s="161"/>
      <c r="O642" s="161"/>
    </row>
    <row r="643" spans="1:15" x14ac:dyDescent="0.3">
      <c r="C643"/>
      <c r="D643" s="77"/>
      <c r="E643"/>
      <c r="F643"/>
      <c r="G643"/>
      <c r="H643"/>
      <c r="I643" s="77"/>
      <c r="J643"/>
      <c r="K643"/>
      <c r="L643"/>
      <c r="M643" s="3"/>
      <c r="N643" s="161"/>
      <c r="O643" s="161"/>
    </row>
    <row r="644" spans="1:15" x14ac:dyDescent="0.3">
      <c r="A644" s="64" t="s">
        <v>71</v>
      </c>
      <c r="C644"/>
      <c r="D644"/>
      <c r="E644"/>
      <c r="F644"/>
      <c r="G644"/>
      <c r="H644"/>
      <c r="I644"/>
      <c r="J644"/>
      <c r="K644"/>
      <c r="L644"/>
      <c r="M644" s="56"/>
      <c r="N644" s="161"/>
      <c r="O644" s="161"/>
    </row>
    <row r="645" spans="1:15" x14ac:dyDescent="0.3">
      <c r="C645"/>
      <c r="D645"/>
      <c r="E645"/>
      <c r="F645"/>
      <c r="G645"/>
      <c r="H645"/>
      <c r="I645"/>
      <c r="J645"/>
      <c r="K645"/>
      <c r="L645"/>
      <c r="M645" s="162"/>
      <c r="N645" s="161"/>
      <c r="O645" s="161"/>
    </row>
    <row r="646" spans="1:15" x14ac:dyDescent="0.3">
      <c r="A646" s="1">
        <v>1</v>
      </c>
      <c r="B646" s="142" t="s">
        <v>72</v>
      </c>
      <c r="C646" s="142"/>
      <c r="D646" s="142"/>
      <c r="E646" s="142"/>
      <c r="F646" s="142"/>
      <c r="G646" s="142"/>
      <c r="H646" s="142"/>
      <c r="I646" s="142"/>
      <c r="J646" s="142"/>
      <c r="K646" s="142"/>
      <c r="L646" s="142"/>
      <c r="M646" s="142"/>
    </row>
    <row r="647" spans="1:15" x14ac:dyDescent="0.3">
      <c r="B647" s="142"/>
      <c r="C647" s="142"/>
      <c r="D647" s="142"/>
      <c r="E647" s="142"/>
      <c r="F647" s="142"/>
      <c r="G647" s="142"/>
      <c r="H647" s="142"/>
      <c r="I647" s="142"/>
      <c r="J647" s="142"/>
      <c r="K647" s="142"/>
      <c r="L647" s="142"/>
      <c r="M647" s="142"/>
    </row>
    <row r="648" spans="1:15" x14ac:dyDescent="0.3">
      <c r="C648"/>
      <c r="D648"/>
      <c r="E648"/>
      <c r="F648"/>
      <c r="G648"/>
      <c r="H648"/>
      <c r="I648"/>
      <c r="J648"/>
      <c r="K648"/>
      <c r="L648"/>
      <c r="M648"/>
    </row>
    <row r="649" spans="1:15" x14ac:dyDescent="0.3">
      <c r="A649" s="1">
        <v>2</v>
      </c>
      <c r="B649" s="143" t="s">
        <v>73</v>
      </c>
      <c r="C649" s="143"/>
      <c r="D649" s="143"/>
      <c r="E649" s="143"/>
      <c r="F649" s="143"/>
      <c r="G649" s="143"/>
      <c r="H649" s="143"/>
      <c r="I649" s="143"/>
      <c r="J649" s="143"/>
      <c r="K649" s="143"/>
      <c r="L649" s="143"/>
      <c r="M649" s="143"/>
    </row>
    <row r="650" spans="1:15" x14ac:dyDescent="0.3">
      <c r="B650" s="143"/>
      <c r="C650" s="143"/>
      <c r="D650" s="143"/>
      <c r="E650" s="143"/>
      <c r="F650" s="143"/>
      <c r="G650" s="143"/>
      <c r="H650" s="143"/>
      <c r="I650" s="143"/>
      <c r="J650" s="143"/>
      <c r="K650" s="143"/>
      <c r="L650" s="143"/>
      <c r="M650" s="143"/>
    </row>
    <row r="651" spans="1:15" x14ac:dyDescent="0.3">
      <c r="C651"/>
      <c r="D651"/>
      <c r="E651"/>
      <c r="F651"/>
      <c r="G651"/>
      <c r="H651"/>
      <c r="I651"/>
      <c r="J651"/>
      <c r="K651"/>
      <c r="L651"/>
      <c r="M651"/>
    </row>
    <row r="652" spans="1:15" x14ac:dyDescent="0.3">
      <c r="A652" s="1">
        <v>3</v>
      </c>
      <c r="B652" s="144" t="s">
        <v>74</v>
      </c>
      <c r="C652" s="144"/>
      <c r="D652" s="144"/>
      <c r="E652" s="144"/>
      <c r="F652" s="144"/>
      <c r="G652" s="144"/>
      <c r="H652" s="144"/>
      <c r="I652" s="144"/>
      <c r="J652" s="144"/>
      <c r="K652" s="144"/>
      <c r="L652" s="144"/>
      <c r="M652" s="144"/>
    </row>
    <row r="653" spans="1:15" x14ac:dyDescent="0.3">
      <c r="C653"/>
      <c r="D653"/>
      <c r="E653"/>
      <c r="F653"/>
      <c r="G653"/>
      <c r="H653"/>
      <c r="I653"/>
      <c r="J653"/>
      <c r="K653"/>
      <c r="L653"/>
      <c r="M653"/>
    </row>
    <row r="654" spans="1:15" x14ac:dyDescent="0.3">
      <c r="A654" s="1">
        <v>4</v>
      </c>
      <c r="B654" s="65" t="s">
        <v>75</v>
      </c>
      <c r="C654" s="12"/>
      <c r="D654"/>
      <c r="E654"/>
      <c r="F654"/>
      <c r="G654"/>
      <c r="H654"/>
      <c r="I654"/>
      <c r="J654"/>
      <c r="K654"/>
      <c r="L654"/>
      <c r="M654"/>
    </row>
    <row r="655" spans="1:15" x14ac:dyDescent="0.3">
      <c r="C655"/>
      <c r="D655"/>
      <c r="E655"/>
      <c r="F655"/>
      <c r="G655"/>
      <c r="H655"/>
      <c r="I655"/>
      <c r="J655"/>
      <c r="K655"/>
      <c r="L655"/>
      <c r="M655"/>
    </row>
    <row r="656" spans="1:15" x14ac:dyDescent="0.3">
      <c r="A656" s="1">
        <v>5</v>
      </c>
      <c r="B656" s="66" t="s">
        <v>76</v>
      </c>
      <c r="C656"/>
      <c r="D656"/>
      <c r="E656"/>
      <c r="F656"/>
      <c r="G656"/>
      <c r="H656"/>
      <c r="I656"/>
      <c r="J656"/>
      <c r="K656"/>
      <c r="L656"/>
      <c r="M656"/>
    </row>
    <row r="657" spans="1:13" s="2" customFormat="1" x14ac:dyDescent="0.3">
      <c r="A657" s="1"/>
      <c r="B657" s="1"/>
      <c r="C657"/>
      <c r="D657"/>
      <c r="E657"/>
      <c r="F657"/>
      <c r="G657"/>
      <c r="H657"/>
      <c r="I657"/>
      <c r="J657"/>
      <c r="K657"/>
      <c r="L657"/>
      <c r="M657"/>
    </row>
    <row r="658" spans="1:13" s="2" customFormat="1" ht="13.2" x14ac:dyDescent="0.25">
      <c r="A658" s="1">
        <v>6</v>
      </c>
      <c r="B658" s="144" t="s">
        <v>77</v>
      </c>
      <c r="C658" s="144"/>
      <c r="D658" s="144"/>
      <c r="E658" s="144"/>
      <c r="F658" s="144"/>
      <c r="G658" s="144"/>
      <c r="H658" s="144"/>
      <c r="I658" s="144"/>
      <c r="J658" s="144"/>
      <c r="K658" s="144"/>
      <c r="L658" s="144"/>
      <c r="M658" s="144"/>
    </row>
    <row r="659" spans="1:13" s="2" customFormat="1" ht="13.2" x14ac:dyDescent="0.25">
      <c r="A659" s="1"/>
      <c r="B659" s="144"/>
      <c r="C659" s="144"/>
      <c r="D659" s="144"/>
      <c r="E659" s="144"/>
      <c r="F659" s="144"/>
      <c r="G659" s="144"/>
      <c r="H659" s="144"/>
      <c r="I659" s="144"/>
      <c r="J659" s="144"/>
      <c r="K659" s="144"/>
      <c r="L659" s="144"/>
      <c r="M659" s="144"/>
    </row>
    <row r="660" spans="1:13" s="2" customFormat="1" ht="13.2" x14ac:dyDescent="0.25">
      <c r="A660" s="1"/>
      <c r="B660" s="144"/>
      <c r="C660" s="144"/>
      <c r="D660" s="144"/>
      <c r="E660" s="144"/>
      <c r="F660" s="144"/>
      <c r="G660" s="144"/>
      <c r="H660" s="144"/>
      <c r="I660" s="144"/>
      <c r="J660" s="144"/>
      <c r="K660" s="144"/>
      <c r="L660" s="144"/>
      <c r="M660" s="144"/>
    </row>
    <row r="661" spans="1:13" s="2" customFormat="1" ht="13.2" x14ac:dyDescent="0.25">
      <c r="A661" s="1"/>
      <c r="B661" s="1"/>
      <c r="H661" s="3"/>
    </row>
    <row r="662" spans="1:13" s="2" customFormat="1" ht="13.2" x14ac:dyDescent="0.25">
      <c r="A662" s="1"/>
      <c r="B662" s="1"/>
      <c r="H662" s="3"/>
    </row>
    <row r="663" spans="1:13" s="2" customFormat="1" ht="13.2" x14ac:dyDescent="0.25">
      <c r="A663" s="1"/>
      <c r="B663" s="1"/>
      <c r="H663" s="3"/>
    </row>
    <row r="664" spans="1:13" s="2" customFormat="1" ht="13.2" x14ac:dyDescent="0.25">
      <c r="A664" s="1"/>
      <c r="B664" s="1"/>
      <c r="H664" s="3"/>
    </row>
    <row r="665" spans="1:13" s="2" customFormat="1" ht="13.2" x14ac:dyDescent="0.25">
      <c r="A665" s="1"/>
      <c r="B665" s="1"/>
      <c r="H665" s="3"/>
    </row>
    <row r="666" spans="1:13" s="2" customFormat="1" x14ac:dyDescent="0.3">
      <c r="A666" s="1"/>
      <c r="B666" s="1"/>
      <c r="C666"/>
      <c r="D666"/>
      <c r="E666"/>
      <c r="F666"/>
      <c r="G666"/>
      <c r="H666"/>
      <c r="I666"/>
      <c r="J666"/>
      <c r="K666"/>
      <c r="L666" s="68"/>
      <c r="M666" s="69"/>
    </row>
    <row r="667" spans="1:13" s="2" customFormat="1" x14ac:dyDescent="0.3">
      <c r="A667" s="1"/>
      <c r="B667" s="1"/>
      <c r="C667"/>
      <c r="D667"/>
      <c r="E667"/>
      <c r="F667"/>
      <c r="G667"/>
      <c r="H667"/>
      <c r="I667"/>
      <c r="J667"/>
      <c r="K667"/>
      <c r="L667" s="68"/>
      <c r="M667" s="70"/>
    </row>
    <row r="668" spans="1:13" s="2" customFormat="1" x14ac:dyDescent="0.3">
      <c r="A668" s="1"/>
      <c r="B668" s="1"/>
      <c r="C668"/>
      <c r="D668"/>
      <c r="E668"/>
      <c r="F668"/>
      <c r="G668"/>
      <c r="H668"/>
      <c r="I668"/>
      <c r="J668"/>
      <c r="K668"/>
      <c r="L668" s="68"/>
      <c r="M668" s="70"/>
    </row>
    <row r="669" spans="1:13" s="2" customFormat="1" x14ac:dyDescent="0.3">
      <c r="A669" s="1"/>
      <c r="B669" s="1"/>
      <c r="C669"/>
      <c r="D669"/>
      <c r="E669"/>
      <c r="F669"/>
      <c r="G669"/>
      <c r="H669"/>
      <c r="I669"/>
      <c r="J669"/>
      <c r="K669"/>
      <c r="L669" s="68"/>
      <c r="M669" s="70"/>
    </row>
    <row r="670" spans="1:13" s="2" customFormat="1" x14ac:dyDescent="0.3">
      <c r="A670" s="1"/>
      <c r="B670" s="1"/>
      <c r="C670"/>
      <c r="D670"/>
      <c r="E670"/>
      <c r="F670"/>
      <c r="G670"/>
      <c r="H670"/>
      <c r="I670"/>
      <c r="J670"/>
      <c r="K670"/>
      <c r="L670" s="68"/>
      <c r="M670" s="71"/>
    </row>
    <row r="671" spans="1:13" s="2" customFormat="1" x14ac:dyDescent="0.3">
      <c r="A671" s="1"/>
      <c r="B671" s="1"/>
      <c r="C671"/>
      <c r="D671"/>
      <c r="E671"/>
      <c r="F671"/>
      <c r="G671"/>
      <c r="H671"/>
      <c r="I671"/>
      <c r="J671"/>
      <c r="K671"/>
      <c r="L671" s="68"/>
      <c r="M671" s="71"/>
    </row>
    <row r="672" spans="1:13" s="2" customFormat="1" x14ac:dyDescent="0.3">
      <c r="A672" s="1"/>
      <c r="B672" s="1"/>
      <c r="C672" s="94"/>
      <c r="E672"/>
      <c r="F672"/>
      <c r="G672"/>
      <c r="H672"/>
      <c r="I672"/>
      <c r="J672"/>
      <c r="K672"/>
      <c r="L672" s="68"/>
      <c r="M672" s="71"/>
    </row>
    <row r="673" spans="1:13" x14ac:dyDescent="0.3">
      <c r="C673" s="94"/>
      <c r="D673" s="57"/>
      <c r="E673"/>
      <c r="F673"/>
      <c r="G673"/>
      <c r="H673"/>
      <c r="I673"/>
      <c r="J673"/>
      <c r="K673"/>
      <c r="L673"/>
      <c r="M673"/>
    </row>
    <row r="674" spans="1:13" ht="17.399999999999999" x14ac:dyDescent="0.3">
      <c r="A674" s="138" t="s">
        <v>6</v>
      </c>
      <c r="B674" s="138"/>
      <c r="C674" s="138"/>
      <c r="D674" s="138"/>
      <c r="E674" s="138"/>
      <c r="F674" s="138"/>
      <c r="G674" s="138"/>
      <c r="H674" s="138"/>
      <c r="I674" s="138"/>
      <c r="J674" s="138"/>
      <c r="K674" s="138"/>
      <c r="L674" s="138"/>
      <c r="M674" s="138"/>
    </row>
    <row r="675" spans="1:13" ht="19.2" x14ac:dyDescent="0.3">
      <c r="A675" s="138" t="s">
        <v>7</v>
      </c>
      <c r="B675" s="138"/>
      <c r="C675" s="138"/>
      <c r="D675" s="138"/>
      <c r="E675" s="138"/>
      <c r="F675" s="138"/>
      <c r="G675" s="138"/>
      <c r="H675" s="138"/>
      <c r="I675" s="138"/>
      <c r="J675" s="138"/>
      <c r="K675" s="138"/>
      <c r="L675" s="138"/>
      <c r="M675" s="138"/>
    </row>
    <row r="676" spans="1:13" x14ac:dyDescent="0.3">
      <c r="C676"/>
      <c r="D676"/>
      <c r="E676"/>
      <c r="F676"/>
      <c r="G676"/>
      <c r="H676" s="2"/>
      <c r="I676"/>
      <c r="J676"/>
      <c r="K676"/>
      <c r="L676"/>
      <c r="M676"/>
    </row>
    <row r="677" spans="1:13" x14ac:dyDescent="0.3">
      <c r="C677"/>
      <c r="D677"/>
      <c r="E677" s="10" t="s">
        <v>8</v>
      </c>
      <c r="F677" s="11" t="s">
        <v>79</v>
      </c>
      <c r="G677"/>
      <c r="H677" s="2"/>
      <c r="I677"/>
      <c r="J677"/>
      <c r="K677"/>
      <c r="L677"/>
      <c r="M677"/>
    </row>
    <row r="678" spans="1:13" x14ac:dyDescent="0.3">
      <c r="C678" s="12"/>
      <c r="D678"/>
      <c r="E678" s="10" t="s">
        <v>10</v>
      </c>
      <c r="F678" s="13">
        <v>2018</v>
      </c>
      <c r="G678" s="14"/>
      <c r="H678"/>
      <c r="I678"/>
      <c r="J678"/>
      <c r="K678"/>
      <c r="L678"/>
      <c r="M678"/>
    </row>
    <row r="679" spans="1:13" x14ac:dyDescent="0.3">
      <c r="C679"/>
      <c r="D679"/>
      <c r="E679"/>
      <c r="F679"/>
      <c r="G679"/>
      <c r="H679"/>
      <c r="I679"/>
      <c r="J679"/>
      <c r="K679"/>
      <c r="L679"/>
      <c r="M679"/>
    </row>
    <row r="680" spans="1:13" x14ac:dyDescent="0.3">
      <c r="C680"/>
      <c r="D680" s="135" t="s">
        <v>11</v>
      </c>
      <c r="E680" s="136"/>
      <c r="F680" s="136"/>
      <c r="G680" s="137"/>
      <c r="H680"/>
      <c r="I680" s="15"/>
      <c r="J680" s="16" t="s">
        <v>12</v>
      </c>
      <c r="K680" s="16"/>
      <c r="L680" s="17"/>
      <c r="M680" s="3"/>
    </row>
    <row r="681" spans="1:13" ht="29.4" x14ac:dyDescent="0.3">
      <c r="A681" s="18" t="s">
        <v>13</v>
      </c>
      <c r="B681" s="18" t="s">
        <v>14</v>
      </c>
      <c r="C681" s="19" t="s">
        <v>15</v>
      </c>
      <c r="D681" s="18" t="s">
        <v>16</v>
      </c>
      <c r="E681" s="20" t="s">
        <v>17</v>
      </c>
      <c r="F681" s="20" t="s">
        <v>18</v>
      </c>
      <c r="G681" s="18" t="s">
        <v>19</v>
      </c>
      <c r="H681" s="21"/>
      <c r="I681" s="22" t="s">
        <v>16</v>
      </c>
      <c r="J681" s="23" t="s">
        <v>20</v>
      </c>
      <c r="K681" s="23" t="s">
        <v>18</v>
      </c>
      <c r="L681" s="24" t="s">
        <v>19</v>
      </c>
      <c r="M681" s="18" t="s">
        <v>21</v>
      </c>
    </row>
    <row r="682" spans="1:13" ht="26.4" x14ac:dyDescent="0.3">
      <c r="A682" s="25">
        <v>12</v>
      </c>
      <c r="B682" s="26">
        <v>1611</v>
      </c>
      <c r="C682" s="27" t="s">
        <v>22</v>
      </c>
      <c r="D682" s="32">
        <f t="shared" ref="D682:D721" si="60">G591</f>
        <v>772414.7300000001</v>
      </c>
      <c r="E682" s="32"/>
      <c r="F682" s="32"/>
      <c r="G682" s="29">
        <f>SUM(D682:F682)</f>
        <v>772414.7300000001</v>
      </c>
      <c r="H682" s="29">
        <f t="shared" ref="H682:H719" si="61">SUM(E682:G682)</f>
        <v>772414.7300000001</v>
      </c>
      <c r="I682" s="31">
        <f t="shared" ref="I682:I721" si="62">L591</f>
        <v>-458056.65</v>
      </c>
      <c r="J682" s="32">
        <f>+J591+E682/2*0.5</f>
        <v>-87797</v>
      </c>
      <c r="K682" s="32"/>
      <c r="L682" s="29">
        <f>SUM(I682:K682)</f>
        <v>-545853.65</v>
      </c>
      <c r="M682" s="33">
        <f>G682+L682</f>
        <v>226561.08000000007</v>
      </c>
    </row>
    <row r="683" spans="1:13" ht="26.4" x14ac:dyDescent="0.3">
      <c r="A683" s="25" t="s">
        <v>23</v>
      </c>
      <c r="B683" s="26">
        <v>1612</v>
      </c>
      <c r="C683" s="27" t="s">
        <v>24</v>
      </c>
      <c r="D683" s="32">
        <f t="shared" si="60"/>
        <v>45679.040000000001</v>
      </c>
      <c r="E683" s="32"/>
      <c r="F683" s="32"/>
      <c r="G683" s="29">
        <f t="shared" ref="G683:G721" si="63">SUM(D683:F683)</f>
        <v>45679.040000000001</v>
      </c>
      <c r="H683" s="29">
        <f t="shared" si="61"/>
        <v>45679.040000000001</v>
      </c>
      <c r="I683" s="31">
        <f t="shared" si="62"/>
        <v>0</v>
      </c>
      <c r="J683" s="32">
        <f t="shared" ref="J683:J716" si="64">+J592+E683/2*0.5</f>
        <v>0</v>
      </c>
      <c r="K683" s="32"/>
      <c r="L683" s="29">
        <f t="shared" ref="L683:L721" si="65">SUM(I683:K683)</f>
        <v>0</v>
      </c>
      <c r="M683" s="33">
        <f t="shared" ref="M683:M721" si="66">G683+L683</f>
        <v>45679.040000000001</v>
      </c>
    </row>
    <row r="684" spans="1:13" x14ac:dyDescent="0.3">
      <c r="A684" s="25"/>
      <c r="B684" s="73">
        <v>1655</v>
      </c>
      <c r="C684" s="27" t="s">
        <v>80</v>
      </c>
      <c r="D684" s="32">
        <f t="shared" si="60"/>
        <v>166229</v>
      </c>
      <c r="E684" s="32"/>
      <c r="F684" s="32"/>
      <c r="G684" s="29">
        <f t="shared" si="63"/>
        <v>166229</v>
      </c>
      <c r="H684" s="29"/>
      <c r="I684" s="31">
        <f t="shared" si="62"/>
        <v>-3668</v>
      </c>
      <c r="J684" s="32">
        <f t="shared" si="64"/>
        <v>-3668</v>
      </c>
      <c r="K684" s="32"/>
      <c r="L684" s="29">
        <f t="shared" ref="L684" si="67">SUM(I684:K684)</f>
        <v>-7336</v>
      </c>
      <c r="M684" s="33">
        <f t="shared" si="66"/>
        <v>158893</v>
      </c>
    </row>
    <row r="685" spans="1:13" x14ac:dyDescent="0.3">
      <c r="A685" s="25" t="s">
        <v>25</v>
      </c>
      <c r="B685" s="34">
        <v>1805</v>
      </c>
      <c r="C685" s="35" t="s">
        <v>26</v>
      </c>
      <c r="D685" s="32">
        <f t="shared" si="60"/>
        <v>178544.08000000002</v>
      </c>
      <c r="E685" s="32"/>
      <c r="F685" s="32"/>
      <c r="G685" s="29">
        <f t="shared" si="63"/>
        <v>178544.08000000002</v>
      </c>
      <c r="H685" s="29">
        <f t="shared" si="61"/>
        <v>178544.08000000002</v>
      </c>
      <c r="I685" s="31">
        <f t="shared" si="62"/>
        <v>0</v>
      </c>
      <c r="J685" s="32">
        <f t="shared" si="64"/>
        <v>0</v>
      </c>
      <c r="K685" s="32"/>
      <c r="L685" s="29">
        <f t="shared" si="65"/>
        <v>0</v>
      </c>
      <c r="M685" s="33">
        <f t="shared" si="66"/>
        <v>178544.08000000002</v>
      </c>
    </row>
    <row r="686" spans="1:13" x14ac:dyDescent="0.3">
      <c r="A686" s="25">
        <v>47</v>
      </c>
      <c r="B686" s="34">
        <v>1808</v>
      </c>
      <c r="C686" s="36" t="s">
        <v>27</v>
      </c>
      <c r="D686" s="32">
        <f t="shared" si="60"/>
        <v>1006982.01</v>
      </c>
      <c r="E686" s="32">
        <v>9000</v>
      </c>
      <c r="F686" s="32"/>
      <c r="G686" s="29">
        <f t="shared" si="63"/>
        <v>1015982.01</v>
      </c>
      <c r="H686" s="29">
        <f t="shared" si="61"/>
        <v>1024982.01</v>
      </c>
      <c r="I686" s="31">
        <f t="shared" si="62"/>
        <v>-24197.23</v>
      </c>
      <c r="J686" s="32">
        <f>+J595+E686/55*0.5</f>
        <v>-11346.181818181818</v>
      </c>
      <c r="K686" s="32"/>
      <c r="L686" s="29">
        <f t="shared" si="65"/>
        <v>-35543.411818181819</v>
      </c>
      <c r="M686" s="33">
        <f t="shared" si="66"/>
        <v>980438.59818181815</v>
      </c>
    </row>
    <row r="687" spans="1:13" x14ac:dyDescent="0.3">
      <c r="A687" s="25">
        <v>13</v>
      </c>
      <c r="B687" s="34">
        <v>1810</v>
      </c>
      <c r="C687" s="36" t="s">
        <v>28</v>
      </c>
      <c r="D687" s="32">
        <f t="shared" si="60"/>
        <v>0</v>
      </c>
      <c r="E687" s="32"/>
      <c r="F687" s="32"/>
      <c r="G687" s="29">
        <f t="shared" si="63"/>
        <v>0</v>
      </c>
      <c r="H687" s="29">
        <f t="shared" si="61"/>
        <v>0</v>
      </c>
      <c r="I687" s="31">
        <f t="shared" si="62"/>
        <v>0</v>
      </c>
      <c r="J687" s="32">
        <f t="shared" si="64"/>
        <v>0</v>
      </c>
      <c r="K687" s="32"/>
      <c r="L687" s="29">
        <f t="shared" si="65"/>
        <v>0</v>
      </c>
      <c r="M687" s="33">
        <f t="shared" si="66"/>
        <v>0</v>
      </c>
    </row>
    <row r="688" spans="1:13" x14ac:dyDescent="0.3">
      <c r="A688" s="25">
        <v>47</v>
      </c>
      <c r="B688" s="34">
        <v>1815</v>
      </c>
      <c r="C688" s="36" t="s">
        <v>29</v>
      </c>
      <c r="D688" s="32">
        <f t="shared" si="60"/>
        <v>0</v>
      </c>
      <c r="E688" s="32"/>
      <c r="F688" s="32"/>
      <c r="G688" s="29">
        <f t="shared" si="63"/>
        <v>0</v>
      </c>
      <c r="H688" s="29">
        <f t="shared" si="61"/>
        <v>0</v>
      </c>
      <c r="I688" s="31">
        <f t="shared" si="62"/>
        <v>0</v>
      </c>
      <c r="J688" s="32">
        <f t="shared" si="64"/>
        <v>0</v>
      </c>
      <c r="K688" s="32"/>
      <c r="L688" s="29">
        <f t="shared" si="65"/>
        <v>0</v>
      </c>
      <c r="M688" s="33">
        <f t="shared" si="66"/>
        <v>0</v>
      </c>
    </row>
    <row r="689" spans="1:13" s="2" customFormat="1" x14ac:dyDescent="0.3">
      <c r="A689" s="25">
        <v>47</v>
      </c>
      <c r="B689" s="34">
        <v>1820</v>
      </c>
      <c r="C689" s="27" t="s">
        <v>30</v>
      </c>
      <c r="D689" s="32">
        <f t="shared" si="60"/>
        <v>367963</v>
      </c>
      <c r="E689" s="32"/>
      <c r="F689" s="32"/>
      <c r="G689" s="29">
        <f t="shared" si="63"/>
        <v>367963</v>
      </c>
      <c r="H689" s="29">
        <f t="shared" si="61"/>
        <v>367963</v>
      </c>
      <c r="I689" s="31">
        <f t="shared" si="62"/>
        <v>-23046.38</v>
      </c>
      <c r="J689" s="32">
        <f t="shared" si="64"/>
        <v>-9727.65</v>
      </c>
      <c r="K689" s="32"/>
      <c r="L689" s="29">
        <f t="shared" si="65"/>
        <v>-32774.03</v>
      </c>
      <c r="M689" s="33">
        <f t="shared" si="66"/>
        <v>335188.96999999997</v>
      </c>
    </row>
    <row r="690" spans="1:13" s="2" customFormat="1" x14ac:dyDescent="0.3">
      <c r="A690" s="25">
        <v>47</v>
      </c>
      <c r="B690" s="34">
        <v>1825</v>
      </c>
      <c r="C690" s="36" t="s">
        <v>31</v>
      </c>
      <c r="D690" s="32">
        <f t="shared" si="60"/>
        <v>0</v>
      </c>
      <c r="E690" s="32"/>
      <c r="F690" s="32"/>
      <c r="G690" s="29">
        <f t="shared" si="63"/>
        <v>0</v>
      </c>
      <c r="H690" s="29">
        <f t="shared" si="61"/>
        <v>0</v>
      </c>
      <c r="I690" s="31">
        <f t="shared" si="62"/>
        <v>0</v>
      </c>
      <c r="J690" s="32">
        <f t="shared" si="64"/>
        <v>0</v>
      </c>
      <c r="K690" s="32"/>
      <c r="L690" s="29">
        <f t="shared" si="65"/>
        <v>0</v>
      </c>
      <c r="M690" s="33">
        <f t="shared" si="66"/>
        <v>0</v>
      </c>
    </row>
    <row r="691" spans="1:13" s="2" customFormat="1" x14ac:dyDescent="0.3">
      <c r="A691" s="25">
        <v>47</v>
      </c>
      <c r="B691" s="34">
        <v>1830</v>
      </c>
      <c r="C691" s="36" t="s">
        <v>32</v>
      </c>
      <c r="D691" s="32">
        <f t="shared" si="60"/>
        <v>6672024.5300000003</v>
      </c>
      <c r="E691" s="32">
        <v>477589.50375275349</v>
      </c>
      <c r="F691" s="32"/>
      <c r="G691" s="29">
        <f t="shared" si="63"/>
        <v>7149614.0337527534</v>
      </c>
      <c r="H691" s="29">
        <f t="shared" si="61"/>
        <v>7627203.5375055065</v>
      </c>
      <c r="I691" s="31">
        <f t="shared" si="62"/>
        <v>-461905.45999999996</v>
      </c>
      <c r="J691" s="32">
        <f>+J600+E691/50*0.5</f>
        <v>-176142.10496247245</v>
      </c>
      <c r="K691" s="32"/>
      <c r="L691" s="29">
        <f t="shared" si="65"/>
        <v>-638047.56496247242</v>
      </c>
      <c r="M691" s="33">
        <f t="shared" si="66"/>
        <v>6511566.4687902806</v>
      </c>
    </row>
    <row r="692" spans="1:13" s="2" customFormat="1" x14ac:dyDescent="0.3">
      <c r="A692" s="25">
        <v>47</v>
      </c>
      <c r="B692" s="34">
        <v>1835</v>
      </c>
      <c r="C692" s="36" t="s">
        <v>33</v>
      </c>
      <c r="D692" s="32">
        <f t="shared" si="60"/>
        <v>8225075.7299999995</v>
      </c>
      <c r="E692" s="32">
        <v>801602.34058092104</v>
      </c>
      <c r="F692" s="32"/>
      <c r="G692" s="29">
        <f t="shared" si="63"/>
        <v>9026678.0705809202</v>
      </c>
      <c r="H692" s="29">
        <f t="shared" si="61"/>
        <v>9828280.4111618418</v>
      </c>
      <c r="I692" s="31">
        <f t="shared" si="62"/>
        <v>-502463.42999999993</v>
      </c>
      <c r="J692" s="32">
        <f>+J601+E692/60*0.5</f>
        <v>-246000.98049515899</v>
      </c>
      <c r="K692" s="32"/>
      <c r="L692" s="29">
        <f t="shared" si="65"/>
        <v>-748464.41049515898</v>
      </c>
      <c r="M692" s="33">
        <f t="shared" si="66"/>
        <v>8278213.660085761</v>
      </c>
    </row>
    <row r="693" spans="1:13" s="2" customFormat="1" x14ac:dyDescent="0.3">
      <c r="A693" s="25">
        <v>47</v>
      </c>
      <c r="B693" s="34">
        <v>1840</v>
      </c>
      <c r="C693" s="36" t="s">
        <v>34</v>
      </c>
      <c r="D693" s="32">
        <f t="shared" si="60"/>
        <v>2775891.09</v>
      </c>
      <c r="E693" s="32">
        <v>166977.88230638162</v>
      </c>
      <c r="F693" s="32"/>
      <c r="G693" s="29">
        <f t="shared" si="63"/>
        <v>2942868.9723063814</v>
      </c>
      <c r="H693" s="29">
        <f t="shared" si="61"/>
        <v>3109846.854612763</v>
      </c>
      <c r="I693" s="31">
        <f t="shared" si="62"/>
        <v>-281947</v>
      </c>
      <c r="J693" s="32">
        <f>+J602+E693/45*0.5</f>
        <v>-73053.690196595766</v>
      </c>
      <c r="K693" s="32"/>
      <c r="L693" s="29">
        <f t="shared" si="65"/>
        <v>-355000.69019659574</v>
      </c>
      <c r="M693" s="33">
        <f t="shared" si="66"/>
        <v>2587868.2821097858</v>
      </c>
    </row>
    <row r="694" spans="1:13" s="2" customFormat="1" x14ac:dyDescent="0.3">
      <c r="A694" s="25">
        <v>47</v>
      </c>
      <c r="B694" s="34">
        <v>1845</v>
      </c>
      <c r="C694" s="36" t="s">
        <v>35</v>
      </c>
      <c r="D694" s="32">
        <f t="shared" si="60"/>
        <v>6871180.4999999991</v>
      </c>
      <c r="E694" s="32">
        <v>399929.46999078494</v>
      </c>
      <c r="F694" s="32"/>
      <c r="G694" s="29">
        <f t="shared" si="63"/>
        <v>7271109.9699907843</v>
      </c>
      <c r="H694" s="29">
        <f t="shared" si="61"/>
        <v>7671039.4399815695</v>
      </c>
      <c r="I694" s="31">
        <f t="shared" si="62"/>
        <v>-400362.98</v>
      </c>
      <c r="J694" s="32">
        <f>+J603+E694/35*0.5</f>
        <v>-180757.7218572745</v>
      </c>
      <c r="K694" s="32"/>
      <c r="L694" s="29">
        <f t="shared" si="65"/>
        <v>-581120.70185727451</v>
      </c>
      <c r="M694" s="33">
        <f t="shared" si="66"/>
        <v>6689989.2681335099</v>
      </c>
    </row>
    <row r="695" spans="1:13" s="2" customFormat="1" x14ac:dyDescent="0.3">
      <c r="A695" s="25">
        <v>47</v>
      </c>
      <c r="B695" s="34">
        <v>1850</v>
      </c>
      <c r="C695" s="36" t="s">
        <v>36</v>
      </c>
      <c r="D695" s="32">
        <f t="shared" si="60"/>
        <v>8435275.4599999972</v>
      </c>
      <c r="E695" s="32">
        <v>498350.80336915888</v>
      </c>
      <c r="F695" s="32"/>
      <c r="G695" s="29">
        <f t="shared" si="63"/>
        <v>8933626.263369156</v>
      </c>
      <c r="H695" s="29">
        <f t="shared" si="61"/>
        <v>9431977.0667383149</v>
      </c>
      <c r="I695" s="31">
        <f t="shared" si="62"/>
        <v>-633329.17999999993</v>
      </c>
      <c r="J695" s="32">
        <f>+J604+E695/40*0.5</f>
        <v>-230020.61495788553</v>
      </c>
      <c r="K695" s="32"/>
      <c r="L695" s="29">
        <f t="shared" si="65"/>
        <v>-863349.79495788552</v>
      </c>
      <c r="M695" s="33">
        <f t="shared" si="66"/>
        <v>8070276.4684112705</v>
      </c>
    </row>
    <row r="696" spans="1:13" s="2" customFormat="1" x14ac:dyDescent="0.3">
      <c r="A696" s="25">
        <v>47</v>
      </c>
      <c r="B696" s="34">
        <v>1855</v>
      </c>
      <c r="C696" s="36" t="s">
        <v>37</v>
      </c>
      <c r="D696" s="32">
        <f t="shared" si="60"/>
        <v>4897711.1800000006</v>
      </c>
      <c r="E696" s="32">
        <f>1087500-145718</f>
        <v>941782</v>
      </c>
      <c r="F696" s="32"/>
      <c r="G696" s="29">
        <f t="shared" si="63"/>
        <v>5839493.1800000006</v>
      </c>
      <c r="H696" s="29">
        <f t="shared" si="61"/>
        <v>6781275.1800000006</v>
      </c>
      <c r="I696" s="31">
        <f t="shared" si="62"/>
        <v>-355110</v>
      </c>
      <c r="J696" s="32">
        <f>+J605+E696/60*0.5</f>
        <v>-94789.816666666666</v>
      </c>
      <c r="K696" s="32"/>
      <c r="L696" s="29">
        <f t="shared" si="65"/>
        <v>-449899.81666666665</v>
      </c>
      <c r="M696" s="33">
        <f t="shared" si="66"/>
        <v>5389593.3633333342</v>
      </c>
    </row>
    <row r="697" spans="1:13" s="2" customFormat="1" x14ac:dyDescent="0.3">
      <c r="A697" s="25">
        <v>47</v>
      </c>
      <c r="B697" s="34">
        <v>1860</v>
      </c>
      <c r="C697" s="36" t="s">
        <v>38</v>
      </c>
      <c r="D697" s="32">
        <f t="shared" si="60"/>
        <v>1985263.54</v>
      </c>
      <c r="E697" s="32">
        <v>234500</v>
      </c>
      <c r="F697" s="32"/>
      <c r="G697" s="29">
        <f t="shared" si="63"/>
        <v>2219763.54</v>
      </c>
      <c r="H697" s="29">
        <f t="shared" si="61"/>
        <v>2454263.54</v>
      </c>
      <c r="I697" s="31">
        <f t="shared" si="62"/>
        <v>-615149</v>
      </c>
      <c r="J697" s="32">
        <f>+J606+E697/25*0.5</f>
        <v>-125511</v>
      </c>
      <c r="K697" s="32"/>
      <c r="L697" s="29">
        <f t="shared" si="65"/>
        <v>-740660</v>
      </c>
      <c r="M697" s="33">
        <f t="shared" si="66"/>
        <v>1479103.54</v>
      </c>
    </row>
    <row r="698" spans="1:13" s="2" customFormat="1" x14ac:dyDescent="0.3">
      <c r="A698" s="25">
        <v>47</v>
      </c>
      <c r="B698" s="34">
        <v>1860</v>
      </c>
      <c r="C698" s="35" t="s">
        <v>39</v>
      </c>
      <c r="D698" s="32">
        <f t="shared" si="60"/>
        <v>2539245.25</v>
      </c>
      <c r="E698" s="32">
        <v>0</v>
      </c>
      <c r="F698" s="32"/>
      <c r="G698" s="29">
        <f t="shared" si="63"/>
        <v>2539245.25</v>
      </c>
      <c r="H698" s="29">
        <f t="shared" si="61"/>
        <v>2539245.25</v>
      </c>
      <c r="I698" s="31">
        <f t="shared" si="62"/>
        <v>-644408.17000000004</v>
      </c>
      <c r="J698" s="32">
        <f>+J607+E698/12*0.5</f>
        <v>-231658</v>
      </c>
      <c r="K698" s="32"/>
      <c r="L698" s="29">
        <f t="shared" si="65"/>
        <v>-876066.17</v>
      </c>
      <c r="M698" s="33">
        <f t="shared" si="66"/>
        <v>1663179.08</v>
      </c>
    </row>
    <row r="699" spans="1:13" s="2" customFormat="1" x14ac:dyDescent="0.3">
      <c r="A699" s="25" t="s">
        <v>25</v>
      </c>
      <c r="B699" s="34">
        <v>1905</v>
      </c>
      <c r="C699" s="35" t="s">
        <v>26</v>
      </c>
      <c r="D699" s="32">
        <f t="shared" si="60"/>
        <v>0</v>
      </c>
      <c r="E699" s="32"/>
      <c r="F699" s="32"/>
      <c r="G699" s="29">
        <f t="shared" si="63"/>
        <v>0</v>
      </c>
      <c r="H699" s="29">
        <f t="shared" si="61"/>
        <v>0</v>
      </c>
      <c r="I699" s="31">
        <f t="shared" si="62"/>
        <v>0</v>
      </c>
      <c r="J699" s="32">
        <f t="shared" si="64"/>
        <v>0</v>
      </c>
      <c r="K699" s="32"/>
      <c r="L699" s="29">
        <f t="shared" si="65"/>
        <v>0</v>
      </c>
      <c r="M699" s="33">
        <f t="shared" si="66"/>
        <v>0</v>
      </c>
    </row>
    <row r="700" spans="1:13" s="2" customFormat="1" x14ac:dyDescent="0.3">
      <c r="A700" s="25">
        <v>47</v>
      </c>
      <c r="B700" s="34">
        <v>1908</v>
      </c>
      <c r="C700" s="36" t="s">
        <v>40</v>
      </c>
      <c r="D700" s="32">
        <f t="shared" si="60"/>
        <v>0</v>
      </c>
      <c r="E700" s="32"/>
      <c r="F700" s="32"/>
      <c r="G700" s="29">
        <f t="shared" si="63"/>
        <v>0</v>
      </c>
      <c r="H700" s="29">
        <f t="shared" si="61"/>
        <v>0</v>
      </c>
      <c r="I700" s="31">
        <f t="shared" si="62"/>
        <v>0</v>
      </c>
      <c r="J700" s="32">
        <f t="shared" si="64"/>
        <v>0</v>
      </c>
      <c r="K700" s="32"/>
      <c r="L700" s="29">
        <f t="shared" si="65"/>
        <v>0</v>
      </c>
      <c r="M700" s="33">
        <f t="shared" si="66"/>
        <v>0</v>
      </c>
    </row>
    <row r="701" spans="1:13" s="2" customFormat="1" x14ac:dyDescent="0.3">
      <c r="A701" s="25">
        <v>13</v>
      </c>
      <c r="B701" s="34">
        <v>1910</v>
      </c>
      <c r="C701" s="36" t="s">
        <v>28</v>
      </c>
      <c r="D701" s="32">
        <f t="shared" si="60"/>
        <v>445012.26</v>
      </c>
      <c r="E701" s="32">
        <v>72000</v>
      </c>
      <c r="F701" s="32"/>
      <c r="G701" s="29">
        <f t="shared" si="63"/>
        <v>517012.26</v>
      </c>
      <c r="H701" s="29">
        <f t="shared" si="61"/>
        <v>589012.26</v>
      </c>
      <c r="I701" s="31">
        <f t="shared" si="62"/>
        <v>-26291.98</v>
      </c>
      <c r="J701" s="32">
        <f>+J610+E701/55*0.5</f>
        <v>-7958.454545454546</v>
      </c>
      <c r="K701" s="32"/>
      <c r="L701" s="29">
        <f t="shared" si="65"/>
        <v>-34250.434545454547</v>
      </c>
      <c r="M701" s="33">
        <f t="shared" si="66"/>
        <v>482761.82545454544</v>
      </c>
    </row>
    <row r="702" spans="1:13" s="2" customFormat="1" x14ac:dyDescent="0.3">
      <c r="A702" s="25">
        <v>8</v>
      </c>
      <c r="B702" s="34">
        <v>1915</v>
      </c>
      <c r="C702" s="36" t="s">
        <v>41</v>
      </c>
      <c r="D702" s="32">
        <f t="shared" si="60"/>
        <v>30168</v>
      </c>
      <c r="E702" s="32"/>
      <c r="F702" s="32"/>
      <c r="G702" s="29">
        <f t="shared" si="63"/>
        <v>30168</v>
      </c>
      <c r="H702" s="29">
        <f t="shared" si="61"/>
        <v>30168</v>
      </c>
      <c r="I702" s="31">
        <f t="shared" si="62"/>
        <v>-14757.6</v>
      </c>
      <c r="J702" s="32">
        <f>+J611+E702/10*0.5</f>
        <v>-4084</v>
      </c>
      <c r="K702" s="32"/>
      <c r="L702" s="29">
        <f t="shared" si="65"/>
        <v>-18841.599999999999</v>
      </c>
      <c r="M702" s="33">
        <f t="shared" si="66"/>
        <v>11326.400000000001</v>
      </c>
    </row>
    <row r="703" spans="1:13" s="2" customFormat="1" x14ac:dyDescent="0.3">
      <c r="A703" s="25">
        <v>8</v>
      </c>
      <c r="B703" s="34">
        <v>1915</v>
      </c>
      <c r="C703" s="36" t="s">
        <v>42</v>
      </c>
      <c r="D703" s="32">
        <f t="shared" si="60"/>
        <v>0</v>
      </c>
      <c r="E703" s="32"/>
      <c r="F703" s="32"/>
      <c r="G703" s="29">
        <f t="shared" si="63"/>
        <v>0</v>
      </c>
      <c r="H703" s="29">
        <f t="shared" si="61"/>
        <v>0</v>
      </c>
      <c r="I703" s="31">
        <f t="shared" si="62"/>
        <v>0</v>
      </c>
      <c r="J703" s="32">
        <f t="shared" si="64"/>
        <v>0</v>
      </c>
      <c r="K703" s="32"/>
      <c r="L703" s="29">
        <f t="shared" si="65"/>
        <v>0</v>
      </c>
      <c r="M703" s="33">
        <f t="shared" si="66"/>
        <v>0</v>
      </c>
    </row>
    <row r="704" spans="1:13" s="2" customFormat="1" x14ac:dyDescent="0.3">
      <c r="A704" s="25">
        <v>10</v>
      </c>
      <c r="B704" s="34">
        <v>1920</v>
      </c>
      <c r="C704" s="36" t="s">
        <v>43</v>
      </c>
      <c r="D704" s="32">
        <f t="shared" si="60"/>
        <v>0</v>
      </c>
      <c r="E704" s="32"/>
      <c r="F704" s="32"/>
      <c r="G704" s="29">
        <f t="shared" si="63"/>
        <v>0</v>
      </c>
      <c r="H704" s="29">
        <f t="shared" si="61"/>
        <v>0</v>
      </c>
      <c r="I704" s="31">
        <f t="shared" si="62"/>
        <v>0</v>
      </c>
      <c r="J704" s="32">
        <f t="shared" si="64"/>
        <v>0</v>
      </c>
      <c r="K704" s="32"/>
      <c r="L704" s="29">
        <f t="shared" si="65"/>
        <v>0</v>
      </c>
      <c r="M704" s="33">
        <f t="shared" si="66"/>
        <v>0</v>
      </c>
    </row>
    <row r="705" spans="1:13" s="2" customFormat="1" ht="26.4" x14ac:dyDescent="0.3">
      <c r="A705" s="25">
        <v>45</v>
      </c>
      <c r="B705" s="38">
        <v>1920</v>
      </c>
      <c r="C705" s="27" t="s">
        <v>44</v>
      </c>
      <c r="D705" s="32">
        <f t="shared" si="60"/>
        <v>0</v>
      </c>
      <c r="E705" s="32"/>
      <c r="F705" s="32"/>
      <c r="G705" s="29">
        <f t="shared" si="63"/>
        <v>0</v>
      </c>
      <c r="H705" s="29">
        <f t="shared" si="61"/>
        <v>0</v>
      </c>
      <c r="I705" s="31">
        <f t="shared" si="62"/>
        <v>0</v>
      </c>
      <c r="J705" s="32">
        <f t="shared" si="64"/>
        <v>0</v>
      </c>
      <c r="K705" s="32"/>
      <c r="L705" s="29">
        <f t="shared" si="65"/>
        <v>0</v>
      </c>
      <c r="M705" s="33">
        <f t="shared" si="66"/>
        <v>0</v>
      </c>
    </row>
    <row r="706" spans="1:13" s="2" customFormat="1" ht="26.4" x14ac:dyDescent="0.3">
      <c r="A706" s="25">
        <v>45.1</v>
      </c>
      <c r="B706" s="38">
        <v>1920</v>
      </c>
      <c r="C706" s="27" t="s">
        <v>45</v>
      </c>
      <c r="D706" s="32">
        <f t="shared" si="60"/>
        <v>162913.15</v>
      </c>
      <c r="E706" s="32">
        <v>27150</v>
      </c>
      <c r="F706" s="32"/>
      <c r="G706" s="29">
        <f t="shared" si="63"/>
        <v>190063.15</v>
      </c>
      <c r="H706" s="29">
        <f t="shared" si="61"/>
        <v>217213.15</v>
      </c>
      <c r="I706" s="31">
        <f t="shared" si="62"/>
        <v>-115199.95</v>
      </c>
      <c r="J706" s="32">
        <f>+J615+E706/5*0.5</f>
        <v>-27981</v>
      </c>
      <c r="K706" s="32"/>
      <c r="L706" s="29">
        <f t="shared" si="65"/>
        <v>-143180.95000000001</v>
      </c>
      <c r="M706" s="33">
        <f t="shared" si="66"/>
        <v>46882.199999999983</v>
      </c>
    </row>
    <row r="707" spans="1:13" s="2" customFormat="1" x14ac:dyDescent="0.3">
      <c r="A707" s="25">
        <v>10</v>
      </c>
      <c r="B707" s="26">
        <v>1930</v>
      </c>
      <c r="C707" s="36" t="s">
        <v>46</v>
      </c>
      <c r="D707" s="32">
        <f t="shared" si="60"/>
        <v>1597410.2600000009</v>
      </c>
      <c r="E707" s="32">
        <v>60000</v>
      </c>
      <c r="F707" s="32"/>
      <c r="G707" s="29">
        <f t="shared" si="63"/>
        <v>1657410.2600000009</v>
      </c>
      <c r="H707" s="29">
        <f t="shared" si="61"/>
        <v>1717410.2600000009</v>
      </c>
      <c r="I707" s="31">
        <f t="shared" si="62"/>
        <v>-456993.66000000003</v>
      </c>
      <c r="J707" s="32">
        <f>+J616+E707/8*0.5+98274</f>
        <v>-118041</v>
      </c>
      <c r="K707" s="32"/>
      <c r="L707" s="29">
        <f t="shared" si="65"/>
        <v>-575034.66</v>
      </c>
      <c r="M707" s="33">
        <f t="shared" si="66"/>
        <v>1082375.600000001</v>
      </c>
    </row>
    <row r="708" spans="1:13" s="2" customFormat="1" x14ac:dyDescent="0.3">
      <c r="A708" s="25">
        <v>8</v>
      </c>
      <c r="B708" s="26">
        <v>1935</v>
      </c>
      <c r="C708" s="36" t="s">
        <v>47</v>
      </c>
      <c r="D708" s="32">
        <f t="shared" si="60"/>
        <v>0</v>
      </c>
      <c r="E708" s="32"/>
      <c r="F708" s="32"/>
      <c r="G708" s="29">
        <f t="shared" si="63"/>
        <v>0</v>
      </c>
      <c r="H708" s="29">
        <f t="shared" si="61"/>
        <v>0</v>
      </c>
      <c r="I708" s="31">
        <f t="shared" si="62"/>
        <v>0</v>
      </c>
      <c r="J708" s="32">
        <f t="shared" si="64"/>
        <v>0</v>
      </c>
      <c r="K708" s="32"/>
      <c r="L708" s="29">
        <f t="shared" si="65"/>
        <v>0</v>
      </c>
      <c r="M708" s="33">
        <f t="shared" si="66"/>
        <v>0</v>
      </c>
    </row>
    <row r="709" spans="1:13" s="2" customFormat="1" x14ac:dyDescent="0.3">
      <c r="A709" s="25">
        <v>8</v>
      </c>
      <c r="B709" s="26">
        <v>1940</v>
      </c>
      <c r="C709" s="36" t="s">
        <v>48</v>
      </c>
      <c r="D709" s="32">
        <f t="shared" si="60"/>
        <v>228742.78999999998</v>
      </c>
      <c r="E709" s="32">
        <v>38389</v>
      </c>
      <c r="F709" s="32"/>
      <c r="G709" s="29">
        <f t="shared" si="63"/>
        <v>267131.78999999998</v>
      </c>
      <c r="H709" s="29">
        <f t="shared" si="61"/>
        <v>305520.78999999998</v>
      </c>
      <c r="I709" s="31">
        <f t="shared" si="62"/>
        <v>29027.960000000006</v>
      </c>
      <c r="J709" s="32">
        <f>+J618+E709/8*0.5</f>
        <v>-16482.6875</v>
      </c>
      <c r="K709" s="32"/>
      <c r="L709" s="29">
        <f t="shared" si="65"/>
        <v>12545.272500000006</v>
      </c>
      <c r="M709" s="33">
        <f t="shared" si="66"/>
        <v>279677.0625</v>
      </c>
    </row>
    <row r="710" spans="1:13" s="2" customFormat="1" x14ac:dyDescent="0.3">
      <c r="A710" s="25">
        <v>8</v>
      </c>
      <c r="B710" s="26">
        <v>1945</v>
      </c>
      <c r="C710" s="36" t="s">
        <v>49</v>
      </c>
      <c r="D710" s="32">
        <f t="shared" si="60"/>
        <v>25813.14</v>
      </c>
      <c r="E710" s="32"/>
      <c r="F710" s="32"/>
      <c r="G710" s="29">
        <f t="shared" si="63"/>
        <v>25813.14</v>
      </c>
      <c r="H710" s="29">
        <f t="shared" si="61"/>
        <v>25813.14</v>
      </c>
      <c r="I710" s="31">
        <f t="shared" si="62"/>
        <v>-12424.79</v>
      </c>
      <c r="J710" s="32">
        <f>+J619+E710/8*0.5</f>
        <v>-3885</v>
      </c>
      <c r="K710" s="32"/>
      <c r="L710" s="29">
        <f t="shared" si="65"/>
        <v>-16309.79</v>
      </c>
      <c r="M710" s="33">
        <f t="shared" si="66"/>
        <v>9503.3499999999985</v>
      </c>
    </row>
    <row r="711" spans="1:13" s="2" customFormat="1" x14ac:dyDescent="0.3">
      <c r="A711" s="25">
        <v>8</v>
      </c>
      <c r="B711" s="26">
        <v>1950</v>
      </c>
      <c r="C711" s="36" t="s">
        <v>50</v>
      </c>
      <c r="D711" s="32">
        <f t="shared" si="60"/>
        <v>204450.59</v>
      </c>
      <c r="E711" s="32"/>
      <c r="F711" s="32"/>
      <c r="G711" s="29">
        <f t="shared" si="63"/>
        <v>204450.59</v>
      </c>
      <c r="H711" s="29">
        <f t="shared" si="61"/>
        <v>204450.59</v>
      </c>
      <c r="I711" s="31">
        <f t="shared" si="62"/>
        <v>-162784.59</v>
      </c>
      <c r="J711" s="32">
        <f>+J620+E711/8*0.5</f>
        <v>-85691</v>
      </c>
      <c r="K711" s="32"/>
      <c r="L711" s="29">
        <f t="shared" si="65"/>
        <v>-248475.59</v>
      </c>
      <c r="M711" s="33">
        <f t="shared" si="66"/>
        <v>-44025</v>
      </c>
    </row>
    <row r="712" spans="1:13" s="2" customFormat="1" x14ac:dyDescent="0.3">
      <c r="A712" s="25">
        <v>8</v>
      </c>
      <c r="B712" s="26">
        <v>1955</v>
      </c>
      <c r="C712" s="36" t="s">
        <v>51</v>
      </c>
      <c r="D712" s="32">
        <f t="shared" si="60"/>
        <v>55397.4</v>
      </c>
      <c r="E712" s="32"/>
      <c r="F712" s="32"/>
      <c r="G712" s="29">
        <f t="shared" si="63"/>
        <v>55397.4</v>
      </c>
      <c r="H712" s="29">
        <f t="shared" si="61"/>
        <v>55397.4</v>
      </c>
      <c r="I712" s="31">
        <f t="shared" si="62"/>
        <v>-11922.54</v>
      </c>
      <c r="J712" s="32">
        <f>+J621+E712/5*0.5</f>
        <v>-8731</v>
      </c>
      <c r="K712" s="32"/>
      <c r="L712" s="29">
        <f t="shared" si="65"/>
        <v>-20653.54</v>
      </c>
      <c r="M712" s="33">
        <f t="shared" si="66"/>
        <v>34743.86</v>
      </c>
    </row>
    <row r="713" spans="1:13" s="2" customFormat="1" x14ac:dyDescent="0.3">
      <c r="A713" s="40">
        <v>8</v>
      </c>
      <c r="B713" s="38">
        <v>1955</v>
      </c>
      <c r="C713" s="41" t="s">
        <v>52</v>
      </c>
      <c r="D713" s="32">
        <f t="shared" si="60"/>
        <v>0</v>
      </c>
      <c r="E713" s="32"/>
      <c r="F713" s="32"/>
      <c r="G713" s="29">
        <f t="shared" si="63"/>
        <v>0</v>
      </c>
      <c r="H713" s="29">
        <f t="shared" si="61"/>
        <v>0</v>
      </c>
      <c r="I713" s="31">
        <f t="shared" si="62"/>
        <v>0</v>
      </c>
      <c r="J713" s="32">
        <f t="shared" si="64"/>
        <v>0</v>
      </c>
      <c r="K713" s="32"/>
      <c r="L713" s="29">
        <f t="shared" si="65"/>
        <v>0</v>
      </c>
      <c r="M713" s="33">
        <f t="shared" si="66"/>
        <v>0</v>
      </c>
    </row>
    <row r="714" spans="1:13" s="2" customFormat="1" x14ac:dyDescent="0.3">
      <c r="A714" s="40">
        <v>8</v>
      </c>
      <c r="B714" s="42">
        <v>1960</v>
      </c>
      <c r="C714" s="27" t="s">
        <v>53</v>
      </c>
      <c r="D714" s="32">
        <f t="shared" si="60"/>
        <v>0</v>
      </c>
      <c r="E714" s="32"/>
      <c r="F714" s="32"/>
      <c r="G714" s="29">
        <f t="shared" si="63"/>
        <v>0</v>
      </c>
      <c r="H714" s="29">
        <f t="shared" si="61"/>
        <v>0</v>
      </c>
      <c r="I714" s="31">
        <f t="shared" si="62"/>
        <v>0</v>
      </c>
      <c r="J714" s="32">
        <f t="shared" si="64"/>
        <v>0</v>
      </c>
      <c r="K714" s="32"/>
      <c r="L714" s="29">
        <f t="shared" si="65"/>
        <v>0</v>
      </c>
      <c r="M714" s="33">
        <f t="shared" si="66"/>
        <v>0</v>
      </c>
    </row>
    <row r="715" spans="1:13" s="2" customFormat="1" ht="26.4" x14ac:dyDescent="0.3">
      <c r="A715" s="43">
        <v>47</v>
      </c>
      <c r="B715" s="42">
        <v>1970</v>
      </c>
      <c r="C715" s="36" t="s">
        <v>54</v>
      </c>
      <c r="D715" s="32">
        <f t="shared" si="60"/>
        <v>0</v>
      </c>
      <c r="E715" s="32"/>
      <c r="F715" s="32"/>
      <c r="G715" s="29">
        <f t="shared" si="63"/>
        <v>0</v>
      </c>
      <c r="H715" s="29">
        <f t="shared" si="61"/>
        <v>0</v>
      </c>
      <c r="I715" s="31">
        <f t="shared" si="62"/>
        <v>0</v>
      </c>
      <c r="J715" s="32">
        <f t="shared" si="64"/>
        <v>0</v>
      </c>
      <c r="K715" s="32"/>
      <c r="L715" s="29">
        <f t="shared" si="65"/>
        <v>0</v>
      </c>
      <c r="M715" s="33">
        <f t="shared" si="66"/>
        <v>0</v>
      </c>
    </row>
    <row r="716" spans="1:13" s="2" customFormat="1" x14ac:dyDescent="0.3">
      <c r="A716" s="25">
        <v>47</v>
      </c>
      <c r="B716" s="26">
        <v>1975</v>
      </c>
      <c r="C716" s="36" t="s">
        <v>55</v>
      </c>
      <c r="D716" s="32">
        <f t="shared" si="60"/>
        <v>0</v>
      </c>
      <c r="E716" s="32"/>
      <c r="F716" s="32"/>
      <c r="G716" s="29">
        <f t="shared" si="63"/>
        <v>0</v>
      </c>
      <c r="H716" s="29">
        <f t="shared" si="61"/>
        <v>0</v>
      </c>
      <c r="I716" s="31">
        <f t="shared" si="62"/>
        <v>0</v>
      </c>
      <c r="J716" s="32">
        <f t="shared" si="64"/>
        <v>0</v>
      </c>
      <c r="K716" s="32"/>
      <c r="L716" s="29">
        <f t="shared" si="65"/>
        <v>0</v>
      </c>
      <c r="M716" s="33">
        <f t="shared" si="66"/>
        <v>0</v>
      </c>
    </row>
    <row r="717" spans="1:13" s="2" customFormat="1" x14ac:dyDescent="0.3">
      <c r="A717" s="25">
        <v>47</v>
      </c>
      <c r="B717" s="26">
        <v>1980</v>
      </c>
      <c r="C717" s="36" t="s">
        <v>56</v>
      </c>
      <c r="D717" s="32">
        <f t="shared" si="60"/>
        <v>296380.69</v>
      </c>
      <c r="E717" s="32">
        <v>90000</v>
      </c>
      <c r="F717" s="32"/>
      <c r="G717" s="29">
        <f t="shared" si="63"/>
        <v>386380.69</v>
      </c>
      <c r="H717" s="29">
        <f t="shared" si="61"/>
        <v>476380.69</v>
      </c>
      <c r="I717" s="31">
        <f t="shared" si="62"/>
        <v>-77082.44</v>
      </c>
      <c r="J717" s="32">
        <f>+J626+E717/5*0.5</f>
        <v>-88338</v>
      </c>
      <c r="K717" s="32"/>
      <c r="L717" s="29">
        <f t="shared" si="65"/>
        <v>-165420.44</v>
      </c>
      <c r="M717" s="33">
        <f t="shared" si="66"/>
        <v>220960.25</v>
      </c>
    </row>
    <row r="718" spans="1:13" s="2" customFormat="1" x14ac:dyDescent="0.3">
      <c r="A718" s="25">
        <v>47</v>
      </c>
      <c r="B718" s="26">
        <v>1985</v>
      </c>
      <c r="C718" s="36" t="s">
        <v>57</v>
      </c>
      <c r="D718" s="32">
        <f t="shared" si="60"/>
        <v>0</v>
      </c>
      <c r="E718" s="32"/>
      <c r="F718" s="32"/>
      <c r="G718" s="29">
        <f t="shared" si="63"/>
        <v>0</v>
      </c>
      <c r="H718" s="29">
        <f t="shared" si="61"/>
        <v>0</v>
      </c>
      <c r="I718" s="31">
        <f t="shared" si="62"/>
        <v>0</v>
      </c>
      <c r="J718" s="32">
        <v>0</v>
      </c>
      <c r="K718" s="32"/>
      <c r="L718" s="29">
        <f t="shared" si="65"/>
        <v>0</v>
      </c>
      <c r="M718" s="33">
        <f t="shared" si="66"/>
        <v>0</v>
      </c>
    </row>
    <row r="719" spans="1:13" s="2" customFormat="1" x14ac:dyDescent="0.3">
      <c r="A719" s="43">
        <v>47</v>
      </c>
      <c r="B719" s="26">
        <v>1990</v>
      </c>
      <c r="C719" s="45" t="s">
        <v>58</v>
      </c>
      <c r="D719" s="32">
        <f t="shared" si="60"/>
        <v>0</v>
      </c>
      <c r="E719" s="32"/>
      <c r="F719" s="32"/>
      <c r="G719" s="29">
        <f t="shared" si="63"/>
        <v>0</v>
      </c>
      <c r="H719" s="29">
        <f t="shared" si="61"/>
        <v>0</v>
      </c>
      <c r="I719" s="31">
        <f t="shared" si="62"/>
        <v>0</v>
      </c>
      <c r="J719" s="32">
        <v>0</v>
      </c>
      <c r="K719" s="32"/>
      <c r="L719" s="29">
        <f t="shared" si="65"/>
        <v>0</v>
      </c>
      <c r="M719" s="33">
        <f t="shared" si="66"/>
        <v>0</v>
      </c>
    </row>
    <row r="720" spans="1:13" s="2" customFormat="1" x14ac:dyDescent="0.3">
      <c r="A720" s="25">
        <v>47</v>
      </c>
      <c r="B720" s="26">
        <v>1995</v>
      </c>
      <c r="C720" s="36" t="s">
        <v>59</v>
      </c>
      <c r="D720" s="32">
        <f t="shared" si="60"/>
        <v>-5826178.9500000002</v>
      </c>
      <c r="E720" s="32"/>
      <c r="F720" s="32"/>
      <c r="G720" s="29">
        <f t="shared" si="63"/>
        <v>-5826178.9500000002</v>
      </c>
      <c r="H720" s="29"/>
      <c r="I720" s="31">
        <f t="shared" si="62"/>
        <v>459678</v>
      </c>
      <c r="J720" s="32"/>
      <c r="K720" s="32"/>
      <c r="L720" s="29">
        <f t="shared" si="65"/>
        <v>459678</v>
      </c>
      <c r="M720" s="33">
        <f t="shared" si="66"/>
        <v>-5366500.95</v>
      </c>
    </row>
    <row r="721" spans="1:13" s="2" customFormat="1" ht="15.6" x14ac:dyDescent="0.3">
      <c r="A721" s="25">
        <v>47</v>
      </c>
      <c r="B721" s="26">
        <v>2440</v>
      </c>
      <c r="C721" s="36" t="s">
        <v>60</v>
      </c>
      <c r="D721" s="32">
        <f t="shared" si="60"/>
        <v>-2849724.8</v>
      </c>
      <c r="E721" s="32">
        <v>-560000</v>
      </c>
      <c r="F721" s="32"/>
      <c r="G721" s="29">
        <f t="shared" si="63"/>
        <v>-3409724.8</v>
      </c>
      <c r="H721" s="29"/>
      <c r="I721" s="31">
        <f t="shared" si="62"/>
        <v>94533</v>
      </c>
      <c r="J721" s="32">
        <f>+J630-E721/50*0.5</f>
        <v>45660</v>
      </c>
      <c r="K721" s="32"/>
      <c r="L721" s="29">
        <f t="shared" si="65"/>
        <v>140193</v>
      </c>
      <c r="M721" s="33">
        <f t="shared" si="66"/>
        <v>-3269531.8</v>
      </c>
    </row>
    <row r="722" spans="1:13" s="2" customFormat="1" x14ac:dyDescent="0.3">
      <c r="A722" s="46"/>
      <c r="B722" s="46"/>
      <c r="C722" s="47"/>
      <c r="D722" s="48"/>
      <c r="E722" s="48"/>
      <c r="F722" s="48"/>
      <c r="G722" s="29">
        <v>0</v>
      </c>
      <c r="H722"/>
      <c r="I722" s="48"/>
      <c r="J722" s="48"/>
      <c r="K722" s="48"/>
      <c r="L722" s="29">
        <v>0</v>
      </c>
      <c r="M722" s="33">
        <v>0</v>
      </c>
    </row>
    <row r="723" spans="1:13" s="2" customFormat="1" ht="13.2" x14ac:dyDescent="0.25">
      <c r="A723" s="46"/>
      <c r="B723" s="46"/>
      <c r="C723" s="49" t="s">
        <v>61</v>
      </c>
      <c r="D723" s="50">
        <f t="shared" ref="D723:M723" si="68">SUM(D682:D722)</f>
        <v>39309863.669999994</v>
      </c>
      <c r="E723" s="50">
        <f t="shared" si="68"/>
        <v>3257271</v>
      </c>
      <c r="F723" s="50">
        <f t="shared" si="68"/>
        <v>0</v>
      </c>
      <c r="G723" s="50">
        <f t="shared" si="68"/>
        <v>42567134.669999994</v>
      </c>
      <c r="H723" s="50">
        <f t="shared" si="68"/>
        <v>55454080.419999987</v>
      </c>
      <c r="I723" s="50">
        <f t="shared" si="68"/>
        <v>-4697862.07</v>
      </c>
      <c r="J723" s="50">
        <f t="shared" si="68"/>
        <v>-1786004.9029996903</v>
      </c>
      <c r="K723" s="50">
        <f t="shared" si="68"/>
        <v>0</v>
      </c>
      <c r="L723" s="50">
        <f t="shared" si="68"/>
        <v>-6483866.9729996901</v>
      </c>
      <c r="M723" s="50">
        <f t="shared" si="68"/>
        <v>36083267.697000317</v>
      </c>
    </row>
    <row r="724" spans="1:13" s="2" customFormat="1" ht="26.4" x14ac:dyDescent="0.3">
      <c r="A724" s="46"/>
      <c r="B724" s="46"/>
      <c r="C724" s="51" t="s">
        <v>62</v>
      </c>
      <c r="D724" s="32"/>
      <c r="E724" s="48"/>
      <c r="F724" s="48"/>
      <c r="G724" s="29"/>
      <c r="H724"/>
      <c r="I724" s="31"/>
      <c r="J724" s="48"/>
      <c r="K724" s="48"/>
      <c r="L724" s="29"/>
      <c r="M724" s="33"/>
    </row>
    <row r="725" spans="1:13" s="2" customFormat="1" ht="26.4" x14ac:dyDescent="0.3">
      <c r="A725" s="46"/>
      <c r="B725" s="46"/>
      <c r="C725" s="52" t="s">
        <v>63</v>
      </c>
      <c r="D725" s="48"/>
      <c r="E725" s="48"/>
      <c r="F725" s="48"/>
      <c r="G725" s="29">
        <v>0</v>
      </c>
      <c r="H725"/>
      <c r="I725" s="48"/>
      <c r="J725" s="48"/>
      <c r="K725" s="48"/>
      <c r="L725" s="29">
        <v>0</v>
      </c>
      <c r="M725" s="33">
        <v>0</v>
      </c>
    </row>
    <row r="726" spans="1:13" s="2" customFormat="1" ht="13.2" x14ac:dyDescent="0.25">
      <c r="A726" s="46"/>
      <c r="B726" s="46"/>
      <c r="C726" s="49" t="s">
        <v>65</v>
      </c>
      <c r="D726" s="50">
        <f>SUM(D723:D725)</f>
        <v>39309863.669999994</v>
      </c>
      <c r="E726" s="50">
        <f t="shared" ref="E726:M726" si="69">SUM(E723:E725)</f>
        <v>3257271</v>
      </c>
      <c r="F726" s="50">
        <f t="shared" si="69"/>
        <v>0</v>
      </c>
      <c r="G726" s="50">
        <f t="shared" si="69"/>
        <v>42567134.669999994</v>
      </c>
      <c r="H726" s="50">
        <f t="shared" si="69"/>
        <v>55454080.419999987</v>
      </c>
      <c r="I726" s="50">
        <f t="shared" si="69"/>
        <v>-4697862.07</v>
      </c>
      <c r="J726" s="50">
        <f t="shared" si="69"/>
        <v>-1786004.9029996903</v>
      </c>
      <c r="K726" s="50">
        <f t="shared" si="69"/>
        <v>0</v>
      </c>
      <c r="L726" s="50">
        <f t="shared" si="69"/>
        <v>-6483866.9729996901</v>
      </c>
      <c r="M726" s="50">
        <f t="shared" si="69"/>
        <v>36083267.697000317</v>
      </c>
    </row>
    <row r="727" spans="1:13" s="2" customFormat="1" ht="16.2" x14ac:dyDescent="0.3">
      <c r="A727" s="46"/>
      <c r="B727" s="46"/>
      <c r="C727" s="139" t="s">
        <v>66</v>
      </c>
      <c r="D727" s="140"/>
      <c r="E727" s="140"/>
      <c r="F727" s="140"/>
      <c r="G727" s="140"/>
      <c r="H727" s="140"/>
      <c r="I727" s="141"/>
      <c r="J727" s="48"/>
      <c r="K727" s="54"/>
      <c r="L727" s="55"/>
      <c r="M727" s="56"/>
    </row>
    <row r="728" spans="1:13" s="2" customFormat="1" x14ac:dyDescent="0.3">
      <c r="A728" s="46"/>
      <c r="B728" s="46"/>
      <c r="C728" s="139" t="s">
        <v>67</v>
      </c>
      <c r="D728" s="140"/>
      <c r="E728" s="140"/>
      <c r="F728" s="140"/>
      <c r="G728" s="140"/>
      <c r="H728" s="140"/>
      <c r="I728" s="141"/>
      <c r="J728" s="50">
        <f>J726-J727</f>
        <v>-1786004.9029996903</v>
      </c>
      <c r="K728" s="54"/>
      <c r="L728" s="55"/>
      <c r="M728" s="56"/>
    </row>
    <row r="729" spans="1:13" s="2" customFormat="1" x14ac:dyDescent="0.3">
      <c r="A729" s="1"/>
      <c r="B729" s="1"/>
      <c r="C729"/>
      <c r="D729"/>
      <c r="E729" s="76"/>
      <c r="F729"/>
      <c r="G729"/>
      <c r="H729"/>
      <c r="I729"/>
      <c r="J729"/>
      <c r="K729"/>
      <c r="L729" s="77"/>
      <c r="M729"/>
    </row>
    <row r="730" spans="1:13" s="2" customFormat="1" x14ac:dyDescent="0.3">
      <c r="A730" s="1"/>
      <c r="B730" s="1"/>
      <c r="C730"/>
      <c r="D730"/>
      <c r="E730" s="77"/>
      <c r="F730"/>
      <c r="G730"/>
      <c r="H730"/>
      <c r="I730" s="58" t="s">
        <v>68</v>
      </c>
      <c r="J730" s="59"/>
      <c r="K730"/>
      <c r="L730"/>
      <c r="M730" s="77"/>
    </row>
    <row r="731" spans="1:13" s="2" customFormat="1" x14ac:dyDescent="0.3">
      <c r="A731" s="46">
        <v>10</v>
      </c>
      <c r="B731" s="46"/>
      <c r="C731" s="47" t="s">
        <v>69</v>
      </c>
      <c r="D731"/>
      <c r="E731"/>
      <c r="F731"/>
      <c r="G731" s="77">
        <f>G726</f>
        <v>42567134.669999994</v>
      </c>
      <c r="H731"/>
      <c r="I731" s="59" t="s">
        <v>69</v>
      </c>
      <c r="J731" s="59"/>
      <c r="K731" s="60"/>
      <c r="L731"/>
      <c r="M731" s="97">
        <f>L726</f>
        <v>-6483866.9729996901</v>
      </c>
    </row>
    <row r="732" spans="1:13" s="2" customFormat="1" x14ac:dyDescent="0.3">
      <c r="A732" s="46">
        <v>8</v>
      </c>
      <c r="B732" s="46"/>
      <c r="C732" s="47" t="s">
        <v>47</v>
      </c>
      <c r="D732"/>
      <c r="E732"/>
      <c r="F732"/>
      <c r="G732" s="98">
        <f>G635</f>
        <v>39309863.669999994</v>
      </c>
      <c r="H732"/>
      <c r="I732" s="59" t="s">
        <v>47</v>
      </c>
      <c r="J732" s="59"/>
      <c r="K732" s="61"/>
      <c r="L732" s="98"/>
      <c r="M732" s="98">
        <f>L635</f>
        <v>-4697862.07</v>
      </c>
    </row>
    <row r="733" spans="1:13" s="2" customFormat="1" x14ac:dyDescent="0.3">
      <c r="A733" s="1"/>
      <c r="B733" s="1"/>
      <c r="C733"/>
      <c r="D733" s="77"/>
      <c r="E733"/>
      <c r="F733"/>
      <c r="G733" s="77"/>
      <c r="H733"/>
      <c r="I733" s="62" t="s">
        <v>70</v>
      </c>
      <c r="J733"/>
      <c r="K733" s="63">
        <f>J728</f>
        <v>-1786004.9029996903</v>
      </c>
      <c r="L733" s="77"/>
      <c r="M733" s="77"/>
    </row>
    <row r="734" spans="1:13" s="2" customFormat="1" x14ac:dyDescent="0.3">
      <c r="A734" s="1"/>
      <c r="B734" s="1"/>
      <c r="C734"/>
      <c r="D734" s="77"/>
      <c r="E734"/>
      <c r="F734"/>
      <c r="G734" s="98">
        <f>AVERAGE(G731:G732)</f>
        <v>40938499.169999994</v>
      </c>
      <c r="H734"/>
      <c r="I734"/>
      <c r="J734"/>
      <c r="K734"/>
      <c r="L734" s="98"/>
      <c r="M734" s="98">
        <f>AVERAGE(M731:M732)</f>
        <v>-5590864.5214998452</v>
      </c>
    </row>
    <row r="735" spans="1:13" s="2" customFormat="1" x14ac:dyDescent="0.3">
      <c r="A735" s="64" t="s">
        <v>71</v>
      </c>
      <c r="B735" s="1"/>
      <c r="C735"/>
      <c r="D735"/>
      <c r="E735"/>
      <c r="F735"/>
      <c r="G735"/>
      <c r="H735"/>
      <c r="I735" s="77"/>
      <c r="J735"/>
      <c r="K735"/>
      <c r="L735"/>
      <c r="M735"/>
    </row>
    <row r="736" spans="1:13" s="2" customFormat="1" x14ac:dyDescent="0.3">
      <c r="A736" s="1"/>
      <c r="B736" s="1"/>
      <c r="C736"/>
      <c r="D736"/>
      <c r="E736"/>
      <c r="F736"/>
      <c r="G736"/>
      <c r="H736"/>
      <c r="I736"/>
      <c r="J736"/>
      <c r="K736"/>
      <c r="L736"/>
      <c r="M736"/>
    </row>
    <row r="737" spans="1:13" s="2" customFormat="1" ht="13.2" x14ac:dyDescent="0.25">
      <c r="A737" s="1">
        <v>1</v>
      </c>
      <c r="B737" s="142" t="s">
        <v>72</v>
      </c>
      <c r="C737" s="142"/>
      <c r="D737" s="142"/>
      <c r="E737" s="142"/>
      <c r="F737" s="142"/>
      <c r="G737" s="142"/>
      <c r="H737" s="142"/>
      <c r="I737" s="142"/>
      <c r="J737" s="142"/>
      <c r="K737" s="142"/>
      <c r="L737" s="142"/>
      <c r="M737" s="142"/>
    </row>
    <row r="738" spans="1:13" s="2" customFormat="1" ht="13.2" x14ac:dyDescent="0.25">
      <c r="A738" s="1"/>
      <c r="B738" s="142"/>
      <c r="C738" s="142"/>
      <c r="D738" s="142"/>
      <c r="E738" s="142"/>
      <c r="F738" s="142"/>
      <c r="G738" s="142"/>
      <c r="H738" s="142"/>
      <c r="I738" s="142"/>
      <c r="J738" s="142"/>
      <c r="K738" s="142"/>
      <c r="L738" s="142"/>
      <c r="M738" s="142"/>
    </row>
    <row r="739" spans="1:13" s="2" customFormat="1" x14ac:dyDescent="0.3">
      <c r="A739" s="1"/>
      <c r="B739" s="1"/>
      <c r="C739"/>
      <c r="D739"/>
      <c r="E739"/>
      <c r="F739"/>
      <c r="G739"/>
      <c r="H739"/>
      <c r="I739"/>
      <c r="J739"/>
      <c r="K739"/>
      <c r="L739"/>
      <c r="M739"/>
    </row>
    <row r="740" spans="1:13" s="2" customFormat="1" ht="13.2" x14ac:dyDescent="0.25">
      <c r="A740" s="1">
        <v>2</v>
      </c>
      <c r="B740" s="143" t="s">
        <v>73</v>
      </c>
      <c r="C740" s="143"/>
      <c r="D740" s="143"/>
      <c r="E740" s="143"/>
      <c r="F740" s="143"/>
      <c r="G740" s="143"/>
      <c r="H740" s="143"/>
      <c r="I740" s="143"/>
      <c r="J740" s="143"/>
      <c r="K740" s="143"/>
      <c r="L740" s="143"/>
      <c r="M740" s="143"/>
    </row>
    <row r="741" spans="1:13" s="2" customFormat="1" ht="13.2" x14ac:dyDescent="0.25">
      <c r="A741" s="1"/>
      <c r="B741" s="143"/>
      <c r="C741" s="143"/>
      <c r="D741" s="143"/>
      <c r="E741" s="143"/>
      <c r="F741" s="143"/>
      <c r="G741" s="143"/>
      <c r="H741" s="143"/>
      <c r="I741" s="143"/>
      <c r="J741" s="143"/>
      <c r="K741" s="143"/>
      <c r="L741" s="143"/>
      <c r="M741" s="143"/>
    </row>
    <row r="742" spans="1:13" s="2" customFormat="1" x14ac:dyDescent="0.3">
      <c r="A742" s="1"/>
      <c r="B742" s="1"/>
      <c r="C742"/>
      <c r="D742"/>
      <c r="E742"/>
      <c r="F742"/>
      <c r="G742"/>
      <c r="H742"/>
      <c r="I742"/>
      <c r="J742"/>
      <c r="K742"/>
      <c r="L742"/>
      <c r="M742"/>
    </row>
    <row r="743" spans="1:13" s="2" customFormat="1" ht="13.2" x14ac:dyDescent="0.25">
      <c r="A743" s="1">
        <v>3</v>
      </c>
      <c r="B743" s="144" t="s">
        <v>74</v>
      </c>
      <c r="C743" s="144"/>
      <c r="D743" s="144"/>
      <c r="E743" s="144"/>
      <c r="F743" s="144"/>
      <c r="G743" s="144"/>
      <c r="H743" s="144"/>
      <c r="I743" s="144"/>
      <c r="J743" s="144"/>
      <c r="K743" s="144"/>
      <c r="L743" s="144"/>
      <c r="M743" s="144"/>
    </row>
    <row r="744" spans="1:13" s="2" customFormat="1" x14ac:dyDescent="0.3">
      <c r="A744" s="1"/>
      <c r="B744" s="1"/>
      <c r="C744"/>
      <c r="D744"/>
      <c r="E744"/>
      <c r="F744"/>
      <c r="G744"/>
      <c r="H744"/>
      <c r="I744"/>
      <c r="J744"/>
      <c r="K744"/>
      <c r="L744"/>
      <c r="M744"/>
    </row>
    <row r="745" spans="1:13" s="2" customFormat="1" x14ac:dyDescent="0.3">
      <c r="A745" s="1">
        <v>4</v>
      </c>
      <c r="B745" s="65" t="s">
        <v>75</v>
      </c>
      <c r="C745" s="12"/>
      <c r="D745"/>
      <c r="E745"/>
      <c r="F745"/>
      <c r="G745"/>
      <c r="H745"/>
      <c r="I745"/>
      <c r="J745"/>
      <c r="K745"/>
      <c r="L745"/>
      <c r="M745"/>
    </row>
    <row r="746" spans="1:13" s="2" customFormat="1" x14ac:dyDescent="0.3">
      <c r="A746" s="1"/>
      <c r="B746" s="1"/>
      <c r="C746"/>
      <c r="D746"/>
      <c r="E746"/>
      <c r="F746"/>
      <c r="G746"/>
      <c r="H746"/>
      <c r="I746"/>
      <c r="J746"/>
      <c r="K746"/>
      <c r="L746"/>
      <c r="M746"/>
    </row>
    <row r="747" spans="1:13" s="2" customFormat="1" x14ac:dyDescent="0.3">
      <c r="A747" s="1">
        <v>5</v>
      </c>
      <c r="B747" s="66" t="s">
        <v>76</v>
      </c>
      <c r="C747"/>
      <c r="D747"/>
      <c r="E747"/>
      <c r="F747"/>
      <c r="G747"/>
      <c r="H747"/>
      <c r="I747"/>
      <c r="J747"/>
      <c r="K747"/>
      <c r="L747"/>
      <c r="M747"/>
    </row>
    <row r="748" spans="1:13" s="2" customFormat="1" x14ac:dyDescent="0.3">
      <c r="A748" s="1"/>
      <c r="B748" s="1"/>
      <c r="C748"/>
      <c r="D748"/>
      <c r="E748"/>
      <c r="F748"/>
      <c r="G748"/>
      <c r="H748"/>
      <c r="I748"/>
      <c r="J748"/>
      <c r="K748"/>
      <c r="L748"/>
      <c r="M748"/>
    </row>
    <row r="749" spans="1:13" s="2" customFormat="1" ht="13.2" x14ac:dyDescent="0.25">
      <c r="A749" s="1">
        <v>6</v>
      </c>
      <c r="B749" s="144" t="s">
        <v>77</v>
      </c>
      <c r="C749" s="144"/>
      <c r="D749" s="144"/>
      <c r="E749" s="144"/>
      <c r="F749" s="144"/>
      <c r="G749" s="144"/>
      <c r="H749" s="144"/>
      <c r="I749" s="144"/>
      <c r="J749" s="144"/>
      <c r="K749" s="144"/>
      <c r="L749" s="144"/>
      <c r="M749" s="144"/>
    </row>
    <row r="750" spans="1:13" s="2" customFormat="1" ht="13.2" x14ac:dyDescent="0.25">
      <c r="A750" s="1"/>
      <c r="B750" s="144"/>
      <c r="C750" s="144"/>
      <c r="D750" s="144"/>
      <c r="E750" s="144"/>
      <c r="F750" s="144"/>
      <c r="G750" s="144"/>
      <c r="H750" s="144"/>
      <c r="I750" s="144"/>
      <c r="J750" s="144"/>
      <c r="K750" s="144"/>
      <c r="L750" s="144"/>
      <c r="M750" s="144"/>
    </row>
    <row r="751" spans="1:13" s="2" customFormat="1" ht="13.2" x14ac:dyDescent="0.25">
      <c r="A751" s="1"/>
      <c r="B751" s="144"/>
      <c r="C751" s="144"/>
      <c r="D751" s="144"/>
      <c r="E751" s="144"/>
      <c r="F751" s="144"/>
      <c r="G751" s="144"/>
      <c r="H751" s="144"/>
      <c r="I751" s="144"/>
      <c r="J751" s="144"/>
      <c r="K751" s="144"/>
      <c r="L751" s="144"/>
      <c r="M751" s="144"/>
    </row>
  </sheetData>
  <mergeCells count="69">
    <mergeCell ref="B740:M741"/>
    <mergeCell ref="B743:M743"/>
    <mergeCell ref="B749:M751"/>
    <mergeCell ref="A674:M674"/>
    <mergeCell ref="A675:M675"/>
    <mergeCell ref="D680:G680"/>
    <mergeCell ref="C727:I727"/>
    <mergeCell ref="C728:I728"/>
    <mergeCell ref="B737:M738"/>
    <mergeCell ref="B658:M660"/>
    <mergeCell ref="B558:M559"/>
    <mergeCell ref="B561:M561"/>
    <mergeCell ref="B567:M569"/>
    <mergeCell ref="A583:M583"/>
    <mergeCell ref="A584:M584"/>
    <mergeCell ref="D589:G589"/>
    <mergeCell ref="C636:I636"/>
    <mergeCell ref="C637:I637"/>
    <mergeCell ref="B646:M647"/>
    <mergeCell ref="B649:M650"/>
    <mergeCell ref="B652:M652"/>
    <mergeCell ref="B555:M556"/>
    <mergeCell ref="C456:I456"/>
    <mergeCell ref="C457:I457"/>
    <mergeCell ref="B466:M467"/>
    <mergeCell ref="B469:M470"/>
    <mergeCell ref="B472:M472"/>
    <mergeCell ref="B478:M480"/>
    <mergeCell ref="A492:M492"/>
    <mergeCell ref="A493:M493"/>
    <mergeCell ref="D498:G498"/>
    <mergeCell ref="C545:I545"/>
    <mergeCell ref="C546:I546"/>
    <mergeCell ref="D410:G410"/>
    <mergeCell ref="A316:M316"/>
    <mergeCell ref="A317:M317"/>
    <mergeCell ref="D322:G322"/>
    <mergeCell ref="C368:I368"/>
    <mergeCell ref="C369:I369"/>
    <mergeCell ref="B378:M379"/>
    <mergeCell ref="B381:M382"/>
    <mergeCell ref="B384:M384"/>
    <mergeCell ref="B390:M392"/>
    <mergeCell ref="A404:M404"/>
    <mergeCell ref="A405:M405"/>
    <mergeCell ref="C298:I298"/>
    <mergeCell ref="C151:I151"/>
    <mergeCell ref="C152:I152"/>
    <mergeCell ref="A173:M173"/>
    <mergeCell ref="A174:M174"/>
    <mergeCell ref="D179:G179"/>
    <mergeCell ref="C225:I225"/>
    <mergeCell ref="C226:I226"/>
    <mergeCell ref="A245:M245"/>
    <mergeCell ref="A246:M246"/>
    <mergeCell ref="D251:G251"/>
    <mergeCell ref="C297:I297"/>
    <mergeCell ref="D105:G105"/>
    <mergeCell ref="A9:M9"/>
    <mergeCell ref="A10:M10"/>
    <mergeCell ref="D15:G15"/>
    <mergeCell ref="C61:I61"/>
    <mergeCell ref="C62:I62"/>
    <mergeCell ref="B71:M72"/>
    <mergeCell ref="B74:M75"/>
    <mergeCell ref="B77:M77"/>
    <mergeCell ref="B83:M85"/>
    <mergeCell ref="A99:M99"/>
    <mergeCell ref="A100:M100"/>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opLeftCell="A4" workbookViewId="0">
      <selection activeCell="A15" sqref="A15:K15"/>
    </sheetView>
  </sheetViews>
  <sheetFormatPr defaultRowHeight="14.4" x14ac:dyDescent="0.3"/>
  <cols>
    <col min="1" max="1" width="51.6640625" style="99" customWidth="1"/>
    <col min="2" max="2" width="11" style="99" customWidth="1"/>
    <col min="3" max="7" width="13.6640625" style="99" customWidth="1"/>
    <col min="8" max="8" width="12.6640625" style="99" customWidth="1"/>
    <col min="9" max="9" width="9.44140625" style="99" customWidth="1"/>
    <col min="10" max="10" width="13.6640625" style="99" customWidth="1"/>
    <col min="11" max="11" width="12.44140625" style="99" customWidth="1"/>
    <col min="12" max="12" width="9.33203125" style="99" bestFit="1" customWidth="1"/>
    <col min="13" max="258" width="9.109375" style="99"/>
    <col min="259" max="259" width="51.6640625" style="99" customWidth="1"/>
    <col min="260" max="265" width="9.109375" style="99"/>
    <col min="266" max="266" width="11.33203125" style="99" customWidth="1"/>
    <col min="267" max="514" width="9.109375" style="99"/>
    <col min="515" max="515" width="51.6640625" style="99" customWidth="1"/>
    <col min="516" max="521" width="9.109375" style="99"/>
    <col min="522" max="522" width="11.33203125" style="99" customWidth="1"/>
    <col min="523" max="770" width="9.109375" style="99"/>
    <col min="771" max="771" width="51.6640625" style="99" customWidth="1"/>
    <col min="772" max="777" width="9.109375" style="99"/>
    <col min="778" max="778" width="11.33203125" style="99" customWidth="1"/>
    <col min="779" max="1026" width="9.109375" style="99"/>
    <col min="1027" max="1027" width="51.6640625" style="99" customWidth="1"/>
    <col min="1028" max="1033" width="9.109375" style="99"/>
    <col min="1034" max="1034" width="11.33203125" style="99" customWidth="1"/>
    <col min="1035" max="1282" width="9.109375" style="99"/>
    <col min="1283" max="1283" width="51.6640625" style="99" customWidth="1"/>
    <col min="1284" max="1289" width="9.109375" style="99"/>
    <col min="1290" max="1290" width="11.33203125" style="99" customWidth="1"/>
    <col min="1291" max="1538" width="9.109375" style="99"/>
    <col min="1539" max="1539" width="51.6640625" style="99" customWidth="1"/>
    <col min="1540" max="1545" width="9.109375" style="99"/>
    <col min="1546" max="1546" width="11.33203125" style="99" customWidth="1"/>
    <col min="1547" max="1794" width="9.109375" style="99"/>
    <col min="1795" max="1795" width="51.6640625" style="99" customWidth="1"/>
    <col min="1796" max="1801" width="9.109375" style="99"/>
    <col min="1802" max="1802" width="11.33203125" style="99" customWidth="1"/>
    <col min="1803" max="2050" width="9.109375" style="99"/>
    <col min="2051" max="2051" width="51.6640625" style="99" customWidth="1"/>
    <col min="2052" max="2057" width="9.109375" style="99"/>
    <col min="2058" max="2058" width="11.33203125" style="99" customWidth="1"/>
    <col min="2059" max="2306" width="9.109375" style="99"/>
    <col min="2307" max="2307" width="51.6640625" style="99" customWidth="1"/>
    <col min="2308" max="2313" width="9.109375" style="99"/>
    <col min="2314" max="2314" width="11.33203125" style="99" customWidth="1"/>
    <col min="2315" max="2562" width="9.109375" style="99"/>
    <col min="2563" max="2563" width="51.6640625" style="99" customWidth="1"/>
    <col min="2564" max="2569" width="9.109375" style="99"/>
    <col min="2570" max="2570" width="11.33203125" style="99" customWidth="1"/>
    <col min="2571" max="2818" width="9.109375" style="99"/>
    <col min="2819" max="2819" width="51.6640625" style="99" customWidth="1"/>
    <col min="2820" max="2825" width="9.109375" style="99"/>
    <col min="2826" max="2826" width="11.33203125" style="99" customWidth="1"/>
    <col min="2827" max="3074" width="9.109375" style="99"/>
    <col min="3075" max="3075" width="51.6640625" style="99" customWidth="1"/>
    <col min="3076" max="3081" width="9.109375" style="99"/>
    <col min="3082" max="3082" width="11.33203125" style="99" customWidth="1"/>
    <col min="3083" max="3330" width="9.109375" style="99"/>
    <col min="3331" max="3331" width="51.6640625" style="99" customWidth="1"/>
    <col min="3332" max="3337" width="9.109375" style="99"/>
    <col min="3338" max="3338" width="11.33203125" style="99" customWidth="1"/>
    <col min="3339" max="3586" width="9.109375" style="99"/>
    <col min="3587" max="3587" width="51.6640625" style="99" customWidth="1"/>
    <col min="3588" max="3593" width="9.109375" style="99"/>
    <col min="3594" max="3594" width="11.33203125" style="99" customWidth="1"/>
    <col min="3595" max="3842" width="9.109375" style="99"/>
    <col min="3843" max="3843" width="51.6640625" style="99" customWidth="1"/>
    <col min="3844" max="3849" width="9.109375" style="99"/>
    <col min="3850" max="3850" width="11.33203125" style="99" customWidth="1"/>
    <col min="3851" max="4098" width="9.109375" style="99"/>
    <col min="4099" max="4099" width="51.6640625" style="99" customWidth="1"/>
    <col min="4100" max="4105" width="9.109375" style="99"/>
    <col min="4106" max="4106" width="11.33203125" style="99" customWidth="1"/>
    <col min="4107" max="4354" width="9.109375" style="99"/>
    <col min="4355" max="4355" width="51.6640625" style="99" customWidth="1"/>
    <col min="4356" max="4361" width="9.109375" style="99"/>
    <col min="4362" max="4362" width="11.33203125" style="99" customWidth="1"/>
    <col min="4363" max="4610" width="9.109375" style="99"/>
    <col min="4611" max="4611" width="51.6640625" style="99" customWidth="1"/>
    <col min="4612" max="4617" width="9.109375" style="99"/>
    <col min="4618" max="4618" width="11.33203125" style="99" customWidth="1"/>
    <col min="4619" max="4866" width="9.109375" style="99"/>
    <col min="4867" max="4867" width="51.6640625" style="99" customWidth="1"/>
    <col min="4868" max="4873" width="9.109375" style="99"/>
    <col min="4874" max="4874" width="11.33203125" style="99" customWidth="1"/>
    <col min="4875" max="5122" width="9.109375" style="99"/>
    <col min="5123" max="5123" width="51.6640625" style="99" customWidth="1"/>
    <col min="5124" max="5129" width="9.109375" style="99"/>
    <col min="5130" max="5130" width="11.33203125" style="99" customWidth="1"/>
    <col min="5131" max="5378" width="9.109375" style="99"/>
    <col min="5379" max="5379" width="51.6640625" style="99" customWidth="1"/>
    <col min="5380" max="5385" width="9.109375" style="99"/>
    <col min="5386" max="5386" width="11.33203125" style="99" customWidth="1"/>
    <col min="5387" max="5634" width="9.109375" style="99"/>
    <col min="5635" max="5635" width="51.6640625" style="99" customWidth="1"/>
    <col min="5636" max="5641" width="9.109375" style="99"/>
    <col min="5642" max="5642" width="11.33203125" style="99" customWidth="1"/>
    <col min="5643" max="5890" width="9.109375" style="99"/>
    <col min="5891" max="5891" width="51.6640625" style="99" customWidth="1"/>
    <col min="5892" max="5897" width="9.109375" style="99"/>
    <col min="5898" max="5898" width="11.33203125" style="99" customWidth="1"/>
    <col min="5899" max="6146" width="9.109375" style="99"/>
    <col min="6147" max="6147" width="51.6640625" style="99" customWidth="1"/>
    <col min="6148" max="6153" width="9.109375" style="99"/>
    <col min="6154" max="6154" width="11.33203125" style="99" customWidth="1"/>
    <col min="6155" max="6402" width="9.109375" style="99"/>
    <col min="6403" max="6403" width="51.6640625" style="99" customWidth="1"/>
    <col min="6404" max="6409" width="9.109375" style="99"/>
    <col min="6410" max="6410" width="11.33203125" style="99" customWidth="1"/>
    <col min="6411" max="6658" width="9.109375" style="99"/>
    <col min="6659" max="6659" width="51.6640625" style="99" customWidth="1"/>
    <col min="6660" max="6665" width="9.109375" style="99"/>
    <col min="6666" max="6666" width="11.33203125" style="99" customWidth="1"/>
    <col min="6667" max="6914" width="9.109375" style="99"/>
    <col min="6915" max="6915" width="51.6640625" style="99" customWidth="1"/>
    <col min="6916" max="6921" width="9.109375" style="99"/>
    <col min="6922" max="6922" width="11.33203125" style="99" customWidth="1"/>
    <col min="6923" max="7170" width="9.109375" style="99"/>
    <col min="7171" max="7171" width="51.6640625" style="99" customWidth="1"/>
    <col min="7172" max="7177" width="9.109375" style="99"/>
    <col min="7178" max="7178" width="11.33203125" style="99" customWidth="1"/>
    <col min="7179" max="7426" width="9.109375" style="99"/>
    <col min="7427" max="7427" width="51.6640625" style="99" customWidth="1"/>
    <col min="7428" max="7433" width="9.109375" style="99"/>
    <col min="7434" max="7434" width="11.33203125" style="99" customWidth="1"/>
    <col min="7435" max="7682" width="9.109375" style="99"/>
    <col min="7683" max="7683" width="51.6640625" style="99" customWidth="1"/>
    <col min="7684" max="7689" width="9.109375" style="99"/>
    <col min="7690" max="7690" width="11.33203125" style="99" customWidth="1"/>
    <col min="7691" max="7938" width="9.109375" style="99"/>
    <col min="7939" max="7939" width="51.6640625" style="99" customWidth="1"/>
    <col min="7940" max="7945" width="9.109375" style="99"/>
    <col min="7946" max="7946" width="11.33203125" style="99" customWidth="1"/>
    <col min="7947" max="8194" width="9.109375" style="99"/>
    <col min="8195" max="8195" width="51.6640625" style="99" customWidth="1"/>
    <col min="8196" max="8201" width="9.109375" style="99"/>
    <col min="8202" max="8202" width="11.33203125" style="99" customWidth="1"/>
    <col min="8203" max="8450" width="9.109375" style="99"/>
    <col min="8451" max="8451" width="51.6640625" style="99" customWidth="1"/>
    <col min="8452" max="8457" width="9.109375" style="99"/>
    <col min="8458" max="8458" width="11.33203125" style="99" customWidth="1"/>
    <col min="8459" max="8706" width="9.109375" style="99"/>
    <col min="8707" max="8707" width="51.6640625" style="99" customWidth="1"/>
    <col min="8708" max="8713" width="9.109375" style="99"/>
    <col min="8714" max="8714" width="11.33203125" style="99" customWidth="1"/>
    <col min="8715" max="8962" width="9.109375" style="99"/>
    <col min="8963" max="8963" width="51.6640625" style="99" customWidth="1"/>
    <col min="8964" max="8969" width="9.109375" style="99"/>
    <col min="8970" max="8970" width="11.33203125" style="99" customWidth="1"/>
    <col min="8971" max="9218" width="9.109375" style="99"/>
    <col min="9219" max="9219" width="51.6640625" style="99" customWidth="1"/>
    <col min="9220" max="9225" width="9.109375" style="99"/>
    <col min="9226" max="9226" width="11.33203125" style="99" customWidth="1"/>
    <col min="9227" max="9474" width="9.109375" style="99"/>
    <col min="9475" max="9475" width="51.6640625" style="99" customWidth="1"/>
    <col min="9476" max="9481" width="9.109375" style="99"/>
    <col min="9482" max="9482" width="11.33203125" style="99" customWidth="1"/>
    <col min="9483" max="9730" width="9.109375" style="99"/>
    <col min="9731" max="9731" width="51.6640625" style="99" customWidth="1"/>
    <col min="9732" max="9737" width="9.109375" style="99"/>
    <col min="9738" max="9738" width="11.33203125" style="99" customWidth="1"/>
    <col min="9739" max="9986" width="9.109375" style="99"/>
    <col min="9987" max="9987" width="51.6640625" style="99" customWidth="1"/>
    <col min="9988" max="9993" width="9.109375" style="99"/>
    <col min="9994" max="9994" width="11.33203125" style="99" customWidth="1"/>
    <col min="9995" max="10242" width="9.109375" style="99"/>
    <col min="10243" max="10243" width="51.6640625" style="99" customWidth="1"/>
    <col min="10244" max="10249" width="9.109375" style="99"/>
    <col min="10250" max="10250" width="11.33203125" style="99" customWidth="1"/>
    <col min="10251" max="10498" width="9.109375" style="99"/>
    <col min="10499" max="10499" width="51.6640625" style="99" customWidth="1"/>
    <col min="10500" max="10505" width="9.109375" style="99"/>
    <col min="10506" max="10506" width="11.33203125" style="99" customWidth="1"/>
    <col min="10507" max="10754" width="9.109375" style="99"/>
    <col min="10755" max="10755" width="51.6640625" style="99" customWidth="1"/>
    <col min="10756" max="10761" width="9.109375" style="99"/>
    <col min="10762" max="10762" width="11.33203125" style="99" customWidth="1"/>
    <col min="10763" max="11010" width="9.109375" style="99"/>
    <col min="11011" max="11011" width="51.6640625" style="99" customWidth="1"/>
    <col min="11012" max="11017" width="9.109375" style="99"/>
    <col min="11018" max="11018" width="11.33203125" style="99" customWidth="1"/>
    <col min="11019" max="11266" width="9.109375" style="99"/>
    <col min="11267" max="11267" width="51.6640625" style="99" customWidth="1"/>
    <col min="11268" max="11273" width="9.109375" style="99"/>
    <col min="11274" max="11274" width="11.33203125" style="99" customWidth="1"/>
    <col min="11275" max="11522" width="9.109375" style="99"/>
    <col min="11523" max="11523" width="51.6640625" style="99" customWidth="1"/>
    <col min="11524" max="11529" width="9.109375" style="99"/>
    <col min="11530" max="11530" width="11.33203125" style="99" customWidth="1"/>
    <col min="11531" max="11778" width="9.109375" style="99"/>
    <col min="11779" max="11779" width="51.6640625" style="99" customWidth="1"/>
    <col min="11780" max="11785" width="9.109375" style="99"/>
    <col min="11786" max="11786" width="11.33203125" style="99" customWidth="1"/>
    <col min="11787" max="12034" width="9.109375" style="99"/>
    <col min="12035" max="12035" width="51.6640625" style="99" customWidth="1"/>
    <col min="12036" max="12041" width="9.109375" style="99"/>
    <col min="12042" max="12042" width="11.33203125" style="99" customWidth="1"/>
    <col min="12043" max="12290" width="9.109375" style="99"/>
    <col min="12291" max="12291" width="51.6640625" style="99" customWidth="1"/>
    <col min="12292" max="12297" width="9.109375" style="99"/>
    <col min="12298" max="12298" width="11.33203125" style="99" customWidth="1"/>
    <col min="12299" max="12546" width="9.109375" style="99"/>
    <col min="12547" max="12547" width="51.6640625" style="99" customWidth="1"/>
    <col min="12548" max="12553" width="9.109375" style="99"/>
    <col min="12554" max="12554" width="11.33203125" style="99" customWidth="1"/>
    <col min="12555" max="12802" width="9.109375" style="99"/>
    <col min="12803" max="12803" width="51.6640625" style="99" customWidth="1"/>
    <col min="12804" max="12809" width="9.109375" style="99"/>
    <col min="12810" max="12810" width="11.33203125" style="99" customWidth="1"/>
    <col min="12811" max="13058" width="9.109375" style="99"/>
    <col min="13059" max="13059" width="51.6640625" style="99" customWidth="1"/>
    <col min="13060" max="13065" width="9.109375" style="99"/>
    <col min="13066" max="13066" width="11.33203125" style="99" customWidth="1"/>
    <col min="13067" max="13314" width="9.109375" style="99"/>
    <col min="13315" max="13315" width="51.6640625" style="99" customWidth="1"/>
    <col min="13316" max="13321" width="9.109375" style="99"/>
    <col min="13322" max="13322" width="11.33203125" style="99" customWidth="1"/>
    <col min="13323" max="13570" width="9.109375" style="99"/>
    <col min="13571" max="13571" width="51.6640625" style="99" customWidth="1"/>
    <col min="13572" max="13577" width="9.109375" style="99"/>
    <col min="13578" max="13578" width="11.33203125" style="99" customWidth="1"/>
    <col min="13579" max="13826" width="9.109375" style="99"/>
    <col min="13827" max="13827" width="51.6640625" style="99" customWidth="1"/>
    <col min="13828" max="13833" width="9.109375" style="99"/>
    <col min="13834" max="13834" width="11.33203125" style="99" customWidth="1"/>
    <col min="13835" max="14082" width="9.109375" style="99"/>
    <col min="14083" max="14083" width="51.6640625" style="99" customWidth="1"/>
    <col min="14084" max="14089" width="9.109375" style="99"/>
    <col min="14090" max="14090" width="11.33203125" style="99" customWidth="1"/>
    <col min="14091" max="14338" width="9.109375" style="99"/>
    <col min="14339" max="14339" width="51.6640625" style="99" customWidth="1"/>
    <col min="14340" max="14345" width="9.109375" style="99"/>
    <col min="14346" max="14346" width="11.33203125" style="99" customWidth="1"/>
    <col min="14347" max="14594" width="9.109375" style="99"/>
    <col min="14595" max="14595" width="51.6640625" style="99" customWidth="1"/>
    <col min="14596" max="14601" width="9.109375" style="99"/>
    <col min="14602" max="14602" width="11.33203125" style="99" customWidth="1"/>
    <col min="14603" max="14850" width="9.109375" style="99"/>
    <col min="14851" max="14851" width="51.6640625" style="99" customWidth="1"/>
    <col min="14852" max="14857" width="9.109375" style="99"/>
    <col min="14858" max="14858" width="11.33203125" style="99" customWidth="1"/>
    <col min="14859" max="15106" width="9.109375" style="99"/>
    <col min="15107" max="15107" width="51.6640625" style="99" customWidth="1"/>
    <col min="15108" max="15113" width="9.109375" style="99"/>
    <col min="15114" max="15114" width="11.33203125" style="99" customWidth="1"/>
    <col min="15115" max="15362" width="9.109375" style="99"/>
    <col min="15363" max="15363" width="51.6640625" style="99" customWidth="1"/>
    <col min="15364" max="15369" width="9.109375" style="99"/>
    <col min="15370" max="15370" width="11.33203125" style="99" customWidth="1"/>
    <col min="15371" max="15618" width="9.109375" style="99"/>
    <col min="15619" max="15619" width="51.6640625" style="99" customWidth="1"/>
    <col min="15620" max="15625" width="9.109375" style="99"/>
    <col min="15626" max="15626" width="11.33203125" style="99" customWidth="1"/>
    <col min="15627" max="15874" width="9.109375" style="99"/>
    <col min="15875" max="15875" width="51.6640625" style="99" customWidth="1"/>
    <col min="15876" max="15881" width="9.109375" style="99"/>
    <col min="15882" max="15882" width="11.33203125" style="99" customWidth="1"/>
    <col min="15883" max="16130" width="9.109375" style="99"/>
    <col min="16131" max="16131" width="51.6640625" style="99" customWidth="1"/>
    <col min="16132" max="16137" width="9.109375" style="99"/>
    <col min="16138" max="16138" width="11.33203125" style="99" customWidth="1"/>
    <col min="16139" max="16384" width="9.109375" style="99"/>
  </cols>
  <sheetData>
    <row r="1" spans="1:14" ht="15" x14ac:dyDescent="0.25">
      <c r="A1" s="2"/>
      <c r="B1" s="84"/>
      <c r="C1" s="84"/>
      <c r="D1" s="84"/>
      <c r="E1" s="84"/>
      <c r="F1" s="84"/>
      <c r="G1" s="84"/>
      <c r="H1" s="84"/>
      <c r="I1" s="2"/>
      <c r="J1" s="4" t="s">
        <v>0</v>
      </c>
      <c r="K1" s="8" t="str">
        <f>EBNUMBER</f>
        <v>EB-2017-0038</v>
      </c>
    </row>
    <row r="2" spans="1:14" ht="15" x14ac:dyDescent="0.25">
      <c r="A2" s="2"/>
      <c r="B2" s="84"/>
      <c r="C2" s="84"/>
      <c r="D2" s="84"/>
      <c r="E2" s="84"/>
      <c r="F2" s="84"/>
      <c r="G2" s="84"/>
      <c r="H2" s="84"/>
      <c r="I2" s="2"/>
      <c r="J2" s="4" t="s">
        <v>1</v>
      </c>
      <c r="K2" s="6">
        <v>9</v>
      </c>
    </row>
    <row r="3" spans="1:14" ht="15" x14ac:dyDescent="0.25">
      <c r="A3" s="2"/>
      <c r="B3" s="84"/>
      <c r="C3" s="84"/>
      <c r="D3" s="84"/>
      <c r="E3" s="84"/>
      <c r="F3" s="84"/>
      <c r="G3" s="84"/>
      <c r="H3" s="84"/>
      <c r="I3" s="2"/>
      <c r="J3" s="4" t="s">
        <v>2</v>
      </c>
      <c r="K3" s="6">
        <v>6</v>
      </c>
    </row>
    <row r="4" spans="1:14" ht="15" x14ac:dyDescent="0.25">
      <c r="A4" s="2"/>
      <c r="B4" s="84"/>
      <c r="C4" s="84"/>
      <c r="D4" s="84"/>
      <c r="E4" s="84"/>
      <c r="F4" s="84"/>
      <c r="G4" s="84"/>
      <c r="H4" s="84"/>
      <c r="I4" s="2"/>
      <c r="J4" s="4" t="s">
        <v>3</v>
      </c>
      <c r="K4" s="6"/>
    </row>
    <row r="5" spans="1:14" ht="15" x14ac:dyDescent="0.25">
      <c r="A5" s="2"/>
      <c r="B5" s="84"/>
      <c r="C5" s="84"/>
      <c r="D5" s="84"/>
      <c r="E5" s="84"/>
      <c r="F5" s="84"/>
      <c r="G5" s="84"/>
      <c r="H5" s="84"/>
      <c r="I5" s="2"/>
      <c r="J5" s="4" t="s">
        <v>4</v>
      </c>
      <c r="K5" s="100">
        <v>15</v>
      </c>
    </row>
    <row r="6" spans="1:14" ht="15" x14ac:dyDescent="0.25">
      <c r="A6" s="2"/>
      <c r="B6" s="84"/>
      <c r="C6" s="84"/>
      <c r="D6" s="84"/>
      <c r="E6" s="84"/>
      <c r="F6" s="84"/>
      <c r="G6" s="84"/>
      <c r="H6" s="84"/>
      <c r="I6" s="2"/>
      <c r="J6" s="4"/>
      <c r="K6" s="8"/>
    </row>
    <row r="7" spans="1:14" ht="15" x14ac:dyDescent="0.25">
      <c r="A7" s="2"/>
      <c r="B7" s="84"/>
      <c r="C7" s="84"/>
      <c r="D7" s="84"/>
      <c r="E7" s="84"/>
      <c r="F7" s="84"/>
      <c r="G7" s="84"/>
      <c r="H7" s="84"/>
      <c r="I7" s="2"/>
      <c r="J7" s="4" t="s">
        <v>5</v>
      </c>
      <c r="K7" s="101" t="s">
        <v>82</v>
      </c>
    </row>
    <row r="8" spans="1:14" ht="15" x14ac:dyDescent="0.25">
      <c r="A8" s="2"/>
      <c r="B8" s="2"/>
      <c r="C8" s="2"/>
      <c r="D8" s="2"/>
      <c r="E8" s="2"/>
      <c r="F8" s="2"/>
      <c r="G8" s="2"/>
      <c r="H8" s="2"/>
      <c r="I8" s="2"/>
      <c r="J8" s="2"/>
      <c r="K8" s="2"/>
    </row>
    <row r="9" spans="1:14" ht="18" x14ac:dyDescent="0.25">
      <c r="A9" s="146" t="s">
        <v>83</v>
      </c>
      <c r="B9" s="147"/>
      <c r="C9" s="147"/>
      <c r="D9" s="147"/>
      <c r="E9" s="147"/>
      <c r="F9" s="147"/>
      <c r="G9" s="147"/>
      <c r="H9" s="147"/>
      <c r="I9" s="147"/>
      <c r="J9" s="147"/>
      <c r="K9" s="147"/>
    </row>
    <row r="10" spans="1:14" ht="18" x14ac:dyDescent="0.25">
      <c r="A10" s="146" t="s">
        <v>84</v>
      </c>
      <c r="B10" s="148"/>
      <c r="C10" s="148"/>
      <c r="D10" s="148"/>
      <c r="E10" s="148"/>
      <c r="F10" s="148"/>
      <c r="G10" s="148"/>
      <c r="H10" s="148"/>
      <c r="I10" s="148"/>
      <c r="J10" s="148"/>
      <c r="K10" s="148"/>
    </row>
    <row r="11" spans="1:14" ht="18" x14ac:dyDescent="0.25">
      <c r="A11" s="146" t="s">
        <v>85</v>
      </c>
      <c r="B11" s="148"/>
      <c r="C11" s="148"/>
      <c r="D11" s="148"/>
      <c r="E11" s="148"/>
      <c r="F11" s="148"/>
      <c r="G11" s="148"/>
      <c r="H11" s="148"/>
      <c r="I11" s="148"/>
      <c r="J11" s="148"/>
      <c r="K11" s="148"/>
    </row>
    <row r="12" spans="1:14" ht="15" x14ac:dyDescent="0.25">
      <c r="A12" s="102"/>
      <c r="B12" s="2"/>
      <c r="C12" s="2"/>
      <c r="D12" s="2"/>
      <c r="E12" s="2"/>
      <c r="F12" s="2"/>
      <c r="G12" s="2"/>
      <c r="H12" s="2"/>
      <c r="I12" s="2"/>
      <c r="J12" s="2"/>
      <c r="K12" s="2"/>
    </row>
    <row r="13" spans="1:14" s="104" customFormat="1" ht="36" customHeight="1" x14ac:dyDescent="0.25">
      <c r="A13" s="149" t="s">
        <v>86</v>
      </c>
      <c r="B13" s="149"/>
      <c r="C13" s="149"/>
      <c r="D13" s="149"/>
      <c r="E13" s="149"/>
      <c r="F13" s="149"/>
      <c r="G13" s="149"/>
      <c r="H13" s="149"/>
      <c r="I13" s="149"/>
      <c r="J13" s="149"/>
      <c r="K13" s="149"/>
      <c r="L13" s="103"/>
      <c r="M13" s="103"/>
      <c r="N13" s="103"/>
    </row>
    <row r="14" spans="1:14" ht="15" x14ac:dyDescent="0.25">
      <c r="A14" s="105"/>
      <c r="B14" s="105"/>
      <c r="C14" s="105"/>
      <c r="D14" s="105"/>
      <c r="E14" s="105"/>
      <c r="F14" s="105"/>
      <c r="G14" s="105"/>
      <c r="H14" s="105"/>
      <c r="I14" s="105"/>
      <c r="J14" s="105"/>
      <c r="K14" s="105"/>
      <c r="L14" s="106"/>
      <c r="M14" s="106"/>
    </row>
    <row r="15" spans="1:14" ht="15" x14ac:dyDescent="0.25">
      <c r="A15" s="150"/>
      <c r="B15" s="150"/>
      <c r="C15" s="150"/>
      <c r="D15" s="150"/>
      <c r="E15" s="150"/>
      <c r="F15" s="150"/>
      <c r="G15" s="150"/>
      <c r="H15" s="150"/>
      <c r="I15" s="150"/>
      <c r="J15" s="150"/>
      <c r="K15" s="150"/>
      <c r="L15" s="106"/>
      <c r="M15" s="106"/>
    </row>
    <row r="16" spans="1:14" ht="15" x14ac:dyDescent="0.25">
      <c r="A16" s="105"/>
      <c r="B16" s="105"/>
      <c r="C16" s="105"/>
      <c r="D16" s="105"/>
      <c r="E16" s="105"/>
      <c r="F16" s="105"/>
      <c r="G16" s="105"/>
      <c r="H16" s="105"/>
      <c r="I16" s="105"/>
      <c r="J16" s="105"/>
      <c r="K16" s="105"/>
      <c r="L16" s="106"/>
      <c r="M16" s="106"/>
    </row>
    <row r="17" spans="1:9" ht="39" x14ac:dyDescent="0.25">
      <c r="A17" s="105"/>
      <c r="B17" s="107" t="s">
        <v>87</v>
      </c>
      <c r="C17" s="107">
        <v>2013</v>
      </c>
      <c r="D17" s="107">
        <v>2014</v>
      </c>
      <c r="E17" s="107">
        <v>2015</v>
      </c>
      <c r="F17" s="107">
        <v>2016</v>
      </c>
      <c r="G17" s="107">
        <v>2017</v>
      </c>
      <c r="H17" s="107" t="s">
        <v>88</v>
      </c>
      <c r="I17" s="106"/>
    </row>
    <row r="18" spans="1:9" ht="25.5" x14ac:dyDescent="0.25">
      <c r="A18" s="108" t="s">
        <v>89</v>
      </c>
      <c r="B18" s="109" t="s">
        <v>9</v>
      </c>
      <c r="C18" s="109" t="s">
        <v>9</v>
      </c>
      <c r="D18" s="109" t="s">
        <v>9</v>
      </c>
      <c r="E18" s="110" t="s">
        <v>90</v>
      </c>
      <c r="F18" s="109" t="s">
        <v>79</v>
      </c>
      <c r="G18" s="109" t="s">
        <v>79</v>
      </c>
      <c r="H18" s="110" t="s">
        <v>79</v>
      </c>
      <c r="I18" s="106"/>
    </row>
    <row r="19" spans="1:9" ht="15" x14ac:dyDescent="0.25">
      <c r="A19" s="108"/>
      <c r="B19" s="109" t="s">
        <v>91</v>
      </c>
      <c r="C19" s="109" t="s">
        <v>91</v>
      </c>
      <c r="D19" s="109" t="s">
        <v>91</v>
      </c>
      <c r="E19" s="109" t="s">
        <v>91</v>
      </c>
      <c r="F19" s="109" t="s">
        <v>91</v>
      </c>
      <c r="G19" s="109" t="s">
        <v>91</v>
      </c>
      <c r="H19" s="109" t="s">
        <v>92</v>
      </c>
      <c r="I19" s="106"/>
    </row>
    <row r="20" spans="1:9" ht="15" x14ac:dyDescent="0.25">
      <c r="A20" s="105"/>
      <c r="B20" s="111"/>
      <c r="C20" s="112" t="s">
        <v>93</v>
      </c>
      <c r="D20" s="112" t="s">
        <v>93</v>
      </c>
      <c r="E20" s="112"/>
      <c r="F20" s="112" t="s">
        <v>93</v>
      </c>
      <c r="G20" s="112"/>
      <c r="H20" s="112"/>
      <c r="I20" s="106"/>
    </row>
    <row r="21" spans="1:9" ht="15" x14ac:dyDescent="0.25">
      <c r="A21" s="108" t="s">
        <v>94</v>
      </c>
      <c r="B21" s="151"/>
      <c r="C21" s="151"/>
      <c r="D21" s="151"/>
      <c r="E21" s="151"/>
      <c r="F21" s="151"/>
      <c r="G21" s="151"/>
      <c r="H21" s="152"/>
      <c r="I21" s="106"/>
    </row>
    <row r="22" spans="1:9" ht="15" x14ac:dyDescent="0.25">
      <c r="A22" s="113" t="s">
        <v>95</v>
      </c>
      <c r="B22" s="114"/>
      <c r="C22" s="115">
        <f>'Revised 2-BA'!M60</f>
        <v>23311278.719999999</v>
      </c>
      <c r="D22" s="116">
        <f>+C25</f>
        <v>25951980.049999997</v>
      </c>
      <c r="E22" s="116">
        <f>+D25</f>
        <v>28375850.629999995</v>
      </c>
      <c r="F22" s="116">
        <f>+E25</f>
        <v>30492659.039999995</v>
      </c>
      <c r="G22" s="116">
        <f>+F25</f>
        <v>32656313.949999996</v>
      </c>
      <c r="H22" s="117"/>
      <c r="I22" s="106"/>
    </row>
    <row r="23" spans="1:9" ht="15" x14ac:dyDescent="0.25">
      <c r="A23" s="113" t="s">
        <v>96</v>
      </c>
      <c r="B23" s="114"/>
      <c r="C23" s="118">
        <v>4325411.33</v>
      </c>
      <c r="D23" s="118">
        <v>4187749.5799999991</v>
      </c>
      <c r="E23" s="118">
        <v>3811188.4100000006</v>
      </c>
      <c r="F23" s="118">
        <v>3066980.9100000011</v>
      </c>
      <c r="G23" s="118">
        <v>3197590</v>
      </c>
      <c r="H23" s="117"/>
      <c r="I23" s="106"/>
    </row>
    <row r="24" spans="1:9" ht="15" x14ac:dyDescent="0.25">
      <c r="A24" s="113" t="s">
        <v>97</v>
      </c>
      <c r="B24" s="114"/>
      <c r="C24" s="118">
        <v>-1684710</v>
      </c>
      <c r="D24" s="118">
        <v>-1763879</v>
      </c>
      <c r="E24" s="118">
        <v>-1694380</v>
      </c>
      <c r="F24" s="118">
        <v>-903326</v>
      </c>
      <c r="G24" s="118">
        <v>-2368405</v>
      </c>
      <c r="H24" s="117"/>
      <c r="I24" s="106"/>
    </row>
    <row r="25" spans="1:9" ht="15" x14ac:dyDescent="0.25">
      <c r="A25" s="119" t="s">
        <v>98</v>
      </c>
      <c r="B25" s="114"/>
      <c r="C25" s="116">
        <f>C22+C23+C24</f>
        <v>25951980.049999997</v>
      </c>
      <c r="D25" s="116">
        <f>D22+D23+D24</f>
        <v>28375850.629999995</v>
      </c>
      <c r="E25" s="116">
        <f>E22+E23+E24</f>
        <v>30492659.039999995</v>
      </c>
      <c r="F25" s="116">
        <f>F22+F23+F24</f>
        <v>32656313.949999996</v>
      </c>
      <c r="G25" s="116">
        <f>G22+G23+G24</f>
        <v>33485498.949999996</v>
      </c>
      <c r="H25" s="117"/>
      <c r="I25" s="106"/>
    </row>
    <row r="26" spans="1:9" x14ac:dyDescent="0.3">
      <c r="A26" s="105"/>
      <c r="B26" s="153"/>
      <c r="C26" s="153"/>
      <c r="D26" s="153"/>
      <c r="E26" s="153"/>
      <c r="F26" s="153"/>
      <c r="G26" s="153"/>
      <c r="H26" s="154"/>
      <c r="I26" s="106"/>
    </row>
    <row r="27" spans="1:9" x14ac:dyDescent="0.3">
      <c r="A27" s="120" t="s">
        <v>99</v>
      </c>
      <c r="B27" s="155"/>
      <c r="C27" s="155"/>
      <c r="D27" s="155"/>
      <c r="E27" s="155"/>
      <c r="F27" s="155"/>
      <c r="G27" s="155"/>
      <c r="H27" s="156"/>
      <c r="I27" s="106"/>
    </row>
    <row r="28" spans="1:9" ht="15" x14ac:dyDescent="0.25">
      <c r="A28" s="113" t="s">
        <v>100</v>
      </c>
      <c r="B28" s="117"/>
      <c r="C28" s="115">
        <f>C22</f>
        <v>23311278.719999999</v>
      </c>
      <c r="D28" s="116">
        <f>+C31</f>
        <v>26182356.769999996</v>
      </c>
      <c r="E28" s="116">
        <f>+D31</f>
        <v>28788043.439999994</v>
      </c>
      <c r="F28" s="116">
        <f>+E31</f>
        <v>31145008.719999995</v>
      </c>
      <c r="G28" s="116">
        <f>+F31</f>
        <v>33552219.249999996</v>
      </c>
      <c r="H28" s="117"/>
      <c r="I28" s="106"/>
    </row>
    <row r="29" spans="1:9" ht="15" x14ac:dyDescent="0.25">
      <c r="A29" s="113" t="s">
        <v>96</v>
      </c>
      <c r="B29" s="117"/>
      <c r="C29" s="118">
        <v>4067096.33</v>
      </c>
      <c r="D29" s="118">
        <v>3922840.5799999991</v>
      </c>
      <c r="E29" s="118">
        <v>3536093.4100000006</v>
      </c>
      <c r="F29" s="118">
        <v>2772051.9100000011</v>
      </c>
      <c r="G29" s="118">
        <v>2896517</v>
      </c>
      <c r="H29" s="117"/>
      <c r="I29" s="106"/>
    </row>
    <row r="30" spans="1:9" ht="15" x14ac:dyDescent="0.25">
      <c r="A30" s="113" t="s">
        <v>97</v>
      </c>
      <c r="B30" s="117"/>
      <c r="C30" s="118">
        <v>-1196018.2799999998</v>
      </c>
      <c r="D30" s="118">
        <v>-1317153.9099999999</v>
      </c>
      <c r="E30" s="118">
        <v>-1179128.1300000004</v>
      </c>
      <c r="F30" s="118">
        <v>-364841.38000000059</v>
      </c>
      <c r="G30" s="118">
        <v>-1836738.65</v>
      </c>
      <c r="H30" s="117"/>
      <c r="I30" s="106"/>
    </row>
    <row r="31" spans="1:9" ht="15" x14ac:dyDescent="0.25">
      <c r="A31" s="119" t="s">
        <v>101</v>
      </c>
      <c r="B31" s="117"/>
      <c r="C31" s="116">
        <f>SUM(C28:C30)</f>
        <v>26182356.769999996</v>
      </c>
      <c r="D31" s="116">
        <f>SUM(D28:D30)</f>
        <v>28788043.439999994</v>
      </c>
      <c r="E31" s="116">
        <f>SUM(E28:E30)</f>
        <v>31145008.719999995</v>
      </c>
      <c r="F31" s="116">
        <f>SUM(F28:F30)</f>
        <v>33552219.249999996</v>
      </c>
      <c r="G31" s="116">
        <f>SUM(G28:G30)</f>
        <v>34611997.600000001</v>
      </c>
      <c r="H31" s="117"/>
      <c r="I31" s="106"/>
    </row>
    <row r="32" spans="1:9" ht="15" x14ac:dyDescent="0.25">
      <c r="A32" s="105"/>
      <c r="B32" s="151"/>
      <c r="C32" s="151"/>
      <c r="D32" s="151"/>
      <c r="E32" s="151"/>
      <c r="F32" s="151"/>
      <c r="G32" s="151"/>
      <c r="H32" s="152"/>
      <c r="I32" s="106"/>
    </row>
    <row r="33" spans="1:13" ht="26.25" x14ac:dyDescent="0.25">
      <c r="A33" s="121" t="s">
        <v>102</v>
      </c>
      <c r="B33" s="117"/>
      <c r="C33" s="122">
        <f>C25-C31</f>
        <v>-230376.71999999881</v>
      </c>
      <c r="D33" s="122">
        <f>D25-D31</f>
        <v>-412192.80999999866</v>
      </c>
      <c r="E33" s="122">
        <f>E25-E31</f>
        <v>-652349.6799999997</v>
      </c>
      <c r="F33" s="122">
        <f>F25-F31</f>
        <v>-895905.30000000075</v>
      </c>
      <c r="G33" s="122">
        <f>G25-G31</f>
        <v>-1126498.650000006</v>
      </c>
      <c r="H33" s="117"/>
      <c r="I33" s="106"/>
    </row>
    <row r="34" spans="1:13" ht="15" x14ac:dyDescent="0.25">
      <c r="A34" s="108"/>
      <c r="B34" s="105"/>
      <c r="C34" s="123"/>
      <c r="D34" s="123"/>
      <c r="E34" s="123"/>
      <c r="F34" s="123"/>
      <c r="G34" s="123"/>
      <c r="H34" s="123"/>
      <c r="I34" s="123"/>
      <c r="J34" s="123"/>
      <c r="K34" s="105"/>
      <c r="L34" s="106"/>
      <c r="M34" s="106"/>
    </row>
    <row r="35" spans="1:13" ht="15" x14ac:dyDescent="0.25">
      <c r="A35" s="108"/>
      <c r="B35" s="105"/>
      <c r="C35" s="123"/>
      <c r="D35" s="123"/>
      <c r="E35" s="123"/>
      <c r="F35" s="123"/>
      <c r="G35" s="123"/>
      <c r="H35" s="123"/>
      <c r="I35" s="123"/>
      <c r="J35" s="123"/>
      <c r="K35" s="105"/>
      <c r="L35" s="106"/>
      <c r="M35" s="106"/>
    </row>
    <row r="36" spans="1:13" ht="15" x14ac:dyDescent="0.25">
      <c r="A36" s="108" t="s">
        <v>103</v>
      </c>
      <c r="B36" s="105"/>
      <c r="C36" s="123"/>
      <c r="D36" s="123"/>
      <c r="E36" s="123"/>
      <c r="F36" s="123"/>
      <c r="G36" s="123"/>
      <c r="H36" s="123"/>
      <c r="I36" s="123"/>
      <c r="J36" s="123"/>
      <c r="K36" s="105"/>
      <c r="L36" s="106"/>
      <c r="M36" s="106"/>
    </row>
    <row r="37" spans="1:13" s="129" customFormat="1" x14ac:dyDescent="0.3">
      <c r="A37" s="124" t="s">
        <v>104</v>
      </c>
      <c r="B37" s="125"/>
      <c r="C37" s="125"/>
      <c r="D37" s="125"/>
      <c r="E37" s="125"/>
      <c r="F37" s="125"/>
      <c r="G37" s="125"/>
      <c r="H37" s="126">
        <f>IF(ISERROR(G33), 0, G33)</f>
        <v>-1126498.650000006</v>
      </c>
      <c r="I37" s="105"/>
      <c r="J37" s="127" t="s">
        <v>105</v>
      </c>
      <c r="K37" s="128">
        <v>6.0199999999999997E-2</v>
      </c>
      <c r="L37" s="106"/>
      <c r="M37" s="106"/>
    </row>
    <row r="38" spans="1:13" s="129" customFormat="1" ht="26.25" customHeight="1" x14ac:dyDescent="0.3">
      <c r="A38" s="124" t="s">
        <v>106</v>
      </c>
      <c r="B38" s="125"/>
      <c r="C38" s="125"/>
      <c r="D38" s="125"/>
      <c r="E38" s="125"/>
      <c r="F38" s="125"/>
      <c r="G38" s="125"/>
      <c r="H38" s="126">
        <f>G33*K37*K38</f>
        <v>-67815.218730000357</v>
      </c>
      <c r="I38" s="157" t="s">
        <v>107</v>
      </c>
      <c r="J38" s="157"/>
      <c r="K38" s="158">
        <v>1</v>
      </c>
      <c r="L38" s="130"/>
      <c r="M38" s="106"/>
    </row>
    <row r="39" spans="1:13" x14ac:dyDescent="0.3">
      <c r="A39" s="131" t="s">
        <v>108</v>
      </c>
      <c r="B39" s="132"/>
      <c r="C39" s="132"/>
      <c r="D39" s="132"/>
      <c r="E39" s="132"/>
      <c r="F39" s="132"/>
      <c r="G39" s="132"/>
      <c r="H39" s="133">
        <f>H37+H38</f>
        <v>-1194313.8687300063</v>
      </c>
      <c r="I39" s="157"/>
      <c r="J39" s="157"/>
      <c r="K39" s="159"/>
      <c r="L39" s="106"/>
      <c r="M39" s="106"/>
    </row>
    <row r="40" spans="1:13" x14ac:dyDescent="0.3">
      <c r="A40" s="108"/>
      <c r="B40" s="105"/>
      <c r="C40" s="105"/>
      <c r="D40" s="105"/>
      <c r="E40" s="105"/>
      <c r="F40" s="105"/>
      <c r="G40" s="105"/>
      <c r="H40" s="134"/>
      <c r="I40" s="105"/>
      <c r="J40" s="105"/>
      <c r="K40" s="105"/>
      <c r="L40" s="106"/>
      <c r="M40" s="106"/>
    </row>
    <row r="41" spans="1:13" x14ac:dyDescent="0.3">
      <c r="A41" s="108" t="s">
        <v>71</v>
      </c>
      <c r="B41" s="105"/>
      <c r="C41" s="105"/>
      <c r="D41" s="105"/>
      <c r="E41" s="105"/>
      <c r="F41" s="105"/>
      <c r="G41" s="105"/>
      <c r="H41" s="105"/>
      <c r="I41" s="105"/>
      <c r="J41" s="105"/>
      <c r="K41" s="105"/>
      <c r="L41" s="106"/>
      <c r="M41" s="106"/>
    </row>
    <row r="42" spans="1:13" ht="27.75" customHeight="1" x14ac:dyDescent="0.3">
      <c r="A42" s="160" t="s">
        <v>109</v>
      </c>
      <c r="B42" s="160"/>
      <c r="C42" s="160"/>
      <c r="D42" s="160"/>
      <c r="E42" s="160"/>
      <c r="F42" s="160"/>
      <c r="G42" s="160"/>
      <c r="H42" s="160"/>
      <c r="I42" s="160"/>
      <c r="J42" s="160"/>
      <c r="K42" s="160"/>
      <c r="L42" s="160"/>
      <c r="M42" s="106"/>
    </row>
    <row r="43" spans="1:13" x14ac:dyDescent="0.3">
      <c r="A43" s="105" t="s">
        <v>110</v>
      </c>
      <c r="B43" s="105"/>
      <c r="C43" s="105"/>
      <c r="D43" s="105"/>
      <c r="E43" s="105"/>
      <c r="F43" s="105"/>
      <c r="G43" s="105"/>
      <c r="H43" s="105"/>
      <c r="I43" s="105"/>
      <c r="J43" s="105"/>
      <c r="K43" s="105"/>
      <c r="L43" s="106"/>
      <c r="M43" s="106"/>
    </row>
    <row r="44" spans="1:13" x14ac:dyDescent="0.3">
      <c r="A44" s="105" t="s">
        <v>111</v>
      </c>
      <c r="B44" s="105"/>
      <c r="C44" s="105"/>
      <c r="D44" s="105"/>
      <c r="E44" s="105"/>
      <c r="F44" s="105"/>
      <c r="G44" s="105"/>
      <c r="H44" s="105"/>
      <c r="I44" s="105"/>
      <c r="J44" s="105"/>
      <c r="K44" s="105"/>
      <c r="L44" s="106"/>
      <c r="M44" s="106"/>
    </row>
    <row r="45" spans="1:13" x14ac:dyDescent="0.3">
      <c r="A45" s="105" t="s">
        <v>112</v>
      </c>
      <c r="B45" s="105"/>
      <c r="C45" s="105"/>
      <c r="D45" s="105"/>
      <c r="E45" s="105"/>
      <c r="F45" s="105"/>
      <c r="G45" s="105"/>
      <c r="H45" s="105"/>
      <c r="I45" s="105"/>
      <c r="J45" s="105"/>
      <c r="K45" s="105"/>
      <c r="L45" s="106"/>
      <c r="M45" s="106"/>
    </row>
    <row r="46" spans="1:13" ht="15" customHeight="1" x14ac:dyDescent="0.3">
      <c r="A46" s="145" t="s">
        <v>113</v>
      </c>
      <c r="B46" s="145"/>
      <c r="C46" s="145"/>
      <c r="D46" s="145"/>
      <c r="E46" s="145"/>
      <c r="F46" s="145"/>
      <c r="G46" s="145"/>
      <c r="H46" s="145"/>
      <c r="I46" s="145"/>
      <c r="J46" s="145"/>
      <c r="K46" s="105"/>
      <c r="L46" s="106"/>
      <c r="M46" s="106"/>
    </row>
    <row r="47" spans="1:13" x14ac:dyDescent="0.3">
      <c r="A47" s="105" t="s">
        <v>114</v>
      </c>
      <c r="B47" s="106"/>
      <c r="C47" s="106"/>
      <c r="D47" s="106"/>
      <c r="E47" s="106"/>
      <c r="F47" s="106"/>
      <c r="G47" s="106"/>
      <c r="H47" s="106"/>
      <c r="I47" s="106"/>
      <c r="J47" s="106"/>
      <c r="K47" s="105"/>
      <c r="L47" s="106"/>
      <c r="M47" s="106"/>
    </row>
    <row r="48" spans="1:13" x14ac:dyDescent="0.3">
      <c r="A48" s="105" t="s">
        <v>115</v>
      </c>
      <c r="B48" s="105"/>
      <c r="C48" s="105"/>
      <c r="D48" s="105"/>
      <c r="E48" s="105"/>
      <c r="F48" s="105"/>
      <c r="G48" s="105"/>
      <c r="H48" s="105"/>
      <c r="I48" s="105"/>
      <c r="J48" s="105"/>
      <c r="K48" s="105"/>
      <c r="L48" s="106"/>
      <c r="M48" s="106"/>
    </row>
    <row r="49" spans="1:13" x14ac:dyDescent="0.3">
      <c r="A49" s="105"/>
      <c r="B49" s="105"/>
      <c r="C49" s="105"/>
      <c r="D49" s="105"/>
      <c r="E49" s="105"/>
      <c r="F49" s="105"/>
      <c r="G49" s="105"/>
      <c r="H49" s="105"/>
      <c r="I49" s="105"/>
      <c r="J49" s="105"/>
      <c r="K49" s="105"/>
      <c r="L49" s="106"/>
      <c r="M49" s="106"/>
    </row>
    <row r="50" spans="1:13" x14ac:dyDescent="0.3">
      <c r="A50" s="105"/>
      <c r="B50" s="105"/>
      <c r="C50" s="105"/>
      <c r="D50" s="105"/>
      <c r="E50" s="105"/>
      <c r="F50" s="105"/>
      <c r="G50" s="105"/>
      <c r="H50" s="105"/>
      <c r="I50" s="105"/>
      <c r="J50" s="105"/>
      <c r="K50" s="105"/>
      <c r="L50" s="106"/>
      <c r="M50" s="106"/>
    </row>
    <row r="51" spans="1:13" x14ac:dyDescent="0.3">
      <c r="A51" s="105"/>
      <c r="B51" s="105"/>
      <c r="C51" s="105"/>
      <c r="D51" s="105"/>
      <c r="E51" s="105"/>
      <c r="F51" s="105"/>
      <c r="G51" s="105"/>
      <c r="H51" s="105"/>
      <c r="I51" s="105"/>
      <c r="J51" s="105"/>
      <c r="K51" s="105"/>
      <c r="L51" s="106"/>
      <c r="M51" s="106"/>
    </row>
    <row r="52" spans="1:13" x14ac:dyDescent="0.3">
      <c r="A52" s="105"/>
      <c r="B52" s="105"/>
      <c r="C52" s="105"/>
      <c r="D52" s="105"/>
      <c r="E52" s="105"/>
      <c r="F52" s="105"/>
      <c r="G52" s="105"/>
      <c r="H52" s="105"/>
      <c r="I52" s="105"/>
      <c r="J52" s="105"/>
      <c r="K52" s="105"/>
      <c r="L52" s="106"/>
      <c r="M52" s="106"/>
    </row>
    <row r="53" spans="1:13" x14ac:dyDescent="0.3">
      <c r="A53" s="105"/>
      <c r="B53" s="105"/>
      <c r="C53" s="105"/>
      <c r="D53" s="105"/>
      <c r="E53" s="105"/>
      <c r="F53" s="105"/>
      <c r="G53" s="105"/>
      <c r="H53" s="105"/>
      <c r="I53" s="105"/>
      <c r="J53" s="105"/>
      <c r="K53" s="105"/>
      <c r="L53" s="106"/>
      <c r="M53" s="106"/>
    </row>
    <row r="54" spans="1:13" x14ac:dyDescent="0.3">
      <c r="A54" s="105"/>
      <c r="B54" s="105"/>
      <c r="C54" s="105"/>
      <c r="D54" s="105"/>
      <c r="E54" s="105"/>
      <c r="F54" s="105"/>
      <c r="G54" s="105"/>
      <c r="H54" s="105"/>
      <c r="I54" s="105"/>
      <c r="J54" s="105"/>
      <c r="K54" s="105"/>
      <c r="L54" s="106"/>
      <c r="M54" s="106"/>
    </row>
    <row r="55" spans="1:13" x14ac:dyDescent="0.3">
      <c r="A55" s="105"/>
      <c r="B55" s="106"/>
      <c r="C55" s="106"/>
      <c r="D55" s="106"/>
      <c r="E55" s="106"/>
      <c r="F55" s="106"/>
      <c r="G55" s="106"/>
      <c r="H55" s="106"/>
      <c r="I55" s="106"/>
      <c r="J55" s="106"/>
      <c r="K55" s="106"/>
      <c r="L55" s="106"/>
      <c r="M55" s="106"/>
    </row>
  </sheetData>
  <mergeCells count="12">
    <mergeCell ref="A46:J46"/>
    <mergeCell ref="A9:K9"/>
    <mergeCell ref="A10:K10"/>
    <mergeCell ref="A11:K11"/>
    <mergeCell ref="A13:K13"/>
    <mergeCell ref="A15:K15"/>
    <mergeCell ref="B21:H21"/>
    <mergeCell ref="B26:H27"/>
    <mergeCell ref="B32:H32"/>
    <mergeCell ref="I38:J39"/>
    <mergeCell ref="K38:K39"/>
    <mergeCell ref="A42:L42"/>
  </mergeCells>
  <dataValidations count="1">
    <dataValidation allowBlank="1" showInputMessage="1" showErrorMessage="1" promptTitle="Date Format" prompt="E.g:  &quot;August 1, 2011&quot;" sqref="WVO983044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F65540: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F131076: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F196612: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F262148: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F327684: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F393220: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F458756: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F524292: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F589828: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F655364: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F720900: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F786436: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F851972: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F917508: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F983044: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Revised 2-BA</vt:lpstr>
      <vt:lpstr>Revised 2-EC</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Graig Pettit</dc:creator>
  <cp:lastModifiedBy>Graig Pettit</cp:lastModifiedBy>
  <dcterms:created xsi:type="dcterms:W3CDTF">2018-08-27T17:11:09Z</dcterms:created>
  <dcterms:modified xsi:type="dcterms:W3CDTF">2018-08-30T20:54:54Z</dcterms:modified>
</cp:coreProperties>
</file>