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PUC\CPUC 2019 CoS\Models\"/>
    </mc:Choice>
  </mc:AlternateContent>
  <xr:revisionPtr revIDLastSave="0" documentId="13_ncr:1_{B2C2BDC4-DA85-47C7-A1D6-68C13408ABCE}" xr6:coauthVersionLast="34" xr6:coauthVersionMax="34" xr10:uidLastSave="{00000000-0000-0000-0000-000000000000}"/>
  <bookViews>
    <workbookView xWindow="0" yWindow="0" windowWidth="28800" windowHeight="1222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8" i="4" l="1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88" i="4"/>
  <c r="I88" i="4"/>
  <c r="H88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14" i="4"/>
  <c r="I14" i="4"/>
  <c r="H14" i="4"/>
  <c r="J13" i="4"/>
  <c r="I13" i="4"/>
  <c r="H13" i="4"/>
  <c r="I9" i="4"/>
  <c r="I20" i="4" l="1"/>
  <c r="J9" i="4"/>
  <c r="H9" i="4" l="1"/>
  <c r="K27" i="4" l="1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I115" i="4"/>
  <c r="I35" i="4" s="1"/>
  <c r="H115" i="4"/>
  <c r="K115" i="4"/>
  <c r="K29" i="4" s="1"/>
  <c r="L115" i="4"/>
  <c r="L29" i="4" s="1"/>
  <c r="J29" i="4" l="1"/>
  <c r="J35" i="4"/>
  <c r="H35" i="4"/>
  <c r="I29" i="4"/>
  <c r="G17" i="4"/>
  <c r="I17" i="4" s="1"/>
  <c r="J1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5" i="4" l="1"/>
  <c r="J15" i="4" s="1"/>
  <c r="I15" i="4"/>
  <c r="H16" i="4"/>
  <c r="I16" i="4"/>
  <c r="J16" i="4"/>
  <c r="J20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37" i="4" l="1"/>
  <c r="J27" i="4" s="1"/>
  <c r="I37" i="4"/>
  <c r="I27" i="4" s="1"/>
  <c r="H37" i="4"/>
  <c r="H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<sst xmlns="http://schemas.openxmlformats.org/spreadsheetml/2006/main" count="519" uniqueCount="275">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</sst>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5" borderId="2" xfId="1" applyNumberFormat="1" applyFont="1" applyFill="1" applyBorder="1" applyAlignment="1"/>
    <xf numFmtId="167" fontId="0" fillId="0" borderId="0" xfId="1" applyNumberFormat="1" applyFont="1" applyFill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1" applyNumberFormat="1" applyFont="1" applyFill="1" applyBorder="1"/>
    <xf numFmtId="10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UC%202019%20CoS%20Data%20Vault%20201808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Exhibit 2 -&gt;"/>
      <sheetName val="2.1. Rate Base Trend "/>
      <sheetName val="2.2 RateBase VarAnalysis"/>
      <sheetName val="2.3 Summary of Capital Projects"/>
      <sheetName val="2.5 DSP Input Tables"/>
      <sheetName val="FIXED ASSET CONTINUITY STMT -&gt;"/>
      <sheetName val="2.5 Service Life Comp"/>
      <sheetName val="2.6 Fixed Asset Cont Stmt"/>
      <sheetName val="2.7 Overhead"/>
      <sheetName val="Reconciliation Sheet"/>
      <sheetName val="2.6 Capex Vs RRR"/>
      <sheetName val="Balance of 1576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Exhibit 3 -&gt;"/>
      <sheetName val="OPERATING REVENUES -&gt;"/>
      <sheetName val="3.1 Other Oper Rev Detail"/>
      <sheetName val="3.1 Summary of Oper_Rev 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7 Salaries Analysi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Bak"/>
      <sheetName val="Rev DefSuf 2016"/>
      <sheetName val="ROE Calcs -&gt;"/>
      <sheetName val="6.4 ROE"/>
      <sheetName val="6.5 OEB Input Appendices"/>
      <sheetName val="6.3 Rev Deficiency Sufficie "/>
      <sheetName val="6.6 OEB ROE Summary"/>
      <sheetName val="6.8 Over_Under-earning Driv"/>
      <sheetName val="6.8 Scorecard"/>
      <sheetName val="Exhibit 8 -&gt;"/>
      <sheetName val="8.1 Loss Factor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TablesEx1"/>
      <sheetName val="TablesEx2"/>
      <sheetName val="TablesEx3"/>
      <sheetName val="TableEx4"/>
      <sheetName val="TableEx5"/>
      <sheetName val="TableEx6"/>
      <sheetName val="TableEx7"/>
      <sheetName val="TableEx8"/>
      <sheetName val="TableEx9"/>
      <sheetName val="8.2 IFRS Transition Costs"/>
      <sheetName val="2.4. Var Capital Expendit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14">
          <cell r="E414">
            <v>24057</v>
          </cell>
        </row>
        <row r="480">
          <cell r="F480">
            <v>476662</v>
          </cell>
          <cell r="G480">
            <v>0</v>
          </cell>
        </row>
        <row r="551">
          <cell r="E551">
            <v>80667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H14">
            <v>1054</v>
          </cell>
          <cell r="I14">
            <v>1043.4883679087588</v>
          </cell>
          <cell r="J14">
            <v>1033.0815692228512</v>
          </cell>
        </row>
        <row r="15">
          <cell r="H15">
            <v>152</v>
          </cell>
          <cell r="I15">
            <v>150.21997525073792</v>
          </cell>
          <cell r="J15">
            <v>148.46079581797576</v>
          </cell>
        </row>
        <row r="16">
          <cell r="H16">
            <v>15</v>
          </cell>
          <cell r="I16">
            <v>15.115429989783037</v>
          </cell>
          <cell r="J16">
            <v>15.231748251735494</v>
          </cell>
        </row>
        <row r="37">
          <cell r="H37">
            <v>24573208</v>
          </cell>
        </row>
        <row r="52">
          <cell r="I52">
            <v>26420264.117376253</v>
          </cell>
          <cell r="J52">
            <v>26173315.691547919</v>
          </cell>
        </row>
      </sheetData>
      <sheetData sheetId="42"/>
      <sheetData sheetId="43"/>
      <sheetData sheetId="44">
        <row r="17">
          <cell r="I17">
            <v>0</v>
          </cell>
          <cell r="J17">
            <v>0</v>
          </cell>
          <cell r="K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</row>
        <row r="22">
          <cell r="I22">
            <v>2030.44</v>
          </cell>
          <cell r="J22">
            <v>3000</v>
          </cell>
          <cell r="K22">
            <v>3060</v>
          </cell>
        </row>
        <row r="23">
          <cell r="I23">
            <v>50</v>
          </cell>
          <cell r="J23">
            <v>1200</v>
          </cell>
          <cell r="K23">
            <v>1224</v>
          </cell>
        </row>
        <row r="24">
          <cell r="I24">
            <v>162956.96</v>
          </cell>
          <cell r="J24">
            <v>177350</v>
          </cell>
          <cell r="K24">
            <v>171309</v>
          </cell>
        </row>
        <row r="25">
          <cell r="I25">
            <v>63380.92</v>
          </cell>
          <cell r="J25">
            <v>56500</v>
          </cell>
          <cell r="K25">
            <v>57630</v>
          </cell>
        </row>
        <row r="27"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</row>
        <row r="31">
          <cell r="I31">
            <v>0</v>
          </cell>
          <cell r="J31">
            <v>0</v>
          </cell>
          <cell r="K31">
            <v>0</v>
          </cell>
        </row>
        <row r="33">
          <cell r="I33">
            <v>7009.77</v>
          </cell>
          <cell r="J33">
            <v>6800</v>
          </cell>
          <cell r="K33">
            <v>6936</v>
          </cell>
        </row>
        <row r="34">
          <cell r="I34">
            <v>0</v>
          </cell>
          <cell r="J34">
            <v>0</v>
          </cell>
          <cell r="K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</row>
        <row r="38">
          <cell r="I38">
            <v>2480.9699999999998</v>
          </cell>
          <cell r="J38">
            <v>2550</v>
          </cell>
          <cell r="K38">
            <v>2601</v>
          </cell>
        </row>
        <row r="39">
          <cell r="I39">
            <v>0</v>
          </cell>
          <cell r="J39">
            <v>0</v>
          </cell>
          <cell r="K39">
            <v>0</v>
          </cell>
        </row>
        <row r="43"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K44">
            <v>0</v>
          </cell>
        </row>
        <row r="45">
          <cell r="F45">
            <v>0</v>
          </cell>
          <cell r="K45">
            <v>0</v>
          </cell>
        </row>
        <row r="46">
          <cell r="F46">
            <v>0</v>
          </cell>
          <cell r="K46">
            <v>0</v>
          </cell>
        </row>
        <row r="47">
          <cell r="F47">
            <v>0</v>
          </cell>
          <cell r="K47">
            <v>1610</v>
          </cell>
        </row>
        <row r="48">
          <cell r="F48">
            <v>0</v>
          </cell>
          <cell r="K48">
            <v>0</v>
          </cell>
        </row>
        <row r="49">
          <cell r="F49">
            <v>0</v>
          </cell>
          <cell r="K49">
            <v>0</v>
          </cell>
        </row>
        <row r="50">
          <cell r="F50">
            <v>0</v>
          </cell>
          <cell r="K50">
            <v>0</v>
          </cell>
        </row>
        <row r="51">
          <cell r="F51">
            <v>0</v>
          </cell>
          <cell r="K51">
            <v>0</v>
          </cell>
        </row>
        <row r="52">
          <cell r="F52">
            <v>0</v>
          </cell>
          <cell r="K52">
            <v>0</v>
          </cell>
        </row>
        <row r="53">
          <cell r="F53">
            <v>0</v>
          </cell>
          <cell r="K53">
            <v>0</v>
          </cell>
        </row>
        <row r="54">
          <cell r="F54">
            <v>0</v>
          </cell>
          <cell r="K54">
            <v>0</v>
          </cell>
        </row>
        <row r="55">
          <cell r="F55">
            <v>0</v>
          </cell>
          <cell r="K55">
            <v>0</v>
          </cell>
        </row>
        <row r="68">
          <cell r="I68">
            <v>0</v>
          </cell>
          <cell r="J68">
            <v>0</v>
          </cell>
          <cell r="K68">
            <v>0</v>
          </cell>
        </row>
        <row r="69">
          <cell r="I69">
            <v>41027.29</v>
          </cell>
          <cell r="J69">
            <v>42000</v>
          </cell>
          <cell r="K69">
            <v>41040</v>
          </cell>
        </row>
        <row r="70">
          <cell r="I70">
            <v>80401.11</v>
          </cell>
          <cell r="J70">
            <v>87400</v>
          </cell>
          <cell r="K70">
            <v>87078</v>
          </cell>
        </row>
        <row r="71">
          <cell r="I71">
            <v>0</v>
          </cell>
          <cell r="J71">
            <v>600</v>
          </cell>
          <cell r="K71">
            <v>612</v>
          </cell>
        </row>
        <row r="72">
          <cell r="I72">
            <v>0</v>
          </cell>
          <cell r="J72">
            <v>0</v>
          </cell>
          <cell r="K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</row>
        <row r="75">
          <cell r="I75">
            <v>0</v>
          </cell>
          <cell r="J75">
            <v>0</v>
          </cell>
          <cell r="K75">
            <v>0</v>
          </cell>
        </row>
        <row r="80">
          <cell r="I80">
            <v>415</v>
          </cell>
          <cell r="J80">
            <v>0</v>
          </cell>
          <cell r="K80">
            <v>0</v>
          </cell>
        </row>
        <row r="91">
          <cell r="I91">
            <v>13100</v>
          </cell>
          <cell r="J91">
            <v>13200</v>
          </cell>
          <cell r="K91">
            <v>16200</v>
          </cell>
        </row>
        <row r="92">
          <cell r="I92">
            <v>109621.63</v>
          </cell>
          <cell r="J92">
            <v>149000</v>
          </cell>
          <cell r="K92">
            <v>149760</v>
          </cell>
        </row>
        <row r="93">
          <cell r="I93">
            <v>14465.42</v>
          </cell>
          <cell r="J93">
            <v>17940</v>
          </cell>
          <cell r="K93">
            <v>18197</v>
          </cell>
        </row>
        <row r="94">
          <cell r="I94">
            <v>19138.13</v>
          </cell>
          <cell r="J94">
            <v>26280</v>
          </cell>
          <cell r="K94">
            <v>21850</v>
          </cell>
        </row>
        <row r="95">
          <cell r="I95">
            <v>0</v>
          </cell>
          <cell r="J95">
            <v>0</v>
          </cell>
          <cell r="K95">
            <v>0</v>
          </cell>
        </row>
        <row r="96">
          <cell r="I96">
            <v>65107.08</v>
          </cell>
          <cell r="J96">
            <v>39061</v>
          </cell>
          <cell r="K96">
            <v>30061</v>
          </cell>
        </row>
        <row r="98">
          <cell r="I98">
            <v>8624.76</v>
          </cell>
          <cell r="J98">
            <v>9950</v>
          </cell>
          <cell r="K98">
            <v>10180</v>
          </cell>
        </row>
        <row r="99">
          <cell r="I99">
            <v>83741.91</v>
          </cell>
          <cell r="J99">
            <v>93900</v>
          </cell>
          <cell r="K99">
            <v>96980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</row>
        <row r="103">
          <cell r="I103">
            <v>8392.02</v>
          </cell>
          <cell r="J103">
            <v>41973</v>
          </cell>
          <cell r="K103">
            <v>63495</v>
          </cell>
        </row>
        <row r="105">
          <cell r="I105">
            <v>23457.91</v>
          </cell>
          <cell r="J105">
            <v>24200</v>
          </cell>
          <cell r="K105">
            <v>24650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topLeftCell="B22" zoomScaleNormal="100" workbookViewId="0">
      <selection activeCell="J13" sqref="J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8" t="s">
        <v>191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15" ht="19.5" customHeight="1" x14ac:dyDescent="0.25">
      <c r="C3" s="229" t="str">
        <f>IF(F5="Click to Choose an LDC","",F5)</f>
        <v>Chapleau Public Utilities Corporation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</row>
    <row r="5" spans="2:15" ht="25.5" customHeight="1" thickBot="1" x14ac:dyDescent="0.25">
      <c r="B5" s="144" t="s">
        <v>189</v>
      </c>
      <c r="E5" s="78"/>
      <c r="F5" s="145" t="s">
        <v>212</v>
      </c>
      <c r="G5" s="14" t="s">
        <v>175</v>
      </c>
      <c r="H5" s="14" t="s">
        <v>176</v>
      </c>
      <c r="I5" s="14" t="s">
        <v>174</v>
      </c>
      <c r="J5" s="230" t="s">
        <v>177</v>
      </c>
      <c r="K5" s="230"/>
      <c r="L5" s="230"/>
      <c r="M5" s="230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1"/>
      <c r="I8" s="231"/>
      <c r="J8" s="231"/>
      <c r="K8" s="231"/>
      <c r="L8" s="231"/>
      <c r="M8" s="231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36284.300000000003</v>
      </c>
      <c r="H9" s="124">
        <f>'[1]2.6 Fixed Asset Cont Stmt'!$E$414</f>
        <v>24057</v>
      </c>
      <c r="I9" s="124">
        <f>'[1]2.6 Fixed Asset Cont Stmt'!$F$480+'[1]2.6 Fixed Asset Cont Stmt'!$G$480</f>
        <v>476662</v>
      </c>
      <c r="J9" s="124">
        <f>'[1]2.6 Fixed Asset Cont Stmt'!$E$551</f>
        <v>80667</v>
      </c>
      <c r="K9" s="124"/>
      <c r="L9" s="124"/>
      <c r="M9" s="124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3"/>
      <c r="I12" s="183"/>
      <c r="J12" s="183"/>
      <c r="K12" s="183"/>
      <c r="L12" s="183"/>
      <c r="M12" s="183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1247</v>
      </c>
      <c r="H13" s="124">
        <f>'[1]3.11 LoadForecast'!$H$14+'[1]3.11 LoadForecast'!$H$15+'[1]3.11 LoadForecast'!$H$16</f>
        <v>1221</v>
      </c>
      <c r="I13" s="124">
        <f>'[1]3.11 LoadForecast'!$I$14+'[1]3.11 LoadForecast'!$I$15+'[1]3.11 LoadForecast'!$I$16</f>
        <v>1208.8237731492798</v>
      </c>
      <c r="J13" s="124">
        <f>'[1]3.11 LoadForecast'!$J$14+'[1]3.11 LoadForecast'!$J$15+'[1]3.11 LoadForecast'!$J$16</f>
        <v>1196.7741132925626</v>
      </c>
      <c r="K13" s="124"/>
      <c r="L13" s="124"/>
      <c r="M13" s="124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24277695</v>
      </c>
      <c r="H14" s="124">
        <f>'[1]3.11 LoadForecast'!$H$37</f>
        <v>24573208</v>
      </c>
      <c r="I14" s="124">
        <f>'[1]3.11 LoadForecast'!$I$52</f>
        <v>26420264.117376253</v>
      </c>
      <c r="J14" s="124">
        <f>'[1]3.11 LoadForecast'!$J$52</f>
        <v>26173315.691547919</v>
      </c>
      <c r="K14" s="124"/>
      <c r="L14" s="124"/>
      <c r="M14" s="124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7029</v>
      </c>
      <c r="H15" s="124">
        <f>G15</f>
        <v>7029</v>
      </c>
      <c r="I15" s="124">
        <f>G15</f>
        <v>7029</v>
      </c>
      <c r="J15" s="124">
        <f>H15</f>
        <v>7029</v>
      </c>
      <c r="K15" s="124"/>
      <c r="L15" s="124"/>
      <c r="M15" s="124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27</v>
      </c>
      <c r="H16" s="124">
        <f>G16</f>
        <v>27</v>
      </c>
      <c r="I16" s="124">
        <f>G16</f>
        <v>27</v>
      </c>
      <c r="J16" s="124">
        <f>G16</f>
        <v>27</v>
      </c>
      <c r="K16" s="124"/>
      <c r="L16" s="124"/>
      <c r="M16" s="124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-5.243161094224924E-2</v>
      </c>
      <c r="H17" s="224">
        <v>0</v>
      </c>
      <c r="I17" s="224">
        <f>H17</f>
        <v>0</v>
      </c>
      <c r="J17" s="224">
        <f>I17</f>
        <v>0</v>
      </c>
      <c r="K17" s="124"/>
      <c r="L17" s="124"/>
      <c r="M17" s="124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1"/>
      <c r="I19" s="231"/>
      <c r="J19" s="231"/>
      <c r="K19" s="231"/>
      <c r="L19" s="231"/>
      <c r="M19" s="231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v>0.02</v>
      </c>
      <c r="I20" s="123">
        <f>H20</f>
        <v>0.02</v>
      </c>
      <c r="J20" s="123">
        <f>H20</f>
        <v>0.02</v>
      </c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v>1.21E-2</v>
      </c>
      <c r="I21" s="123">
        <v>1.21E-2</v>
      </c>
      <c r="J21" s="123">
        <v>1.21E-2</v>
      </c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f>G22</f>
        <v>6.2843999999999997E-2</v>
      </c>
      <c r="I22" s="123">
        <f>H22</f>
        <v>6.2843999999999997E-2</v>
      </c>
      <c r="J22" s="123">
        <v>6.0199999999999997E-2</v>
      </c>
      <c r="K22" s="123"/>
      <c r="L22" s="123"/>
      <c r="M22" s="123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3" t="s">
        <v>169</v>
      </c>
      <c r="F27" s="76" t="s">
        <v>198</v>
      </c>
      <c r="G27" s="51">
        <f>G35-G36+G37</f>
        <v>735273.37</v>
      </c>
      <c r="H27" s="51">
        <f t="shared" ref="H27:M27" si="0">H35-H36+H37</f>
        <v>705401.32000000007</v>
      </c>
      <c r="I27" s="51">
        <f t="shared" si="0"/>
        <v>792904</v>
      </c>
      <c r="J27" s="51">
        <f t="shared" si="0"/>
        <v>804473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3" t="s">
        <v>170</v>
      </c>
      <c r="F29" s="76" t="s">
        <v>202</v>
      </c>
      <c r="G29" s="51">
        <f t="shared" ref="G29:M29" si="1">G115-G121+G122</f>
        <v>735273.37</v>
      </c>
      <c r="H29" s="51">
        <f t="shared" si="1"/>
        <v>705401.32000000007</v>
      </c>
      <c r="I29" s="51">
        <f t="shared" si="1"/>
        <v>792904</v>
      </c>
      <c r="J29" s="51">
        <f t="shared" si="1"/>
        <v>804473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735273.37</v>
      </c>
      <c r="H31" s="51">
        <f t="shared" si="2"/>
        <v>705401.32000000007</v>
      </c>
      <c r="I31" s="51">
        <f t="shared" si="2"/>
        <v>792904</v>
      </c>
      <c r="J31" s="51">
        <f t="shared" si="2"/>
        <v>804473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7" t="s">
        <v>183</v>
      </c>
      <c r="I34" s="227"/>
      <c r="J34" s="227"/>
      <c r="K34" s="227"/>
      <c r="L34" s="227"/>
      <c r="M34" s="227"/>
      <c r="N34" s="154"/>
    </row>
    <row r="35" spans="2:14" x14ac:dyDescent="0.2">
      <c r="C35" s="153"/>
      <c r="D35" s="169" t="s">
        <v>195</v>
      </c>
      <c r="E35" s="26" t="s">
        <v>203</v>
      </c>
      <c r="F35" s="26"/>
      <c r="G35" s="85">
        <f>G115</f>
        <v>735273.37</v>
      </c>
      <c r="H35" s="124">
        <f>H115</f>
        <v>705401.32000000007</v>
      </c>
      <c r="I35" s="124">
        <f t="shared" ref="I35:J35" si="3">I115</f>
        <v>792904</v>
      </c>
      <c r="J35" s="124">
        <f t="shared" si="3"/>
        <v>804473</v>
      </c>
      <c r="K35" s="124"/>
      <c r="L35" s="124"/>
      <c r="M35" s="124"/>
      <c r="N35" s="154" t="s">
        <v>172</v>
      </c>
    </row>
    <row r="36" spans="2:14" x14ac:dyDescent="0.2">
      <c r="C36" s="153"/>
      <c r="D36" s="169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4" x14ac:dyDescent="0.2">
      <c r="C37" s="153"/>
      <c r="D37" s="170" t="s">
        <v>197</v>
      </c>
      <c r="E37" s="26" t="s">
        <v>83</v>
      </c>
      <c r="F37" s="26"/>
      <c r="G37" s="51">
        <f>G122</f>
        <v>0</v>
      </c>
      <c r="H37" s="124">
        <f>G37</f>
        <v>0</v>
      </c>
      <c r="I37" s="124">
        <f>G37</f>
        <v>0</v>
      </c>
      <c r="J37" s="119">
        <f>G37</f>
        <v>0</v>
      </c>
      <c r="K37" s="119"/>
      <c r="L37" s="119"/>
      <c r="M37" s="119"/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0</v>
      </c>
      <c r="H44" s="141">
        <f>'[1]4.1 OM&amp;A_Detailed_Analysis'!I17</f>
        <v>0</v>
      </c>
      <c r="I44" s="141">
        <f>'[1]4.1 OM&amp;A_Detailed_Analysis'!J17</f>
        <v>0</v>
      </c>
      <c r="J44" s="142">
        <f>'[1]4.1 OM&amp;A_Detailed_Analysis'!K17</f>
        <v>0</v>
      </c>
      <c r="K44" s="142"/>
      <c r="L44" s="142"/>
      <c r="M44" s="142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1">
        <f>'[1]4.1 OM&amp;A_Detailed_Analysis'!I18</f>
        <v>0</v>
      </c>
      <c r="I45" s="141">
        <f>'[1]4.1 OM&amp;A_Detailed_Analysis'!J18</f>
        <v>0</v>
      </c>
      <c r="J45" s="142">
        <f>'[1]4.1 OM&amp;A_Detailed_Analysis'!K18</f>
        <v>0</v>
      </c>
      <c r="K45" s="142"/>
      <c r="L45" s="142"/>
      <c r="M45" s="142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1">
        <f>'[1]4.1 OM&amp;A_Detailed_Analysis'!I19</f>
        <v>0</v>
      </c>
      <c r="I46" s="141">
        <f>'[1]4.1 OM&amp;A_Detailed_Analysis'!J19</f>
        <v>0</v>
      </c>
      <c r="J46" s="142">
        <f>'[1]4.1 OM&amp;A_Detailed_Analysis'!K19</f>
        <v>0</v>
      </c>
      <c r="K46" s="142"/>
      <c r="L46" s="142"/>
      <c r="M46" s="142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>
        <f>'[1]4.1 OM&amp;A_Detailed_Analysis'!I20</f>
        <v>0</v>
      </c>
      <c r="I47" s="141">
        <f>'[1]4.1 OM&amp;A_Detailed_Analysis'!J20</f>
        <v>0</v>
      </c>
      <c r="J47" s="142">
        <f>'[1]4.1 OM&amp;A_Detailed_Analysis'!K20</f>
        <v>0</v>
      </c>
      <c r="K47" s="142"/>
      <c r="L47" s="142"/>
      <c r="M47" s="142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>
        <f>'[1]4.1 OM&amp;A_Detailed_Analysis'!I21</f>
        <v>0</v>
      </c>
      <c r="I48" s="141">
        <f>'[1]4.1 OM&amp;A_Detailed_Analysis'!J21</f>
        <v>0</v>
      </c>
      <c r="J48" s="142">
        <f>'[1]4.1 OM&amp;A_Detailed_Analysis'!K21</f>
        <v>0</v>
      </c>
      <c r="K48" s="142"/>
      <c r="L48" s="142"/>
      <c r="M48" s="142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2991.14</v>
      </c>
      <c r="H49" s="141">
        <f>'[1]4.1 OM&amp;A_Detailed_Analysis'!I22</f>
        <v>2030.44</v>
      </c>
      <c r="I49" s="141">
        <f>'[1]4.1 OM&amp;A_Detailed_Analysis'!J22</f>
        <v>3000</v>
      </c>
      <c r="J49" s="142">
        <f>'[1]4.1 OM&amp;A_Detailed_Analysis'!K22</f>
        <v>3060</v>
      </c>
      <c r="K49" s="142"/>
      <c r="L49" s="142"/>
      <c r="M49" s="142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1">
        <f>'[1]4.1 OM&amp;A_Detailed_Analysis'!I23</f>
        <v>50</v>
      </c>
      <c r="I50" s="141">
        <f>'[1]4.1 OM&amp;A_Detailed_Analysis'!J23</f>
        <v>1200</v>
      </c>
      <c r="J50" s="142">
        <f>'[1]4.1 OM&amp;A_Detailed_Analysis'!K23</f>
        <v>1224</v>
      </c>
      <c r="K50" s="142"/>
      <c r="L50" s="142"/>
      <c r="M50" s="142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178142.46</v>
      </c>
      <c r="H51" s="141">
        <f>'[1]4.1 OM&amp;A_Detailed_Analysis'!I24</f>
        <v>162956.96</v>
      </c>
      <c r="I51" s="141">
        <f>'[1]4.1 OM&amp;A_Detailed_Analysis'!J24</f>
        <v>177350</v>
      </c>
      <c r="J51" s="142">
        <f>'[1]4.1 OM&amp;A_Detailed_Analysis'!K24</f>
        <v>171309</v>
      </c>
      <c r="K51" s="142"/>
      <c r="L51" s="142"/>
      <c r="M51" s="142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53230.89</v>
      </c>
      <c r="H52" s="141">
        <f>'[1]4.1 OM&amp;A_Detailed_Analysis'!I25</f>
        <v>63380.92</v>
      </c>
      <c r="I52" s="141">
        <f>'[1]4.1 OM&amp;A_Detailed_Analysis'!J25</f>
        <v>56500</v>
      </c>
      <c r="J52" s="142">
        <f>'[1]4.1 OM&amp;A_Detailed_Analysis'!K25</f>
        <v>57630</v>
      </c>
      <c r="K52" s="142"/>
      <c r="L52" s="142"/>
      <c r="M52" s="142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0</v>
      </c>
      <c r="H53" s="141">
        <f>'[1]4.1 OM&amp;A_Detailed_Analysis'!I27</f>
        <v>0</v>
      </c>
      <c r="I53" s="141">
        <f>'[1]4.1 OM&amp;A_Detailed_Analysis'!J27</f>
        <v>0</v>
      </c>
      <c r="J53" s="142">
        <f>'[1]4.1 OM&amp;A_Detailed_Analysis'!K27</f>
        <v>0</v>
      </c>
      <c r="K53" s="142"/>
      <c r="L53" s="142"/>
      <c r="M53" s="142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1"/>
      <c r="I54" s="141"/>
      <c r="J54" s="142"/>
      <c r="K54" s="142"/>
      <c r="L54" s="142"/>
      <c r="M54" s="142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1">
        <f>'[1]4.1 OM&amp;A_Detailed_Analysis'!I28</f>
        <v>0</v>
      </c>
      <c r="I55" s="141">
        <f>'[1]4.1 OM&amp;A_Detailed_Analysis'!J28</f>
        <v>0</v>
      </c>
      <c r="J55" s="142">
        <f>'[1]4.1 OM&amp;A_Detailed_Analysis'!K28</f>
        <v>0</v>
      </c>
      <c r="K55" s="142"/>
      <c r="L55" s="142"/>
      <c r="M55" s="142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1">
        <f>'[1]4.1 OM&amp;A_Detailed_Analysis'!I31</f>
        <v>0</v>
      </c>
      <c r="I56" s="141">
        <f>'[1]4.1 OM&amp;A_Detailed_Analysis'!J31</f>
        <v>0</v>
      </c>
      <c r="J56" s="142">
        <f>'[1]4.1 OM&amp;A_Detailed_Analysis'!K31</f>
        <v>0</v>
      </c>
      <c r="K56" s="142"/>
      <c r="L56" s="142"/>
      <c r="M56" s="142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514.32000000000005</v>
      </c>
      <c r="H57" s="141">
        <f>'[1]4.1 OM&amp;A_Detailed_Analysis'!I33</f>
        <v>7009.77</v>
      </c>
      <c r="I57" s="141">
        <f>'[1]4.1 OM&amp;A_Detailed_Analysis'!J33</f>
        <v>6800</v>
      </c>
      <c r="J57" s="142">
        <f>'[1]4.1 OM&amp;A_Detailed_Analysis'!K33</f>
        <v>6936</v>
      </c>
      <c r="K57" s="142"/>
      <c r="L57" s="142"/>
      <c r="M57" s="142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>
        <f>'[1]4.1 OM&amp;A_Detailed_Analysis'!I34</f>
        <v>0</v>
      </c>
      <c r="I58" s="141">
        <f>'[1]4.1 OM&amp;A_Detailed_Analysis'!J34</f>
        <v>0</v>
      </c>
      <c r="J58" s="142">
        <f>'[1]4.1 OM&amp;A_Detailed_Analysis'!K34</f>
        <v>0</v>
      </c>
      <c r="K58" s="142"/>
      <c r="L58" s="142"/>
      <c r="M58" s="142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>
        <f>'[1]4.1 OM&amp;A_Detailed_Analysis'!I35</f>
        <v>0</v>
      </c>
      <c r="I59" s="141">
        <f>'[1]4.1 OM&amp;A_Detailed_Analysis'!J35</f>
        <v>0</v>
      </c>
      <c r="J59" s="142">
        <f>'[1]4.1 OM&amp;A_Detailed_Analysis'!K35</f>
        <v>0</v>
      </c>
      <c r="K59" s="142"/>
      <c r="L59" s="142"/>
      <c r="M59" s="142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0</v>
      </c>
      <c r="H60" s="141">
        <f>'[1]4.1 OM&amp;A_Detailed_Analysis'!I36</f>
        <v>0</v>
      </c>
      <c r="I60" s="141">
        <f>'[1]4.1 OM&amp;A_Detailed_Analysis'!J36</f>
        <v>0</v>
      </c>
      <c r="J60" s="142">
        <f>'[1]4.1 OM&amp;A_Detailed_Analysis'!K36</f>
        <v>0</v>
      </c>
      <c r="K60" s="142"/>
      <c r="L60" s="142"/>
      <c r="M60" s="142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>
        <f>'[1]4.1 OM&amp;A_Detailed_Analysis'!I37</f>
        <v>0</v>
      </c>
      <c r="I61" s="141">
        <f>'[1]4.1 OM&amp;A_Detailed_Analysis'!J37</f>
        <v>0</v>
      </c>
      <c r="J61" s="142">
        <f>'[1]4.1 OM&amp;A_Detailed_Analysis'!K37</f>
        <v>0</v>
      </c>
      <c r="K61" s="142"/>
      <c r="L61" s="142"/>
      <c r="M61" s="142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1453.28</v>
      </c>
      <c r="H62" s="141">
        <f>'[1]4.1 OM&amp;A_Detailed_Analysis'!I38</f>
        <v>2480.9699999999998</v>
      </c>
      <c r="I62" s="141">
        <f>'[1]4.1 OM&amp;A_Detailed_Analysis'!J38</f>
        <v>2550</v>
      </c>
      <c r="J62" s="142">
        <f>'[1]4.1 OM&amp;A_Detailed_Analysis'!K38</f>
        <v>2601</v>
      </c>
      <c r="K62" s="142"/>
      <c r="L62" s="142"/>
      <c r="M62" s="142"/>
      <c r="N62" s="154" t="s">
        <v>172</v>
      </c>
    </row>
    <row r="63" spans="3:14" x14ac:dyDescent="0.2">
      <c r="C63" s="158"/>
      <c r="D63" s="26"/>
      <c r="E63" s="111">
        <v>5096</v>
      </c>
      <c r="F63" s="168" t="s">
        <v>27</v>
      </c>
      <c r="G63" s="112">
        <f>'Benchmarking Calculations'!G29</f>
        <v>0</v>
      </c>
      <c r="H63" s="141">
        <f>'[1]4.1 OM&amp;A_Detailed_Analysis'!I39</f>
        <v>0</v>
      </c>
      <c r="I63" s="141">
        <f>'[1]4.1 OM&amp;A_Detailed_Analysis'!J39</f>
        <v>0</v>
      </c>
      <c r="J63" s="142">
        <f>'[1]4.1 OM&amp;A_Detailed_Analysis'!K39</f>
        <v>0</v>
      </c>
      <c r="K63" s="142"/>
      <c r="L63" s="142"/>
      <c r="M63" s="142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236332.09</v>
      </c>
      <c r="H64" s="81">
        <f>SUM(H44:H63)</f>
        <v>237909.06</v>
      </c>
      <c r="I64" s="81">
        <f t="shared" ref="I64:M64" si="4">SUM(I44:I63)</f>
        <v>247400</v>
      </c>
      <c r="J64" s="81">
        <f t="shared" si="4"/>
        <v>242760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1">
        <f>'[1]4.1 OM&amp;A_Detailed_Analysis'!I43</f>
        <v>0</v>
      </c>
      <c r="I65" s="141">
        <f>'[1]4.1 OM&amp;A_Detailed_Analysis'!J43</f>
        <v>0</v>
      </c>
      <c r="J65" s="142">
        <f>'[1]4.1 OM&amp;A_Detailed_Analysis'!K43</f>
        <v>0</v>
      </c>
      <c r="K65" s="142"/>
      <c r="L65" s="142"/>
      <c r="M65" s="142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1">
        <f>'[1]4.1 OM&amp;A_Detailed_Analysis'!$F44</f>
        <v>0</v>
      </c>
      <c r="I66" s="141">
        <f>'[1]4.1 OM&amp;A_Detailed_Analysis'!$F44</f>
        <v>0</v>
      </c>
      <c r="J66" s="142">
        <f>'[1]4.1 OM&amp;A_Detailed_Analysis'!K44</f>
        <v>0</v>
      </c>
      <c r="K66" s="142"/>
      <c r="L66" s="142"/>
      <c r="M66" s="142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>
        <f>'[1]4.1 OM&amp;A_Detailed_Analysis'!$F45</f>
        <v>0</v>
      </c>
      <c r="I67" s="141">
        <f>'[1]4.1 OM&amp;A_Detailed_Analysis'!$F45</f>
        <v>0</v>
      </c>
      <c r="J67" s="142">
        <f>'[1]4.1 OM&amp;A_Detailed_Analysis'!K45</f>
        <v>0</v>
      </c>
      <c r="K67" s="142"/>
      <c r="L67" s="142"/>
      <c r="M67" s="142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0</v>
      </c>
      <c r="H68" s="141">
        <f>'[1]4.1 OM&amp;A_Detailed_Analysis'!$F46</f>
        <v>0</v>
      </c>
      <c r="I68" s="141">
        <f>'[1]4.1 OM&amp;A_Detailed_Analysis'!$F46</f>
        <v>0</v>
      </c>
      <c r="J68" s="142">
        <f>'[1]4.1 OM&amp;A_Detailed_Analysis'!K46</f>
        <v>0</v>
      </c>
      <c r="K68" s="142"/>
      <c r="L68" s="142"/>
      <c r="M68" s="142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0</v>
      </c>
      <c r="H69" s="141">
        <f>'[1]4.1 OM&amp;A_Detailed_Analysis'!$F47</f>
        <v>0</v>
      </c>
      <c r="I69" s="141">
        <f>'[1]4.1 OM&amp;A_Detailed_Analysis'!$F47</f>
        <v>0</v>
      </c>
      <c r="J69" s="142">
        <f>'[1]4.1 OM&amp;A_Detailed_Analysis'!K47</f>
        <v>1610</v>
      </c>
      <c r="K69" s="142"/>
      <c r="L69" s="142"/>
      <c r="M69" s="142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0</v>
      </c>
      <c r="H70" s="141">
        <f>'[1]4.1 OM&amp;A_Detailed_Analysis'!$F48</f>
        <v>0</v>
      </c>
      <c r="I70" s="141">
        <f>'[1]4.1 OM&amp;A_Detailed_Analysis'!$F48</f>
        <v>0</v>
      </c>
      <c r="J70" s="142">
        <f>'[1]4.1 OM&amp;A_Detailed_Analysis'!K48</f>
        <v>0</v>
      </c>
      <c r="K70" s="142"/>
      <c r="L70" s="142"/>
      <c r="M70" s="142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0</v>
      </c>
      <c r="H71" s="141">
        <f>'[1]4.1 OM&amp;A_Detailed_Analysis'!$F49</f>
        <v>0</v>
      </c>
      <c r="I71" s="141">
        <f>'[1]4.1 OM&amp;A_Detailed_Analysis'!$F49</f>
        <v>0</v>
      </c>
      <c r="J71" s="142">
        <f>'[1]4.1 OM&amp;A_Detailed_Analysis'!K49</f>
        <v>0</v>
      </c>
      <c r="K71" s="142"/>
      <c r="L71" s="142"/>
      <c r="M71" s="142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0</v>
      </c>
      <c r="H72" s="141">
        <f>'[1]4.1 OM&amp;A_Detailed_Analysis'!$F50</f>
        <v>0</v>
      </c>
      <c r="I72" s="141">
        <f>'[1]4.1 OM&amp;A_Detailed_Analysis'!$F50</f>
        <v>0</v>
      </c>
      <c r="J72" s="142">
        <f>'[1]4.1 OM&amp;A_Detailed_Analysis'!K50</f>
        <v>0</v>
      </c>
      <c r="K72" s="142"/>
      <c r="L72" s="142"/>
      <c r="M72" s="142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1">
        <f>'[1]4.1 OM&amp;A_Detailed_Analysis'!$F51</f>
        <v>0</v>
      </c>
      <c r="I73" s="141">
        <f>'[1]4.1 OM&amp;A_Detailed_Analysis'!$F51</f>
        <v>0</v>
      </c>
      <c r="J73" s="142">
        <f>'[1]4.1 OM&amp;A_Detailed_Analysis'!K51</f>
        <v>0</v>
      </c>
      <c r="K73" s="142"/>
      <c r="L73" s="142"/>
      <c r="M73" s="142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0</v>
      </c>
      <c r="H74" s="141">
        <f>'[1]4.1 OM&amp;A_Detailed_Analysis'!$F52</f>
        <v>0</v>
      </c>
      <c r="I74" s="141">
        <f>'[1]4.1 OM&amp;A_Detailed_Analysis'!$F52</f>
        <v>0</v>
      </c>
      <c r="J74" s="142">
        <f>'[1]4.1 OM&amp;A_Detailed_Analysis'!K52</f>
        <v>0</v>
      </c>
      <c r="K74" s="142"/>
      <c r="L74" s="142"/>
      <c r="M74" s="142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0</v>
      </c>
      <c r="H75" s="141">
        <f>'[1]4.1 OM&amp;A_Detailed_Analysis'!$F53</f>
        <v>0</v>
      </c>
      <c r="I75" s="141">
        <f>'[1]4.1 OM&amp;A_Detailed_Analysis'!$F53</f>
        <v>0</v>
      </c>
      <c r="J75" s="142">
        <f>'[1]4.1 OM&amp;A_Detailed_Analysis'!K53</f>
        <v>0</v>
      </c>
      <c r="K75" s="142"/>
      <c r="L75" s="142"/>
      <c r="M75" s="142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0</v>
      </c>
      <c r="H76" s="141">
        <f>'[1]4.1 OM&amp;A_Detailed_Analysis'!$F54</f>
        <v>0</v>
      </c>
      <c r="I76" s="141">
        <f>'[1]4.1 OM&amp;A_Detailed_Analysis'!$F54</f>
        <v>0</v>
      </c>
      <c r="J76" s="142">
        <f>'[1]4.1 OM&amp;A_Detailed_Analysis'!K54</f>
        <v>0</v>
      </c>
      <c r="K76" s="142"/>
      <c r="L76" s="142"/>
      <c r="M76" s="142"/>
      <c r="N76" s="154" t="s">
        <v>172</v>
      </c>
    </row>
    <row r="77" spans="3:14" x14ac:dyDescent="0.2">
      <c r="C77" s="158"/>
      <c r="D77" s="26"/>
      <c r="E77" s="111">
        <v>5175</v>
      </c>
      <c r="F77" s="168" t="s">
        <v>42</v>
      </c>
      <c r="G77" s="112">
        <f>'Benchmarking Calculations'!G43</f>
        <v>0</v>
      </c>
      <c r="H77" s="141">
        <f>'[1]4.1 OM&amp;A_Detailed_Analysis'!$F55</f>
        <v>0</v>
      </c>
      <c r="I77" s="141">
        <f>'[1]4.1 OM&amp;A_Detailed_Analysis'!$F55</f>
        <v>0</v>
      </c>
      <c r="J77" s="142">
        <f>'[1]4.1 OM&amp;A_Detailed_Analysis'!K55</f>
        <v>0</v>
      </c>
      <c r="K77" s="142"/>
      <c r="L77" s="142"/>
      <c r="M77" s="142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0</v>
      </c>
      <c r="H78" s="81">
        <f>SUM(H65:H77)</f>
        <v>0</v>
      </c>
      <c r="I78" s="81">
        <f t="shared" ref="I78:M78" si="5">SUM(I65:I77)</f>
        <v>0</v>
      </c>
      <c r="J78" s="81">
        <f t="shared" si="5"/>
        <v>1610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1">
        <f>'[1]4.1 OM&amp;A_Detailed_Analysis'!I68</f>
        <v>0</v>
      </c>
      <c r="I79" s="141">
        <f>'[1]4.1 OM&amp;A_Detailed_Analysis'!J68</f>
        <v>0</v>
      </c>
      <c r="J79" s="142">
        <f>'[1]4.1 OM&amp;A_Detailed_Analysis'!K68</f>
        <v>0</v>
      </c>
      <c r="K79" s="142"/>
      <c r="L79" s="142"/>
      <c r="M79" s="142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35466.49</v>
      </c>
      <c r="H80" s="141">
        <f>'[1]4.1 OM&amp;A_Detailed_Analysis'!I69</f>
        <v>41027.29</v>
      </c>
      <c r="I80" s="141">
        <f>'[1]4.1 OM&amp;A_Detailed_Analysis'!J69</f>
        <v>42000</v>
      </c>
      <c r="J80" s="142">
        <f>'[1]4.1 OM&amp;A_Detailed_Analysis'!K69</f>
        <v>41040</v>
      </c>
      <c r="K80" s="142"/>
      <c r="L80" s="142"/>
      <c r="M80" s="142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78927.149999999994</v>
      </c>
      <c r="H81" s="141">
        <f>'[1]4.1 OM&amp;A_Detailed_Analysis'!I70</f>
        <v>80401.11</v>
      </c>
      <c r="I81" s="141">
        <f>'[1]4.1 OM&amp;A_Detailed_Analysis'!J70</f>
        <v>87400</v>
      </c>
      <c r="J81" s="142">
        <f>'[1]4.1 OM&amp;A_Detailed_Analysis'!K70</f>
        <v>87078</v>
      </c>
      <c r="K81" s="142"/>
      <c r="L81" s="142"/>
      <c r="M81" s="142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0</v>
      </c>
      <c r="H82" s="141">
        <f>'[1]4.1 OM&amp;A_Detailed_Analysis'!I71</f>
        <v>0</v>
      </c>
      <c r="I82" s="141">
        <f>'[1]4.1 OM&amp;A_Detailed_Analysis'!J71</f>
        <v>600</v>
      </c>
      <c r="J82" s="142">
        <f>'[1]4.1 OM&amp;A_Detailed_Analysis'!K71</f>
        <v>612</v>
      </c>
      <c r="K82" s="142"/>
      <c r="L82" s="142"/>
      <c r="M82" s="142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0</v>
      </c>
      <c r="H83" s="141">
        <f>'[1]4.1 OM&amp;A_Detailed_Analysis'!I72</f>
        <v>0</v>
      </c>
      <c r="I83" s="141">
        <f>'[1]4.1 OM&amp;A_Detailed_Analysis'!J72</f>
        <v>0</v>
      </c>
      <c r="J83" s="142">
        <f>'[1]4.1 OM&amp;A_Detailed_Analysis'!K72</f>
        <v>0</v>
      </c>
      <c r="K83" s="142"/>
      <c r="L83" s="142"/>
      <c r="M83" s="142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1">
        <f>'[1]4.1 OM&amp;A_Detailed_Analysis'!I73</f>
        <v>0</v>
      </c>
      <c r="I84" s="141">
        <f>'[1]4.1 OM&amp;A_Detailed_Analysis'!J73</f>
        <v>0</v>
      </c>
      <c r="J84" s="142">
        <f>'[1]4.1 OM&amp;A_Detailed_Analysis'!K73</f>
        <v>0</v>
      </c>
      <c r="K84" s="142"/>
      <c r="L84" s="142"/>
      <c r="M84" s="142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1">
        <f>'[1]4.1 OM&amp;A_Detailed_Analysis'!I75</f>
        <v>0</v>
      </c>
      <c r="I85" s="141">
        <f>'[1]4.1 OM&amp;A_Detailed_Analysis'!J75</f>
        <v>0</v>
      </c>
      <c r="J85" s="142">
        <f>'[1]4.1 OM&amp;A_Detailed_Analysis'!K75</f>
        <v>0</v>
      </c>
      <c r="K85" s="142"/>
      <c r="L85" s="142"/>
      <c r="M85" s="142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114393.63999999998</v>
      </c>
      <c r="H86" s="81">
        <f>SUM(H79:H85)</f>
        <v>121428.4</v>
      </c>
      <c r="I86" s="81">
        <f t="shared" ref="I86:M86" si="6">SUM(I79:I85)</f>
        <v>130000</v>
      </c>
      <c r="J86" s="81">
        <f t="shared" si="6"/>
        <v>128730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/>
      <c r="I87" s="141"/>
      <c r="J87" s="142"/>
      <c r="K87" s="142"/>
      <c r="L87" s="142"/>
      <c r="M87" s="142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415</v>
      </c>
      <c r="H88" s="141">
        <f>'[1]4.1 OM&amp;A_Detailed_Analysis'!I80</f>
        <v>415</v>
      </c>
      <c r="I88" s="141">
        <f>'[1]4.1 OM&amp;A_Detailed_Analysis'!J80</f>
        <v>0</v>
      </c>
      <c r="J88" s="142">
        <f>'[1]4.1 OM&amp;A_Detailed_Analysis'!K80</f>
        <v>0</v>
      </c>
      <c r="K88" s="142"/>
      <c r="L88" s="142"/>
      <c r="M88" s="142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1"/>
      <c r="I89" s="141"/>
      <c r="J89" s="142"/>
      <c r="K89" s="142"/>
      <c r="L89" s="142"/>
      <c r="M89" s="142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0</v>
      </c>
      <c r="H90" s="141"/>
      <c r="I90" s="141"/>
      <c r="J90" s="142"/>
      <c r="K90" s="142"/>
      <c r="L90" s="142"/>
      <c r="M90" s="142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415</v>
      </c>
      <c r="H91" s="81">
        <f>SUM(H87:H90)</f>
        <v>415</v>
      </c>
      <c r="I91" s="81">
        <f t="shared" ref="I91:M91" si="7">SUM(I87:I90)</f>
        <v>0</v>
      </c>
      <c r="J91" s="81">
        <f t="shared" si="7"/>
        <v>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13200</v>
      </c>
      <c r="H92" s="141">
        <f>'[1]4.1 OM&amp;A_Detailed_Analysis'!I91</f>
        <v>13100</v>
      </c>
      <c r="I92" s="141">
        <f>'[1]4.1 OM&amp;A_Detailed_Analysis'!J91</f>
        <v>13200</v>
      </c>
      <c r="J92" s="142">
        <f>'[1]4.1 OM&amp;A_Detailed_Analysis'!K91</f>
        <v>16200</v>
      </c>
      <c r="K92" s="142"/>
      <c r="L92" s="142"/>
      <c r="M92" s="142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87775.03</v>
      </c>
      <c r="H93" s="141">
        <f>'[1]4.1 OM&amp;A_Detailed_Analysis'!I92</f>
        <v>109621.63</v>
      </c>
      <c r="I93" s="141">
        <f>'[1]4.1 OM&amp;A_Detailed_Analysis'!J92</f>
        <v>149000</v>
      </c>
      <c r="J93" s="142">
        <f>'[1]4.1 OM&amp;A_Detailed_Analysis'!K92</f>
        <v>149760</v>
      </c>
      <c r="K93" s="142"/>
      <c r="L93" s="142"/>
      <c r="M93" s="142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17664.240000000002</v>
      </c>
      <c r="H94" s="141">
        <f>'[1]4.1 OM&amp;A_Detailed_Analysis'!I93</f>
        <v>14465.42</v>
      </c>
      <c r="I94" s="141">
        <f>'[1]4.1 OM&amp;A_Detailed_Analysis'!J93</f>
        <v>17940</v>
      </c>
      <c r="J94" s="142">
        <f>'[1]4.1 OM&amp;A_Detailed_Analysis'!K93</f>
        <v>18197</v>
      </c>
      <c r="K94" s="142"/>
      <c r="L94" s="142"/>
      <c r="M94" s="142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26671.68</v>
      </c>
      <c r="H95" s="141">
        <f>'[1]4.1 OM&amp;A_Detailed_Analysis'!I94</f>
        <v>19138.13</v>
      </c>
      <c r="I95" s="141">
        <f>'[1]4.1 OM&amp;A_Detailed_Analysis'!J94</f>
        <v>26280</v>
      </c>
      <c r="J95" s="142">
        <f>'[1]4.1 OM&amp;A_Detailed_Analysis'!K94</f>
        <v>21850</v>
      </c>
      <c r="K95" s="142"/>
      <c r="L95" s="142"/>
      <c r="M95" s="142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>
        <f>'[1]4.1 OM&amp;A_Detailed_Analysis'!I95</f>
        <v>0</v>
      </c>
      <c r="I96" s="141">
        <f>'[1]4.1 OM&amp;A_Detailed_Analysis'!J95</f>
        <v>0</v>
      </c>
      <c r="J96" s="142">
        <f>'[1]4.1 OM&amp;A_Detailed_Analysis'!K95</f>
        <v>0</v>
      </c>
      <c r="K96" s="142"/>
      <c r="L96" s="142"/>
      <c r="M96" s="142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76785.06</v>
      </c>
      <c r="H97" s="141">
        <f>'[1]4.1 OM&amp;A_Detailed_Analysis'!I96</f>
        <v>65107.08</v>
      </c>
      <c r="I97" s="141">
        <f>'[1]4.1 OM&amp;A_Detailed_Analysis'!J96</f>
        <v>39061</v>
      </c>
      <c r="J97" s="142">
        <f>'[1]4.1 OM&amp;A_Detailed_Analysis'!K96</f>
        <v>30061</v>
      </c>
      <c r="K97" s="142"/>
      <c r="L97" s="142"/>
      <c r="M97" s="142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7533.53</v>
      </c>
      <c r="H98" s="141">
        <f>'[1]4.1 OM&amp;A_Detailed_Analysis'!I98</f>
        <v>8624.76</v>
      </c>
      <c r="I98" s="141">
        <f>'[1]4.1 OM&amp;A_Detailed_Analysis'!J98</f>
        <v>9950</v>
      </c>
      <c r="J98" s="142">
        <f>'[1]4.1 OM&amp;A_Detailed_Analysis'!K98</f>
        <v>10180</v>
      </c>
      <c r="K98" s="142"/>
      <c r="L98" s="142"/>
      <c r="M98" s="142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73205.460000000006</v>
      </c>
      <c r="H99" s="141">
        <f>'[1]4.1 OM&amp;A_Detailed_Analysis'!I99</f>
        <v>83741.91</v>
      </c>
      <c r="I99" s="141">
        <f>'[1]4.1 OM&amp;A_Detailed_Analysis'!J99</f>
        <v>93900</v>
      </c>
      <c r="J99" s="142">
        <f>'[1]4.1 OM&amp;A_Detailed_Analysis'!K99</f>
        <v>96980</v>
      </c>
      <c r="K99" s="142"/>
      <c r="L99" s="142"/>
      <c r="M99" s="142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1">
        <f>'[1]4.1 OM&amp;A_Detailed_Analysis'!I100</f>
        <v>0</v>
      </c>
      <c r="I100" s="141">
        <f>'[1]4.1 OM&amp;A_Detailed_Analysis'!J100</f>
        <v>0</v>
      </c>
      <c r="J100" s="142">
        <f>'[1]4.1 OM&amp;A_Detailed_Analysis'!K100</f>
        <v>0</v>
      </c>
      <c r="K100" s="142"/>
      <c r="L100" s="142"/>
      <c r="M100" s="142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>
        <f>'[1]4.1 OM&amp;A_Detailed_Analysis'!I101</f>
        <v>0</v>
      </c>
      <c r="I101" s="141">
        <f>'[1]4.1 OM&amp;A_Detailed_Analysis'!J101</f>
        <v>0</v>
      </c>
      <c r="J101" s="142">
        <f>'[1]4.1 OM&amp;A_Detailed_Analysis'!K101</f>
        <v>0</v>
      </c>
      <c r="K101" s="142"/>
      <c r="L101" s="142"/>
      <c r="M101" s="142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>
        <f>'[1]4.1 OM&amp;A_Detailed_Analysis'!I102</f>
        <v>0</v>
      </c>
      <c r="I102" s="141">
        <f>'[1]4.1 OM&amp;A_Detailed_Analysis'!J102</f>
        <v>0</v>
      </c>
      <c r="J102" s="142">
        <f>'[1]4.1 OM&amp;A_Detailed_Analysis'!K102</f>
        <v>0</v>
      </c>
      <c r="K102" s="142"/>
      <c r="L102" s="142"/>
      <c r="M102" s="142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8933.7900000000009</v>
      </c>
      <c r="H103" s="141">
        <f>'[1]4.1 OM&amp;A_Detailed_Analysis'!I103</f>
        <v>8392.02</v>
      </c>
      <c r="I103" s="141">
        <f>'[1]4.1 OM&amp;A_Detailed_Analysis'!J103</f>
        <v>41973</v>
      </c>
      <c r="J103" s="142">
        <f>'[1]4.1 OM&amp;A_Detailed_Analysis'!K103</f>
        <v>63495</v>
      </c>
      <c r="K103" s="142"/>
      <c r="L103" s="142"/>
      <c r="M103" s="142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67942.44</v>
      </c>
      <c r="H104" s="141">
        <f>'[1]4.1 OM&amp;A_Detailed_Analysis'!I105</f>
        <v>23457.91</v>
      </c>
      <c r="I104" s="141">
        <f>'[1]4.1 OM&amp;A_Detailed_Analysis'!J105</f>
        <v>24200</v>
      </c>
      <c r="J104" s="142">
        <f>'[1]4.1 OM&amp;A_Detailed_Analysis'!K105</f>
        <v>24650</v>
      </c>
      <c r="K104" s="142"/>
      <c r="L104" s="142"/>
      <c r="M104" s="142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0</v>
      </c>
      <c r="H105" s="141">
        <f>'[1]4.1 OM&amp;A_Detailed_Analysis'!I106</f>
        <v>0</v>
      </c>
      <c r="I105" s="141">
        <f>'[1]4.1 OM&amp;A_Detailed_Analysis'!J106</f>
        <v>0</v>
      </c>
      <c r="J105" s="142">
        <f>'[1]4.1 OM&amp;A_Detailed_Analysis'!K106</f>
        <v>0</v>
      </c>
      <c r="K105" s="142"/>
      <c r="L105" s="142"/>
      <c r="M105" s="142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>
        <f>'[1]4.1 OM&amp;A_Detailed_Analysis'!I107</f>
        <v>0</v>
      </c>
      <c r="I106" s="141">
        <f>'[1]4.1 OM&amp;A_Detailed_Analysis'!J107</f>
        <v>0</v>
      </c>
      <c r="J106" s="142">
        <f>'[1]4.1 OM&amp;A_Detailed_Analysis'!K107</f>
        <v>0</v>
      </c>
      <c r="K106" s="142"/>
      <c r="L106" s="142"/>
      <c r="M106" s="142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0</v>
      </c>
      <c r="H107" s="141">
        <f>'[1]4.1 OM&amp;A_Detailed_Analysis'!I108</f>
        <v>0</v>
      </c>
      <c r="I107" s="141">
        <f>'[1]4.1 OM&amp;A_Detailed_Analysis'!J108</f>
        <v>0</v>
      </c>
      <c r="J107" s="142">
        <f>'[1]4.1 OM&amp;A_Detailed_Analysis'!K108</f>
        <v>0</v>
      </c>
      <c r="K107" s="142"/>
      <c r="L107" s="142"/>
      <c r="M107" s="142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0</v>
      </c>
      <c r="H108" s="141">
        <f>'[1]4.1 OM&amp;A_Detailed_Analysis'!I109</f>
        <v>0</v>
      </c>
      <c r="I108" s="141">
        <f>'[1]4.1 OM&amp;A_Detailed_Analysis'!J109</f>
        <v>0</v>
      </c>
      <c r="J108" s="142">
        <f>'[1]4.1 OM&amp;A_Detailed_Analysis'!K109</f>
        <v>0</v>
      </c>
      <c r="K108" s="142"/>
      <c r="L108" s="142"/>
      <c r="M108" s="142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379711.23</v>
      </c>
      <c r="H109" s="81">
        <f>SUM(H92:H108)</f>
        <v>345648.86000000004</v>
      </c>
      <c r="I109" s="81">
        <f t="shared" ref="I109:M109" si="8">SUM(I92:I108)</f>
        <v>415504</v>
      </c>
      <c r="J109" s="81">
        <f t="shared" si="8"/>
        <v>431373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4421.41</v>
      </c>
      <c r="H110" s="141"/>
      <c r="I110" s="141"/>
      <c r="J110" s="142"/>
      <c r="K110" s="142"/>
      <c r="L110" s="142"/>
      <c r="M110" s="142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4421.41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1"/>
      <c r="I113" s="141"/>
      <c r="J113" s="142"/>
      <c r="K113" s="142"/>
      <c r="L113" s="142"/>
      <c r="M113" s="142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59" t="s">
        <v>29</v>
      </c>
    </row>
    <row r="115" spans="3:14" x14ac:dyDescent="0.2">
      <c r="C115" s="158"/>
      <c r="D115" s="77"/>
      <c r="E115" s="171" t="s">
        <v>199</v>
      </c>
      <c r="F115" s="80" t="s">
        <v>80</v>
      </c>
      <c r="G115" s="58">
        <f>'Benchmarking Calculations'!G81</f>
        <v>735273.37</v>
      </c>
      <c r="H115" s="81">
        <f>H114+H112+H109+H91+H86+H78+H64</f>
        <v>705401.32000000007</v>
      </c>
      <c r="I115" s="81">
        <f t="shared" ref="I115:M115" si="11">I114+I112+I109+I91+I86+I78+I64</f>
        <v>792904</v>
      </c>
      <c r="J115" s="81">
        <f t="shared" si="11"/>
        <v>804473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59" t="s">
        <v>29</v>
      </c>
    </row>
    <row r="121" spans="3:14" x14ac:dyDescent="0.2">
      <c r="C121" s="158"/>
      <c r="D121" s="77"/>
      <c r="E121" s="171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2" t="s">
        <v>29</v>
      </c>
    </row>
    <row r="122" spans="3:14" x14ac:dyDescent="0.2">
      <c r="C122" s="158"/>
      <c r="D122" s="77"/>
      <c r="E122" s="173" t="s">
        <v>201</v>
      </c>
      <c r="F122" s="80" t="s">
        <v>83</v>
      </c>
      <c r="G122" s="110">
        <f>'Benchmarking Calculations'!G88</f>
        <v>0</v>
      </c>
      <c r="H122" s="174"/>
      <c r="I122" s="174"/>
      <c r="J122" s="174"/>
      <c r="K122" s="174"/>
      <c r="L122" s="174"/>
      <c r="M122" s="174"/>
      <c r="N122" s="175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4"/>
  <sheetViews>
    <sheetView zoomScaleNormal="100" workbookViewId="0">
      <pane ySplit="5" topLeftCell="A6" activePane="bottomLeft" state="frozen"/>
      <selection activeCell="G33" sqref="G33"/>
      <selection pane="bottomLeft" activeCell="E10" sqref="E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O1" s="126"/>
      <c r="P1" s="217"/>
      <c r="Q1" s="21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</row>
    <row r="2" spans="1:91" ht="21" thickTop="1" thickBot="1" x14ac:dyDescent="0.4">
      <c r="A2" s="1"/>
      <c r="B2" s="100"/>
      <c r="C2" s="3"/>
      <c r="D2" s="3"/>
      <c r="E2" s="10"/>
      <c r="R2" s="180"/>
      <c r="S2" s="180"/>
    </row>
    <row r="3" spans="1:91" ht="48.75" customHeight="1" thickBot="1" x14ac:dyDescent="0.25">
      <c r="B3" s="233" t="s">
        <v>1</v>
      </c>
      <c r="C3" s="233"/>
      <c r="D3" s="101"/>
      <c r="E3" s="102" t="str">
        <f>'Model Inputs'!F5</f>
        <v>Chapleau Public Utilities Corporation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20" t="s">
        <v>204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271</v>
      </c>
      <c r="AW3" s="182" t="s">
        <v>235</v>
      </c>
      <c r="AX3" s="182" t="s">
        <v>236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">
      <c r="E4" s="5"/>
      <c r="F4" s="234"/>
      <c r="G4" s="235"/>
      <c r="H4" s="236" t="s">
        <v>2</v>
      </c>
      <c r="I4" s="237"/>
      <c r="J4" s="237"/>
      <c r="K4" s="237"/>
      <c r="L4" s="237"/>
      <c r="M4" s="237"/>
      <c r="N4" s="38"/>
      <c r="O4" s="114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8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91" s="3" customFormat="1" ht="13.5" thickBot="1" x14ac:dyDescent="0.25">
      <c r="A7" s="232" t="s">
        <v>6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146"/>
      <c r="N7" s="58"/>
      <c r="O7" s="114">
        <v>5</v>
      </c>
      <c r="P7" s="114">
        <v>0</v>
      </c>
      <c r="Q7" s="99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91" outlineLevel="1" x14ac:dyDescent="0.2">
      <c r="A10" s="9"/>
      <c r="B10" s="10">
        <v>2</v>
      </c>
      <c r="C10" s="12">
        <v>5005</v>
      </c>
      <c r="D10" s="223">
        <v>2</v>
      </c>
      <c r="E10" s="12" t="s">
        <v>8</v>
      </c>
      <c r="F10" s="104"/>
      <c r="G10" s="104">
        <f t="shared" ref="G10:G41" si="0">HLOOKUP($E$3,$P$3:$CF$269,O10,TRUE)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7">
        <v>114093.57</v>
      </c>
      <c r="R10" s="177">
        <v>0</v>
      </c>
      <c r="S10" s="177">
        <v>527557.71</v>
      </c>
      <c r="T10" s="177">
        <v>539255.61</v>
      </c>
      <c r="U10" s="177">
        <v>0</v>
      </c>
      <c r="V10" s="177">
        <v>367153.78</v>
      </c>
      <c r="W10" s="177">
        <v>69548.539999999994</v>
      </c>
      <c r="X10" s="177">
        <v>71727.41</v>
      </c>
      <c r="Y10" s="177">
        <v>0</v>
      </c>
      <c r="Z10" s="177">
        <v>205247.01</v>
      </c>
      <c r="AA10" s="177">
        <v>0</v>
      </c>
      <c r="AB10" s="177">
        <v>18442.36</v>
      </c>
      <c r="AC10" s="177">
        <v>1883054.57</v>
      </c>
      <c r="AD10" s="177">
        <v>502735.84</v>
      </c>
      <c r="AE10" s="177">
        <v>572843.52000000002</v>
      </c>
      <c r="AF10" s="177">
        <v>0</v>
      </c>
      <c r="AG10" s="177">
        <v>51581.25</v>
      </c>
      <c r="AH10" s="177">
        <v>74046.03327</v>
      </c>
      <c r="AI10" s="177">
        <v>199214.17</v>
      </c>
      <c r="AJ10" s="177">
        <v>147824.32000000001</v>
      </c>
      <c r="AK10" s="177">
        <v>966814.32</v>
      </c>
      <c r="AL10" s="177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7">
        <v>40668.49</v>
      </c>
      <c r="R11" s="177">
        <v>0</v>
      </c>
      <c r="S11" s="177">
        <v>386768.12</v>
      </c>
      <c r="T11" s="177">
        <v>108246.11</v>
      </c>
      <c r="U11" s="177">
        <v>1573618.96</v>
      </c>
      <c r="V11" s="177">
        <v>585602.68000000005</v>
      </c>
      <c r="W11" s="177">
        <v>282269.33</v>
      </c>
      <c r="X11" s="177">
        <v>15500.36</v>
      </c>
      <c r="Y11" s="177">
        <v>0</v>
      </c>
      <c r="Z11" s="177">
        <v>84385.46</v>
      </c>
      <c r="AA11" s="177">
        <v>0</v>
      </c>
      <c r="AB11" s="177">
        <v>582.84</v>
      </c>
      <c r="AC11" s="177">
        <v>2311567.31</v>
      </c>
      <c r="AD11" s="177">
        <v>42117.14</v>
      </c>
      <c r="AE11" s="177">
        <v>143141.29999999999</v>
      </c>
      <c r="AF11" s="177">
        <v>0</v>
      </c>
      <c r="AG11" s="177">
        <v>0</v>
      </c>
      <c r="AH11" s="177">
        <v>11704.879349999999</v>
      </c>
      <c r="AI11" s="177">
        <v>54776.63</v>
      </c>
      <c r="AJ11" s="177">
        <v>0</v>
      </c>
      <c r="AK11" s="177">
        <v>662620.19999999995</v>
      </c>
      <c r="AL11" s="177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7">
        <v>85555.56</v>
      </c>
      <c r="R12" s="177">
        <v>0</v>
      </c>
      <c r="S12" s="177">
        <v>7671.3</v>
      </c>
      <c r="T12" s="177">
        <v>35988.97</v>
      </c>
      <c r="U12" s="177">
        <v>129969.26</v>
      </c>
      <c r="V12" s="177">
        <v>0</v>
      </c>
      <c r="W12" s="177">
        <v>150584.29999999999</v>
      </c>
      <c r="X12" s="177">
        <v>75720.899999999994</v>
      </c>
      <c r="Y12" s="177">
        <v>0</v>
      </c>
      <c r="Z12" s="177">
        <v>36801.980000000003</v>
      </c>
      <c r="AA12" s="177">
        <v>1306.48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1478</v>
      </c>
      <c r="AH12" s="177">
        <v>0</v>
      </c>
      <c r="AI12" s="177">
        <v>18169.73</v>
      </c>
      <c r="AJ12" s="177">
        <v>66895.460000000006</v>
      </c>
      <c r="AK12" s="177">
        <v>299571.86</v>
      </c>
      <c r="AL12" s="177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7">
        <v>0</v>
      </c>
      <c r="R13" s="177">
        <v>0</v>
      </c>
      <c r="S13" s="177">
        <v>0</v>
      </c>
      <c r="T13" s="177">
        <v>21884.6</v>
      </c>
      <c r="U13" s="177">
        <v>0</v>
      </c>
      <c r="V13" s="177">
        <v>17501.78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603.22</v>
      </c>
      <c r="AJ13" s="177">
        <v>6703.74</v>
      </c>
      <c r="AK13" s="177">
        <v>0</v>
      </c>
      <c r="AL13" s="177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7">
        <v>0</v>
      </c>
      <c r="R14" s="177">
        <v>0</v>
      </c>
      <c r="S14" s="177">
        <v>0</v>
      </c>
      <c r="T14" s="177">
        <v>96479.29</v>
      </c>
      <c r="U14" s="177">
        <v>0</v>
      </c>
      <c r="V14" s="177">
        <v>208915.59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90762.16</v>
      </c>
      <c r="AJ14" s="177">
        <v>8164.78</v>
      </c>
      <c r="AK14" s="177">
        <v>0</v>
      </c>
      <c r="AL14" s="177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3">
        <v>7</v>
      </c>
      <c r="E15" s="12" t="s">
        <v>13</v>
      </c>
      <c r="F15" s="104"/>
      <c r="G15" s="104">
        <f t="shared" si="0"/>
        <v>2991.14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7">
        <v>42193.03</v>
      </c>
      <c r="R15" s="177">
        <v>32872.97</v>
      </c>
      <c r="S15" s="177">
        <v>0</v>
      </c>
      <c r="T15" s="177">
        <v>4300.0600000000004</v>
      </c>
      <c r="U15" s="177">
        <v>587817.22</v>
      </c>
      <c r="V15" s="177">
        <v>0</v>
      </c>
      <c r="W15" s="177">
        <v>91863.96</v>
      </c>
      <c r="X15" s="177">
        <v>1305.17</v>
      </c>
      <c r="Y15" s="177">
        <v>2991.14</v>
      </c>
      <c r="Z15" s="177">
        <v>0</v>
      </c>
      <c r="AA15" s="177">
        <v>0</v>
      </c>
      <c r="AB15" s="177">
        <v>7845.16</v>
      </c>
      <c r="AC15" s="177">
        <v>899647.09</v>
      </c>
      <c r="AD15" s="177">
        <v>52061.47</v>
      </c>
      <c r="AE15" s="177">
        <v>0</v>
      </c>
      <c r="AF15" s="177">
        <v>0</v>
      </c>
      <c r="AG15" s="177">
        <v>1655.42</v>
      </c>
      <c r="AH15" s="177">
        <v>0</v>
      </c>
      <c r="AI15" s="177">
        <v>82.6</v>
      </c>
      <c r="AJ15" s="177">
        <v>0</v>
      </c>
      <c r="AK15" s="177">
        <v>314732.05</v>
      </c>
      <c r="AL15" s="177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7">
        <v>16554.830000000002</v>
      </c>
      <c r="R16" s="177">
        <v>0</v>
      </c>
      <c r="S16" s="177">
        <v>0</v>
      </c>
      <c r="T16" s="177">
        <v>0</v>
      </c>
      <c r="U16" s="177">
        <v>452258.44</v>
      </c>
      <c r="V16" s="177">
        <v>1200</v>
      </c>
      <c r="W16" s="177">
        <v>10468.4</v>
      </c>
      <c r="X16" s="177">
        <v>12483.68</v>
      </c>
      <c r="Y16" s="177">
        <v>0</v>
      </c>
      <c r="Z16" s="177">
        <v>0</v>
      </c>
      <c r="AA16" s="177">
        <v>0</v>
      </c>
      <c r="AB16" s="177">
        <v>0</v>
      </c>
      <c r="AC16" s="177">
        <v>280642.2</v>
      </c>
      <c r="AD16" s="177">
        <v>55374.41</v>
      </c>
      <c r="AE16" s="177">
        <v>0</v>
      </c>
      <c r="AF16" s="177">
        <v>0</v>
      </c>
      <c r="AG16" s="177">
        <v>11396.71</v>
      </c>
      <c r="AH16" s="177">
        <v>0</v>
      </c>
      <c r="AI16" s="177">
        <v>0</v>
      </c>
      <c r="AJ16" s="177">
        <v>568.74</v>
      </c>
      <c r="AK16" s="177">
        <v>149153.94</v>
      </c>
      <c r="AL16" s="177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3">
        <v>9</v>
      </c>
      <c r="E17" s="12" t="s">
        <v>15</v>
      </c>
      <c r="F17" s="104"/>
      <c r="G17" s="104">
        <f t="shared" si="0"/>
        <v>178142.46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7">
        <v>77475.44</v>
      </c>
      <c r="R17" s="177">
        <v>261509.27</v>
      </c>
      <c r="S17" s="177">
        <v>0</v>
      </c>
      <c r="T17" s="177">
        <v>6820.05</v>
      </c>
      <c r="U17" s="177">
        <v>432443.64</v>
      </c>
      <c r="V17" s="177">
        <v>182546.67</v>
      </c>
      <c r="W17" s="177">
        <v>104340.98</v>
      </c>
      <c r="X17" s="177">
        <v>2346.7800000000002</v>
      </c>
      <c r="Y17" s="177">
        <v>178142.46</v>
      </c>
      <c r="Z17" s="177">
        <v>31186.69</v>
      </c>
      <c r="AA17" s="177">
        <v>0</v>
      </c>
      <c r="AB17" s="177">
        <v>26610.58</v>
      </c>
      <c r="AC17" s="177">
        <v>2700134.77</v>
      </c>
      <c r="AD17" s="177">
        <v>45941.41</v>
      </c>
      <c r="AE17" s="177">
        <v>0</v>
      </c>
      <c r="AF17" s="177">
        <v>0</v>
      </c>
      <c r="AG17" s="177">
        <v>37475.199999999997</v>
      </c>
      <c r="AH17" s="177">
        <v>93011.045329999994</v>
      </c>
      <c r="AI17" s="177">
        <v>11928.54</v>
      </c>
      <c r="AJ17" s="177">
        <v>15098.64</v>
      </c>
      <c r="AK17" s="177">
        <v>137060.95000000001</v>
      </c>
      <c r="AL17" s="177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3">
        <v>10</v>
      </c>
      <c r="E18" s="12" t="s">
        <v>16</v>
      </c>
      <c r="F18" s="104"/>
      <c r="G18" s="104">
        <f t="shared" si="0"/>
        <v>53230.89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7">
        <v>70523.179999999993</v>
      </c>
      <c r="R18" s="177">
        <v>49598.17</v>
      </c>
      <c r="S18" s="177">
        <v>417318.08</v>
      </c>
      <c r="T18" s="177">
        <v>11883.83</v>
      </c>
      <c r="U18" s="177">
        <v>549805</v>
      </c>
      <c r="V18" s="177">
        <v>214661.63</v>
      </c>
      <c r="W18" s="177">
        <v>9925.91</v>
      </c>
      <c r="X18" s="177">
        <v>5198.53</v>
      </c>
      <c r="Y18" s="177">
        <v>53230.89</v>
      </c>
      <c r="Z18" s="177">
        <v>72594.13</v>
      </c>
      <c r="AA18" s="177">
        <v>0</v>
      </c>
      <c r="AB18" s="177">
        <v>0</v>
      </c>
      <c r="AC18" s="177">
        <v>252225.23</v>
      </c>
      <c r="AD18" s="177">
        <v>18206.87</v>
      </c>
      <c r="AE18" s="177">
        <v>781340.96</v>
      </c>
      <c r="AF18" s="177">
        <v>0</v>
      </c>
      <c r="AG18" s="177">
        <v>59263.57</v>
      </c>
      <c r="AH18" s="177">
        <v>38431.01311</v>
      </c>
      <c r="AI18" s="177">
        <v>43541.97</v>
      </c>
      <c r="AJ18" s="177">
        <v>0</v>
      </c>
      <c r="AK18" s="177">
        <v>452578.7</v>
      </c>
      <c r="AL18" s="177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7">
        <v>2970.97</v>
      </c>
      <c r="R19" s="177">
        <v>0</v>
      </c>
      <c r="S19" s="177">
        <v>145.22999999999999</v>
      </c>
      <c r="T19" s="177">
        <v>18564.39</v>
      </c>
      <c r="U19" s="177">
        <v>15142.47</v>
      </c>
      <c r="V19" s="177">
        <v>27866.03</v>
      </c>
      <c r="W19" s="177">
        <v>35590.44</v>
      </c>
      <c r="X19" s="177">
        <v>0</v>
      </c>
      <c r="Y19" s="177">
        <v>0</v>
      </c>
      <c r="Z19" s="177">
        <v>614.22</v>
      </c>
      <c r="AA19" s="177">
        <v>3185.14</v>
      </c>
      <c r="AB19" s="177">
        <v>2395.34</v>
      </c>
      <c r="AC19" s="177">
        <v>0</v>
      </c>
      <c r="AD19" s="177">
        <v>253.4</v>
      </c>
      <c r="AE19" s="177">
        <v>34444.22</v>
      </c>
      <c r="AF19" s="177">
        <v>0</v>
      </c>
      <c r="AG19" s="177">
        <v>9433.19</v>
      </c>
      <c r="AH19" s="177">
        <v>1859.30195</v>
      </c>
      <c r="AI19" s="177">
        <v>5639.91</v>
      </c>
      <c r="AJ19" s="177">
        <v>0</v>
      </c>
      <c r="AK19" s="177">
        <v>119894.74</v>
      </c>
      <c r="AL19" s="177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7">
        <v>2552.62</v>
      </c>
      <c r="R20" s="177">
        <v>0</v>
      </c>
      <c r="S20" s="177">
        <v>1420172.75</v>
      </c>
      <c r="T20" s="177">
        <v>83357.100000000006</v>
      </c>
      <c r="U20" s="177">
        <v>87718.81</v>
      </c>
      <c r="V20" s="177">
        <v>50231.35</v>
      </c>
      <c r="W20" s="177">
        <v>134152.44</v>
      </c>
      <c r="X20" s="177">
        <v>0</v>
      </c>
      <c r="Y20" s="177">
        <v>0</v>
      </c>
      <c r="Z20" s="177">
        <v>3596.3</v>
      </c>
      <c r="AA20" s="177">
        <v>0</v>
      </c>
      <c r="AB20" s="177">
        <v>182862.15</v>
      </c>
      <c r="AC20" s="177">
        <v>0</v>
      </c>
      <c r="AD20" s="177">
        <v>197917.61</v>
      </c>
      <c r="AE20" s="177">
        <v>0</v>
      </c>
      <c r="AF20" s="177">
        <v>0</v>
      </c>
      <c r="AG20" s="177">
        <v>33181.4</v>
      </c>
      <c r="AH20" s="177">
        <v>43027.008580000002</v>
      </c>
      <c r="AI20" s="177">
        <v>3731.97</v>
      </c>
      <c r="AJ20" s="177">
        <v>0</v>
      </c>
      <c r="AK20" s="177">
        <v>9027.3799999999992</v>
      </c>
      <c r="AL20" s="177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7">
        <v>0</v>
      </c>
      <c r="R21" s="177">
        <v>0</v>
      </c>
      <c r="S21" s="177">
        <v>132242</v>
      </c>
      <c r="T21" s="177">
        <v>14148.61</v>
      </c>
      <c r="U21" s="177">
        <v>588253.39</v>
      </c>
      <c r="V21" s="177">
        <v>97261.28</v>
      </c>
      <c r="W21" s="177">
        <v>15593.15</v>
      </c>
      <c r="X21" s="177">
        <v>0</v>
      </c>
      <c r="Y21" s="177">
        <v>0</v>
      </c>
      <c r="Z21" s="177">
        <v>1381.95</v>
      </c>
      <c r="AA21" s="177">
        <v>0</v>
      </c>
      <c r="AB21" s="177">
        <v>275.60000000000002</v>
      </c>
      <c r="AC21" s="177">
        <v>0</v>
      </c>
      <c r="AD21" s="177">
        <v>72003.86</v>
      </c>
      <c r="AE21" s="177">
        <v>490863.72</v>
      </c>
      <c r="AF21" s="177">
        <v>0</v>
      </c>
      <c r="AG21" s="177">
        <v>19995.509999999998</v>
      </c>
      <c r="AH21" s="177">
        <v>44330.553679999997</v>
      </c>
      <c r="AI21" s="177">
        <v>222.96</v>
      </c>
      <c r="AJ21" s="177">
        <v>33300.71</v>
      </c>
      <c r="AK21" s="177">
        <v>10863.16</v>
      </c>
      <c r="AL21" s="177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7">
        <v>0</v>
      </c>
      <c r="R22" s="177">
        <v>0</v>
      </c>
      <c r="S22" s="177">
        <v>0</v>
      </c>
      <c r="T22" s="177">
        <v>-426.23</v>
      </c>
      <c r="U22" s="177">
        <v>178186.12</v>
      </c>
      <c r="V22" s="177">
        <v>74106.45</v>
      </c>
      <c r="W22" s="177">
        <v>1850.15</v>
      </c>
      <c r="X22" s="177">
        <v>4555.24</v>
      </c>
      <c r="Y22" s="177">
        <v>0</v>
      </c>
      <c r="Z22" s="177">
        <v>0</v>
      </c>
      <c r="AA22" s="177">
        <v>0</v>
      </c>
      <c r="AB22" s="177">
        <v>12226.57</v>
      </c>
      <c r="AC22" s="177">
        <v>0</v>
      </c>
      <c r="AD22" s="177">
        <v>297.41000000000003</v>
      </c>
      <c r="AE22" s="177">
        <v>75319.539999999994</v>
      </c>
      <c r="AF22" s="177">
        <v>0</v>
      </c>
      <c r="AG22" s="177">
        <v>2902.38</v>
      </c>
      <c r="AH22" s="177">
        <v>39665.818550000004</v>
      </c>
      <c r="AI22" s="177">
        <v>6515.72</v>
      </c>
      <c r="AJ22" s="177">
        <v>0</v>
      </c>
      <c r="AK22" s="177">
        <v>135473.04999999999</v>
      </c>
      <c r="AL22" s="177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3">
        <v>15</v>
      </c>
      <c r="E23" s="12" t="s">
        <v>21</v>
      </c>
      <c r="F23" s="104"/>
      <c r="G23" s="104">
        <f t="shared" si="0"/>
        <v>514.32000000000005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7">
        <v>353615.85</v>
      </c>
      <c r="R23" s="177">
        <v>13584.38</v>
      </c>
      <c r="S23" s="177">
        <v>480061.75</v>
      </c>
      <c r="T23" s="177">
        <v>326330.23</v>
      </c>
      <c r="U23" s="177">
        <v>169689.42</v>
      </c>
      <c r="V23" s="177">
        <v>1040768.36</v>
      </c>
      <c r="W23" s="177">
        <v>355389.43</v>
      </c>
      <c r="X23" s="177">
        <v>59018.69</v>
      </c>
      <c r="Y23" s="177">
        <v>514.32000000000005</v>
      </c>
      <c r="Z23" s="177">
        <v>753.95</v>
      </c>
      <c r="AA23" s="177">
        <v>907.5</v>
      </c>
      <c r="AB23" s="177">
        <v>15234.71</v>
      </c>
      <c r="AC23" s="177">
        <v>0</v>
      </c>
      <c r="AD23" s="177">
        <v>235670.75</v>
      </c>
      <c r="AE23" s="177">
        <v>331573.09000000003</v>
      </c>
      <c r="AF23" s="177">
        <v>0</v>
      </c>
      <c r="AG23" s="177">
        <v>4796.26</v>
      </c>
      <c r="AH23" s="177">
        <v>167380.23730000001</v>
      </c>
      <c r="AI23" s="177">
        <v>264761.08</v>
      </c>
      <c r="AJ23" s="177">
        <v>12451.86</v>
      </c>
      <c r="AK23" s="177">
        <v>684735.64</v>
      </c>
      <c r="AL23" s="177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7">
        <v>84095.91</v>
      </c>
      <c r="R24" s="177">
        <v>0</v>
      </c>
      <c r="S24" s="177">
        <v>0</v>
      </c>
      <c r="T24" s="177">
        <v>513.71</v>
      </c>
      <c r="U24" s="177">
        <v>286228.39</v>
      </c>
      <c r="V24" s="177">
        <v>2532.0700000000002</v>
      </c>
      <c r="W24" s="177">
        <v>3617.23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1305968.1299999999</v>
      </c>
      <c r="AD24" s="177">
        <v>45184.32</v>
      </c>
      <c r="AE24" s="177">
        <v>0</v>
      </c>
      <c r="AF24" s="177">
        <v>0</v>
      </c>
      <c r="AG24" s="177">
        <v>33515.919999999998</v>
      </c>
      <c r="AH24" s="177">
        <v>382214.61670000001</v>
      </c>
      <c r="AI24" s="177">
        <v>182948.88</v>
      </c>
      <c r="AJ24" s="177">
        <v>0</v>
      </c>
      <c r="AK24" s="177">
        <v>617858.05000000005</v>
      </c>
      <c r="AL24" s="177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7">
        <v>21132.53</v>
      </c>
      <c r="R25" s="177">
        <v>0</v>
      </c>
      <c r="S25" s="177">
        <v>0</v>
      </c>
      <c r="T25" s="177">
        <v>379.13</v>
      </c>
      <c r="U25" s="177">
        <v>101653.72</v>
      </c>
      <c r="V25" s="177">
        <v>3948.91</v>
      </c>
      <c r="W25" s="177">
        <v>0</v>
      </c>
      <c r="X25" s="177">
        <v>0</v>
      </c>
      <c r="Y25" s="177">
        <v>0</v>
      </c>
      <c r="Z25" s="177">
        <v>0</v>
      </c>
      <c r="AA25" s="177">
        <v>19441.63</v>
      </c>
      <c r="AB25" s="177">
        <v>0</v>
      </c>
      <c r="AC25" s="177">
        <v>20963</v>
      </c>
      <c r="AD25" s="177">
        <v>13911.63</v>
      </c>
      <c r="AE25" s="177">
        <v>1132.25</v>
      </c>
      <c r="AF25" s="177">
        <v>0</v>
      </c>
      <c r="AG25" s="177">
        <v>1543.39</v>
      </c>
      <c r="AH25" s="177">
        <v>0</v>
      </c>
      <c r="AI25" s="177">
        <v>7057.68</v>
      </c>
      <c r="AJ25" s="177">
        <v>590</v>
      </c>
      <c r="AK25" s="177">
        <v>0</v>
      </c>
      <c r="AL25" s="177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3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7">
        <v>280419.07</v>
      </c>
      <c r="R26" s="177">
        <v>33306.61</v>
      </c>
      <c r="S26" s="177">
        <v>446362.71</v>
      </c>
      <c r="T26" s="177">
        <v>418109.48</v>
      </c>
      <c r="U26" s="177">
        <v>0</v>
      </c>
      <c r="V26" s="177">
        <v>0</v>
      </c>
      <c r="W26" s="177">
        <v>391147.95</v>
      </c>
      <c r="X26" s="177">
        <v>58407.31</v>
      </c>
      <c r="Y26" s="177">
        <v>0</v>
      </c>
      <c r="Z26" s="177">
        <v>145033.88</v>
      </c>
      <c r="AA26" s="177">
        <v>9368.08</v>
      </c>
      <c r="AB26" s="177">
        <v>0</v>
      </c>
      <c r="AC26" s="177">
        <v>2908606.37</v>
      </c>
      <c r="AD26" s="177">
        <v>0</v>
      </c>
      <c r="AE26" s="177">
        <v>14767.45</v>
      </c>
      <c r="AF26" s="177">
        <v>90763.77</v>
      </c>
      <c r="AG26" s="177">
        <v>11093.29</v>
      </c>
      <c r="AH26" s="177">
        <v>48172.112159999997</v>
      </c>
      <c r="AI26" s="177">
        <v>6372.53</v>
      </c>
      <c r="AJ26" s="177">
        <v>218294.86</v>
      </c>
      <c r="AK26" s="177">
        <v>1282455.3700000001</v>
      </c>
      <c r="AL26" s="177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863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3">
        <v>20</v>
      </c>
      <c r="E28" s="12" t="s">
        <v>26</v>
      </c>
      <c r="F28" s="104"/>
      <c r="G28" s="104">
        <f t="shared" si="0"/>
        <v>1453.28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7">
        <v>25176.87</v>
      </c>
      <c r="R28" s="177">
        <v>175.16</v>
      </c>
      <c r="S28" s="177">
        <v>15386.4</v>
      </c>
      <c r="T28" s="177">
        <v>6755</v>
      </c>
      <c r="U28" s="177">
        <v>0</v>
      </c>
      <c r="V28" s="177">
        <v>60128.46</v>
      </c>
      <c r="W28" s="177">
        <v>35891</v>
      </c>
      <c r="X28" s="177">
        <v>6304.25</v>
      </c>
      <c r="Y28" s="177">
        <v>1453.28</v>
      </c>
      <c r="Z28" s="177">
        <v>0</v>
      </c>
      <c r="AA28" s="177">
        <v>0</v>
      </c>
      <c r="AB28" s="177">
        <v>17813.36</v>
      </c>
      <c r="AC28" s="177">
        <v>0</v>
      </c>
      <c r="AD28" s="177">
        <v>0</v>
      </c>
      <c r="AE28" s="177">
        <v>0</v>
      </c>
      <c r="AF28" s="177">
        <v>0</v>
      </c>
      <c r="AG28" s="177">
        <v>14556</v>
      </c>
      <c r="AH28" s="177">
        <v>0</v>
      </c>
      <c r="AI28" s="177">
        <v>7988.51</v>
      </c>
      <c r="AJ28" s="177">
        <v>0</v>
      </c>
      <c r="AK28" s="177">
        <v>75781.5</v>
      </c>
      <c r="AL28" s="177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7">
        <v>3413.64</v>
      </c>
      <c r="R29" s="177">
        <v>50</v>
      </c>
      <c r="S29" s="177">
        <v>0</v>
      </c>
      <c r="T29" s="177">
        <v>1120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172800</v>
      </c>
      <c r="AA29" s="177">
        <v>0</v>
      </c>
      <c r="AB29" s="177">
        <v>0</v>
      </c>
      <c r="AC29" s="177">
        <v>-186504.67</v>
      </c>
      <c r="AD29" s="177">
        <v>0</v>
      </c>
      <c r="AE29" s="177">
        <v>0</v>
      </c>
      <c r="AF29" s="177">
        <v>810</v>
      </c>
      <c r="AG29" s="177">
        <v>0</v>
      </c>
      <c r="AH29" s="177">
        <v>106446.6618</v>
      </c>
      <c r="AI29" s="177">
        <v>0</v>
      </c>
      <c r="AJ29" s="177">
        <v>0</v>
      </c>
      <c r="AK29" s="177">
        <v>0</v>
      </c>
      <c r="AL29" s="177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3"/>
      <c r="E30" s="17" t="s">
        <v>28</v>
      </c>
      <c r="F30" s="105"/>
      <c r="G30" s="104">
        <f t="shared" si="0"/>
        <v>236332.09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7">
        <v>1220441.56</v>
      </c>
      <c r="R30" s="177">
        <v>391096.55999999994</v>
      </c>
      <c r="S30" s="177">
        <v>3833686.05</v>
      </c>
      <c r="T30" s="177">
        <v>1693709.94</v>
      </c>
      <c r="U30" s="177">
        <v>5152784.84</v>
      </c>
      <c r="V30" s="177">
        <v>2934425.04</v>
      </c>
      <c r="W30" s="177">
        <v>1693096.21</v>
      </c>
      <c r="X30" s="177">
        <v>312568.31999999995</v>
      </c>
      <c r="Y30" s="177">
        <v>236332.09</v>
      </c>
      <c r="Z30" s="177">
        <v>754395.57000000007</v>
      </c>
      <c r="AA30" s="177">
        <v>34208.83</v>
      </c>
      <c r="AB30" s="177">
        <v>284288.67</v>
      </c>
      <c r="AC30" s="177">
        <v>12376304.000000002</v>
      </c>
      <c r="AD30" s="177">
        <v>1281676.1199999999</v>
      </c>
      <c r="AE30" s="177">
        <v>2445426.0499999998</v>
      </c>
      <c r="AF30" s="177">
        <v>91573.77</v>
      </c>
      <c r="AG30" s="177">
        <v>293867.49</v>
      </c>
      <c r="AH30" s="177">
        <v>1050289.2817800001</v>
      </c>
      <c r="AI30" s="177">
        <v>904318.26</v>
      </c>
      <c r="AJ30" s="177">
        <v>509893.11</v>
      </c>
      <c r="AK30" s="177">
        <v>5918620.9100000001</v>
      </c>
      <c r="AL30" s="177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3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7">
        <v>52621.98</v>
      </c>
      <c r="R31" s="177">
        <v>0</v>
      </c>
      <c r="S31" s="177">
        <v>0</v>
      </c>
      <c r="T31" s="177">
        <v>129741.69</v>
      </c>
      <c r="U31" s="177">
        <v>0</v>
      </c>
      <c r="V31" s="177">
        <v>0</v>
      </c>
      <c r="W31" s="177">
        <v>23271.84</v>
      </c>
      <c r="X31" s="177">
        <v>26845.09</v>
      </c>
      <c r="Y31" s="177">
        <v>0</v>
      </c>
      <c r="Z31" s="177">
        <v>164017.62</v>
      </c>
      <c r="AA31" s="177">
        <v>0</v>
      </c>
      <c r="AB31" s="177">
        <v>0</v>
      </c>
      <c r="AC31" s="177">
        <v>0</v>
      </c>
      <c r="AD31" s="177">
        <v>511463.88</v>
      </c>
      <c r="AE31" s="177">
        <v>0</v>
      </c>
      <c r="AF31" s="177">
        <v>0</v>
      </c>
      <c r="AG31" s="177">
        <v>83753.289999999994</v>
      </c>
      <c r="AH31" s="177">
        <v>42109.131150000001</v>
      </c>
      <c r="AI31" s="177">
        <v>0</v>
      </c>
      <c r="AJ31" s="177">
        <v>0</v>
      </c>
      <c r="AK31" s="177">
        <v>0</v>
      </c>
      <c r="AL31" s="177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3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7">
        <v>1362.5</v>
      </c>
      <c r="R32" s="177">
        <v>0</v>
      </c>
      <c r="S32" s="177">
        <v>0</v>
      </c>
      <c r="T32" s="177">
        <v>10168.469999999999</v>
      </c>
      <c r="U32" s="177">
        <v>256144.04</v>
      </c>
      <c r="V32" s="177">
        <v>0</v>
      </c>
      <c r="W32" s="177">
        <v>46510.84</v>
      </c>
      <c r="X32" s="177">
        <v>0</v>
      </c>
      <c r="Y32" s="177">
        <v>0</v>
      </c>
      <c r="Z32" s="177">
        <v>3589.55</v>
      </c>
      <c r="AA32" s="177">
        <v>8420.64</v>
      </c>
      <c r="AB32" s="177">
        <v>0</v>
      </c>
      <c r="AC32" s="177">
        <v>0</v>
      </c>
      <c r="AD32" s="177">
        <v>0</v>
      </c>
      <c r="AE32" s="177">
        <v>0</v>
      </c>
      <c r="AF32" s="177">
        <v>22883.599999999999</v>
      </c>
      <c r="AG32" s="177">
        <v>6489.51</v>
      </c>
      <c r="AH32" s="177">
        <v>0</v>
      </c>
      <c r="AI32" s="177">
        <v>8741.2999999999993</v>
      </c>
      <c r="AJ32" s="177">
        <v>64690.720000000001</v>
      </c>
      <c r="AK32" s="177">
        <v>23528.84</v>
      </c>
      <c r="AL32" s="177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3">
        <v>24</v>
      </c>
      <c r="E33" s="12" t="s">
        <v>32</v>
      </c>
      <c r="F33" s="104"/>
      <c r="G33" s="104">
        <f t="shared" si="0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17968.73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153603.14000000001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3">
        <v>25</v>
      </c>
      <c r="E34" s="12" t="s">
        <v>33</v>
      </c>
      <c r="F34" s="104"/>
      <c r="G34" s="104">
        <f t="shared" si="0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7">
        <v>24115.42</v>
      </c>
      <c r="R34" s="177">
        <v>9305.48</v>
      </c>
      <c r="S34" s="177">
        <v>63047.92</v>
      </c>
      <c r="T34" s="177">
        <v>2929.76</v>
      </c>
      <c r="U34" s="177">
        <v>16869.64</v>
      </c>
      <c r="V34" s="177">
        <v>165.37</v>
      </c>
      <c r="W34" s="177">
        <v>77657.649999999994</v>
      </c>
      <c r="X34" s="177">
        <v>5735.53</v>
      </c>
      <c r="Y34" s="177">
        <v>0</v>
      </c>
      <c r="Z34" s="177">
        <v>29841.02</v>
      </c>
      <c r="AA34" s="177">
        <v>6133.54</v>
      </c>
      <c r="AB34" s="177">
        <v>0</v>
      </c>
      <c r="AC34" s="177">
        <v>0</v>
      </c>
      <c r="AD34" s="177">
        <v>88990.3</v>
      </c>
      <c r="AE34" s="177">
        <v>320031.46000000002</v>
      </c>
      <c r="AF34" s="177">
        <v>10735.22</v>
      </c>
      <c r="AG34" s="177">
        <v>17755.95</v>
      </c>
      <c r="AH34" s="177">
        <v>0</v>
      </c>
      <c r="AI34" s="177">
        <v>702.86</v>
      </c>
      <c r="AJ34" s="177">
        <v>24152.43</v>
      </c>
      <c r="AK34" s="177">
        <v>118301.28</v>
      </c>
      <c r="AL34" s="177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3">
        <v>26</v>
      </c>
      <c r="E35" s="12" t="s">
        <v>34</v>
      </c>
      <c r="F35" s="104"/>
      <c r="G35" s="104">
        <f t="shared" si="0"/>
        <v>0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7">
        <v>150750.29</v>
      </c>
      <c r="R35" s="177">
        <v>0</v>
      </c>
      <c r="S35" s="177">
        <v>8752.08</v>
      </c>
      <c r="T35" s="177">
        <v>86687.03</v>
      </c>
      <c r="U35" s="177">
        <v>115354.73</v>
      </c>
      <c r="V35" s="177">
        <v>73355.44</v>
      </c>
      <c r="W35" s="177">
        <v>160800.48000000001</v>
      </c>
      <c r="X35" s="177">
        <v>26822.22</v>
      </c>
      <c r="Y35" s="177">
        <v>0</v>
      </c>
      <c r="Z35" s="177">
        <v>135211.12</v>
      </c>
      <c r="AA35" s="177">
        <v>6652.08</v>
      </c>
      <c r="AB35" s="177">
        <v>24259.599999999999</v>
      </c>
      <c r="AC35" s="177">
        <v>0</v>
      </c>
      <c r="AD35" s="177">
        <v>53518.34</v>
      </c>
      <c r="AE35" s="177">
        <v>0</v>
      </c>
      <c r="AF35" s="177">
        <v>16572.689999999999</v>
      </c>
      <c r="AG35" s="177">
        <v>10053.780000000001</v>
      </c>
      <c r="AH35" s="177">
        <v>141755.82620000001</v>
      </c>
      <c r="AI35" s="177">
        <v>11218.16</v>
      </c>
      <c r="AJ35" s="177">
        <v>75123.929999999993</v>
      </c>
      <c r="AK35" s="177">
        <v>322912.96999999997</v>
      </c>
      <c r="AL35" s="177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3">
        <v>27</v>
      </c>
      <c r="E36" s="12" t="s">
        <v>35</v>
      </c>
      <c r="F36" s="104"/>
      <c r="G36" s="104">
        <f t="shared" si="0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7">
        <v>803434.09</v>
      </c>
      <c r="R36" s="177">
        <v>375.24</v>
      </c>
      <c r="S36" s="177">
        <v>67852.63</v>
      </c>
      <c r="T36" s="177">
        <v>138574.99</v>
      </c>
      <c r="U36" s="177">
        <v>1424883.88</v>
      </c>
      <c r="V36" s="177">
        <v>801180.08</v>
      </c>
      <c r="W36" s="177">
        <v>305892.46999999997</v>
      </c>
      <c r="X36" s="177">
        <v>41708.68</v>
      </c>
      <c r="Y36" s="177">
        <v>0</v>
      </c>
      <c r="Z36" s="177">
        <v>425737.36</v>
      </c>
      <c r="AA36" s="177">
        <v>5419.25</v>
      </c>
      <c r="AB36" s="177">
        <v>153532.12</v>
      </c>
      <c r="AC36" s="177">
        <v>4182582.11</v>
      </c>
      <c r="AD36" s="177">
        <v>380869.88</v>
      </c>
      <c r="AE36" s="177">
        <v>0</v>
      </c>
      <c r="AF36" s="177">
        <v>0</v>
      </c>
      <c r="AG36" s="177">
        <v>91015.19</v>
      </c>
      <c r="AH36" s="177">
        <v>142107.09030000001</v>
      </c>
      <c r="AI36" s="177">
        <v>97042.29</v>
      </c>
      <c r="AJ36" s="177">
        <v>58120.58</v>
      </c>
      <c r="AK36" s="177">
        <v>338685.17</v>
      </c>
      <c r="AL36" s="177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3">
        <v>28</v>
      </c>
      <c r="E37" s="12" t="s">
        <v>36</v>
      </c>
      <c r="F37" s="104"/>
      <c r="G37" s="104">
        <f t="shared" si="0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7">
        <v>254819.96</v>
      </c>
      <c r="R37" s="177">
        <v>0</v>
      </c>
      <c r="S37" s="177">
        <v>0</v>
      </c>
      <c r="T37" s="177">
        <v>327923.11</v>
      </c>
      <c r="U37" s="177">
        <v>341707.17</v>
      </c>
      <c r="V37" s="177">
        <v>371102.38</v>
      </c>
      <c r="W37" s="177">
        <v>262509.95</v>
      </c>
      <c r="X37" s="177">
        <v>52958.98</v>
      </c>
      <c r="Y37" s="177">
        <v>0</v>
      </c>
      <c r="Z37" s="177">
        <v>155657.97</v>
      </c>
      <c r="AA37" s="177">
        <v>0</v>
      </c>
      <c r="AB37" s="177">
        <v>49444.77</v>
      </c>
      <c r="AC37" s="177">
        <v>0</v>
      </c>
      <c r="AD37" s="177">
        <v>195420.84</v>
      </c>
      <c r="AE37" s="177">
        <v>361665.78</v>
      </c>
      <c r="AF37" s="177">
        <v>33201.839999999997</v>
      </c>
      <c r="AG37" s="177">
        <v>42973.35</v>
      </c>
      <c r="AH37" s="177">
        <v>174752.13089999999</v>
      </c>
      <c r="AI37" s="177">
        <v>685194.61</v>
      </c>
      <c r="AJ37" s="177">
        <v>148.83000000000001</v>
      </c>
      <c r="AK37" s="177">
        <v>201097.86</v>
      </c>
      <c r="AL37" s="177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3">
        <v>29</v>
      </c>
      <c r="E38" s="12" t="s">
        <v>37</v>
      </c>
      <c r="F38" s="104"/>
      <c r="G38" s="104">
        <f t="shared" si="0"/>
        <v>0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7">
        <v>3346740.7</v>
      </c>
      <c r="R38" s="177">
        <v>50240</v>
      </c>
      <c r="S38" s="177">
        <v>0</v>
      </c>
      <c r="T38" s="177">
        <v>463192.49</v>
      </c>
      <c r="U38" s="177">
        <v>741468.39</v>
      </c>
      <c r="V38" s="177">
        <v>509893.59</v>
      </c>
      <c r="W38" s="177">
        <v>447394.32</v>
      </c>
      <c r="X38" s="177">
        <v>66114.570000000007</v>
      </c>
      <c r="Y38" s="177">
        <v>0</v>
      </c>
      <c r="Z38" s="177">
        <v>97947.69</v>
      </c>
      <c r="AA38" s="177">
        <v>7672.5</v>
      </c>
      <c r="AB38" s="177">
        <v>74828.460000000006</v>
      </c>
      <c r="AC38" s="177">
        <v>1006903.62</v>
      </c>
      <c r="AD38" s="177">
        <v>112288.05</v>
      </c>
      <c r="AE38" s="177">
        <v>889122.93</v>
      </c>
      <c r="AF38" s="177">
        <v>71793.78</v>
      </c>
      <c r="AG38" s="177">
        <v>76406.820000000007</v>
      </c>
      <c r="AH38" s="177">
        <v>593112.93909999996</v>
      </c>
      <c r="AI38" s="177">
        <v>146265.51</v>
      </c>
      <c r="AJ38" s="177">
        <v>30752.27</v>
      </c>
      <c r="AK38" s="177">
        <v>618115.72</v>
      </c>
      <c r="AL38" s="177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3">
        <v>30</v>
      </c>
      <c r="E39" s="12" t="s">
        <v>38</v>
      </c>
      <c r="F39" s="104"/>
      <c r="G39" s="104">
        <f t="shared" si="0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7">
        <v>0</v>
      </c>
      <c r="R39" s="177">
        <v>0</v>
      </c>
      <c r="S39" s="177">
        <v>491.64</v>
      </c>
      <c r="T39" s="177">
        <v>7366.86</v>
      </c>
      <c r="U39" s="177">
        <v>13348.05</v>
      </c>
      <c r="V39" s="177">
        <v>40997.800000000003</v>
      </c>
      <c r="W39" s="177">
        <v>7806.84</v>
      </c>
      <c r="X39" s="177">
        <v>3227.96</v>
      </c>
      <c r="Y39" s="177">
        <v>0</v>
      </c>
      <c r="Z39" s="177">
        <v>534.22</v>
      </c>
      <c r="AA39" s="177">
        <v>0</v>
      </c>
      <c r="AB39" s="177">
        <v>0</v>
      </c>
      <c r="AC39" s="177">
        <v>0</v>
      </c>
      <c r="AD39" s="177">
        <v>3444.53</v>
      </c>
      <c r="AE39" s="177">
        <v>0</v>
      </c>
      <c r="AF39" s="177">
        <v>0</v>
      </c>
      <c r="AG39" s="177">
        <v>172.67</v>
      </c>
      <c r="AH39" s="177">
        <v>0</v>
      </c>
      <c r="AI39" s="177">
        <v>11088.33</v>
      </c>
      <c r="AJ39" s="177">
        <v>0</v>
      </c>
      <c r="AK39" s="177">
        <v>109314.9</v>
      </c>
      <c r="AL39" s="177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3">
        <v>31</v>
      </c>
      <c r="E40" s="12" t="s">
        <v>39</v>
      </c>
      <c r="F40" s="104"/>
      <c r="G40" s="104">
        <f t="shared" si="0"/>
        <v>0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7">
        <v>0</v>
      </c>
      <c r="R40" s="177">
        <v>0</v>
      </c>
      <c r="S40" s="177">
        <v>12445.51</v>
      </c>
      <c r="T40" s="177">
        <v>352686.9</v>
      </c>
      <c r="U40" s="177">
        <v>609964.12</v>
      </c>
      <c r="V40" s="177">
        <v>560996.25</v>
      </c>
      <c r="W40" s="177">
        <v>37001.440000000002</v>
      </c>
      <c r="X40" s="177">
        <v>2503.14</v>
      </c>
      <c r="Y40" s="177">
        <v>0</v>
      </c>
      <c r="Z40" s="177">
        <v>83053.440000000002</v>
      </c>
      <c r="AA40" s="177">
        <v>9924.75</v>
      </c>
      <c r="AB40" s="177">
        <v>62020.67</v>
      </c>
      <c r="AC40" s="177">
        <v>5286652.2</v>
      </c>
      <c r="AD40" s="177">
        <v>13694.61</v>
      </c>
      <c r="AE40" s="177">
        <v>0</v>
      </c>
      <c r="AF40" s="177">
        <v>7066.34</v>
      </c>
      <c r="AG40" s="177">
        <v>15737.05</v>
      </c>
      <c r="AH40" s="177">
        <v>94057.298840000003</v>
      </c>
      <c r="AI40" s="177">
        <v>99791.8</v>
      </c>
      <c r="AJ40" s="177">
        <v>12601.6</v>
      </c>
      <c r="AK40" s="177">
        <v>102164.62</v>
      </c>
      <c r="AL40" s="177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3">
        <v>32</v>
      </c>
      <c r="E41" s="12" t="s">
        <v>40</v>
      </c>
      <c r="F41" s="104"/>
      <c r="G41" s="104">
        <f t="shared" si="0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7">
        <v>410.97</v>
      </c>
      <c r="R41" s="177">
        <v>0</v>
      </c>
      <c r="S41" s="177">
        <v>488</v>
      </c>
      <c r="T41" s="177">
        <v>246424.06</v>
      </c>
      <c r="U41" s="177">
        <v>496480.54</v>
      </c>
      <c r="V41" s="177">
        <v>109421.08</v>
      </c>
      <c r="W41" s="177">
        <v>72415.960000000006</v>
      </c>
      <c r="X41" s="177">
        <v>114268.19</v>
      </c>
      <c r="Y41" s="177">
        <v>0</v>
      </c>
      <c r="Z41" s="177">
        <v>279864.71999999997</v>
      </c>
      <c r="AA41" s="177">
        <v>2000</v>
      </c>
      <c r="AB41" s="177">
        <v>104205.75999999999</v>
      </c>
      <c r="AC41" s="177">
        <v>0</v>
      </c>
      <c r="AD41" s="177">
        <v>126550.18</v>
      </c>
      <c r="AE41" s="177">
        <v>272476.07</v>
      </c>
      <c r="AF41" s="177">
        <v>64649.08</v>
      </c>
      <c r="AG41" s="177">
        <v>0</v>
      </c>
      <c r="AH41" s="177">
        <v>187508.2133</v>
      </c>
      <c r="AI41" s="177">
        <v>54669.760000000002</v>
      </c>
      <c r="AJ41" s="177">
        <v>0</v>
      </c>
      <c r="AK41" s="177">
        <v>123355.45</v>
      </c>
      <c r="AL41" s="177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3">
        <v>33</v>
      </c>
      <c r="E42" s="12" t="s">
        <v>41</v>
      </c>
      <c r="F42" s="104"/>
      <c r="G42" s="104">
        <f t="shared" ref="G42:G73" si="1">HLOOKUP($E$3,$P$3:$CF$269,O42,TRUE)</f>
        <v>0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7">
        <v>7965.86</v>
      </c>
      <c r="R42" s="177">
        <v>3557.21</v>
      </c>
      <c r="S42" s="177">
        <v>2618.1999999999998</v>
      </c>
      <c r="T42" s="177">
        <v>41424.160000000003</v>
      </c>
      <c r="U42" s="177">
        <v>39759.199999999997</v>
      </c>
      <c r="V42" s="177">
        <v>186092.61</v>
      </c>
      <c r="W42" s="177">
        <v>46438.26</v>
      </c>
      <c r="X42" s="177">
        <v>14202.1</v>
      </c>
      <c r="Y42" s="177">
        <v>0</v>
      </c>
      <c r="Z42" s="177">
        <v>71049.36</v>
      </c>
      <c r="AA42" s="177">
        <v>0</v>
      </c>
      <c r="AB42" s="177">
        <v>13360.91</v>
      </c>
      <c r="AC42" s="177">
        <v>0</v>
      </c>
      <c r="AD42" s="177">
        <v>39703.35</v>
      </c>
      <c r="AE42" s="177">
        <v>32085.83</v>
      </c>
      <c r="AF42" s="177">
        <v>12367.97</v>
      </c>
      <c r="AG42" s="177">
        <v>5468.67</v>
      </c>
      <c r="AH42" s="177">
        <v>64304.138529999997</v>
      </c>
      <c r="AI42" s="177">
        <v>18146.55</v>
      </c>
      <c r="AJ42" s="177">
        <v>0</v>
      </c>
      <c r="AK42" s="177">
        <v>166675.35</v>
      </c>
      <c r="AL42" s="177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7">
        <v>422693.07</v>
      </c>
      <c r="R43" s="177">
        <v>29937.78</v>
      </c>
      <c r="S43" s="177">
        <v>7558.72</v>
      </c>
      <c r="T43" s="177">
        <v>0</v>
      </c>
      <c r="U43" s="177">
        <v>142667.75</v>
      </c>
      <c r="V43" s="177">
        <v>0</v>
      </c>
      <c r="W43" s="177">
        <v>415023.58</v>
      </c>
      <c r="X43" s="177">
        <v>0</v>
      </c>
      <c r="Y43" s="177">
        <v>0</v>
      </c>
      <c r="Z43" s="177">
        <v>281231.5</v>
      </c>
      <c r="AA43" s="177">
        <v>0</v>
      </c>
      <c r="AB43" s="177">
        <v>163335.1</v>
      </c>
      <c r="AC43" s="177">
        <v>1580972.98</v>
      </c>
      <c r="AD43" s="177">
        <v>221904.38</v>
      </c>
      <c r="AE43" s="177">
        <v>0</v>
      </c>
      <c r="AF43" s="177">
        <v>47531.29</v>
      </c>
      <c r="AG43" s="177">
        <v>3192.58</v>
      </c>
      <c r="AH43" s="177">
        <v>0</v>
      </c>
      <c r="AI43" s="177">
        <v>95891.04</v>
      </c>
      <c r="AJ43" s="177">
        <v>41600.620000000003</v>
      </c>
      <c r="AK43" s="177">
        <v>38010.800000000003</v>
      </c>
      <c r="AL43" s="177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3"/>
      <c r="E44" s="17" t="s">
        <v>43</v>
      </c>
      <c r="F44" s="105"/>
      <c r="G44" s="104">
        <f t="shared" si="1"/>
        <v>0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7">
        <v>5064914.8400000008</v>
      </c>
      <c r="R44" s="177">
        <v>93415.709999999992</v>
      </c>
      <c r="S44" s="177">
        <v>163254.70000000004</v>
      </c>
      <c r="T44" s="177">
        <v>1807119.5200000003</v>
      </c>
      <c r="U44" s="177">
        <v>4198647.51</v>
      </c>
      <c r="V44" s="177">
        <v>2671173.33</v>
      </c>
      <c r="W44" s="177">
        <v>1902723.6300000001</v>
      </c>
      <c r="X44" s="177">
        <v>354386.45999999996</v>
      </c>
      <c r="Y44" s="177">
        <v>0</v>
      </c>
      <c r="Z44" s="177">
        <v>1727735.5699999998</v>
      </c>
      <c r="AA44" s="177">
        <v>46222.76</v>
      </c>
      <c r="AB44" s="177">
        <v>644987.39</v>
      </c>
      <c r="AC44" s="177">
        <v>12057110.91</v>
      </c>
      <c r="AD44" s="177">
        <v>1747848.3400000003</v>
      </c>
      <c r="AE44" s="177">
        <v>2028985.2100000002</v>
      </c>
      <c r="AF44" s="177">
        <v>286801.81</v>
      </c>
      <c r="AG44" s="177">
        <v>353018.86</v>
      </c>
      <c r="AH44" s="177">
        <v>1439706.7683199998</v>
      </c>
      <c r="AI44" s="177">
        <v>1228752.21</v>
      </c>
      <c r="AJ44" s="177">
        <v>307190.97999999992</v>
      </c>
      <c r="AK44" s="177">
        <v>2162162.9599999995</v>
      </c>
      <c r="AL44" s="177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3">
        <v>35</v>
      </c>
      <c r="E45" s="12" t="s">
        <v>44</v>
      </c>
      <c r="F45" s="104"/>
      <c r="G45" s="104">
        <f t="shared" si="1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7">
        <v>85719</v>
      </c>
      <c r="R45" s="177">
        <v>3060.11</v>
      </c>
      <c r="S45" s="177">
        <v>145922.96</v>
      </c>
      <c r="T45" s="177">
        <v>168107.75</v>
      </c>
      <c r="U45" s="177">
        <v>0</v>
      </c>
      <c r="V45" s="177">
        <v>915849.25</v>
      </c>
      <c r="W45" s="177">
        <v>142188.94</v>
      </c>
      <c r="X45" s="177">
        <v>57885.78</v>
      </c>
      <c r="Y45" s="177">
        <v>0</v>
      </c>
      <c r="Z45" s="177">
        <v>92517.28</v>
      </c>
      <c r="AA45" s="177">
        <v>0</v>
      </c>
      <c r="AB45" s="177">
        <v>105532.27</v>
      </c>
      <c r="AC45" s="177">
        <v>3190114.12</v>
      </c>
      <c r="AD45" s="177">
        <v>487264.74</v>
      </c>
      <c r="AE45" s="177">
        <v>0</v>
      </c>
      <c r="AF45" s="177">
        <v>0</v>
      </c>
      <c r="AG45" s="177">
        <v>0</v>
      </c>
      <c r="AH45" s="177">
        <v>187518.75</v>
      </c>
      <c r="AI45" s="177">
        <v>27534.62</v>
      </c>
      <c r="AJ45" s="177">
        <v>0</v>
      </c>
      <c r="AK45" s="177">
        <v>0</v>
      </c>
      <c r="AL45" s="177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3">
        <v>36</v>
      </c>
      <c r="E46" s="12" t="s">
        <v>45</v>
      </c>
      <c r="F46" s="104"/>
      <c r="G46" s="104">
        <f t="shared" si="1"/>
        <v>35466.49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7">
        <v>117110.78</v>
      </c>
      <c r="R46" s="177">
        <v>29682.95</v>
      </c>
      <c r="S46" s="177">
        <v>284123.19</v>
      </c>
      <c r="T46" s="177">
        <v>580983.80000000005</v>
      </c>
      <c r="U46" s="177">
        <v>322243.59999999998</v>
      </c>
      <c r="V46" s="177">
        <v>374157.31</v>
      </c>
      <c r="W46" s="177">
        <v>79325.91</v>
      </c>
      <c r="X46" s="177">
        <v>106918.86</v>
      </c>
      <c r="Y46" s="177">
        <v>35466.49</v>
      </c>
      <c r="Z46" s="177">
        <v>201708.19</v>
      </c>
      <c r="AA46" s="177">
        <v>168889.18</v>
      </c>
      <c r="AB46" s="177">
        <v>59514.6</v>
      </c>
      <c r="AC46" s="177">
        <v>2194533.88</v>
      </c>
      <c r="AD46" s="177">
        <v>254379.51</v>
      </c>
      <c r="AE46" s="177">
        <v>330298.03999999998</v>
      </c>
      <c r="AF46" s="177">
        <v>0</v>
      </c>
      <c r="AG46" s="177">
        <v>64727</v>
      </c>
      <c r="AH46" s="177">
        <v>234570.62</v>
      </c>
      <c r="AI46" s="177">
        <v>234863.39</v>
      </c>
      <c r="AJ46" s="177">
        <v>8176.76</v>
      </c>
      <c r="AK46" s="177">
        <v>19419.900000000001</v>
      </c>
      <c r="AL46" s="177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3">
        <v>37</v>
      </c>
      <c r="E47" s="12" t="s">
        <v>46</v>
      </c>
      <c r="F47" s="104"/>
      <c r="G47" s="104">
        <f t="shared" si="1"/>
        <v>78927.149999999994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7">
        <v>145876.24</v>
      </c>
      <c r="R47" s="177">
        <v>124760.03</v>
      </c>
      <c r="S47" s="177">
        <v>950207.09</v>
      </c>
      <c r="T47" s="177">
        <v>949917.38</v>
      </c>
      <c r="U47" s="177">
        <v>814420.05</v>
      </c>
      <c r="V47" s="177">
        <v>1401714.96</v>
      </c>
      <c r="W47" s="177">
        <v>451200.76</v>
      </c>
      <c r="X47" s="177">
        <v>210220.11</v>
      </c>
      <c r="Y47" s="177">
        <v>78927.149999999994</v>
      </c>
      <c r="Z47" s="177">
        <v>425281.14</v>
      </c>
      <c r="AA47" s="177">
        <v>0</v>
      </c>
      <c r="AB47" s="177">
        <v>270365.13</v>
      </c>
      <c r="AC47" s="177">
        <v>763936.69</v>
      </c>
      <c r="AD47" s="177">
        <v>2615870.86</v>
      </c>
      <c r="AE47" s="177">
        <v>378243.28</v>
      </c>
      <c r="AF47" s="177">
        <v>799615.21</v>
      </c>
      <c r="AG47" s="177">
        <v>170325.42</v>
      </c>
      <c r="AH47" s="177">
        <v>623072.77</v>
      </c>
      <c r="AI47" s="177">
        <v>623205.30000000005</v>
      </c>
      <c r="AJ47" s="177">
        <v>159312.92000000001</v>
      </c>
      <c r="AK47" s="177">
        <v>1637728.85</v>
      </c>
      <c r="AL47" s="177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3">
        <v>38</v>
      </c>
      <c r="E48" s="12" t="s">
        <v>47</v>
      </c>
      <c r="F48" s="104"/>
      <c r="G48" s="104">
        <f t="shared" si="1"/>
        <v>0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7">
        <v>233095.83</v>
      </c>
      <c r="R48" s="177">
        <v>151.22999999999999</v>
      </c>
      <c r="S48" s="177">
        <v>276939.96999999997</v>
      </c>
      <c r="T48" s="177">
        <v>423132</v>
      </c>
      <c r="U48" s="177">
        <v>185436.07</v>
      </c>
      <c r="V48" s="177">
        <v>305336.12</v>
      </c>
      <c r="W48" s="177">
        <v>363495.73</v>
      </c>
      <c r="X48" s="177">
        <v>84530.3</v>
      </c>
      <c r="Y48" s="177">
        <v>0</v>
      </c>
      <c r="Z48" s="177">
        <v>114295.91</v>
      </c>
      <c r="AA48" s="177">
        <v>0</v>
      </c>
      <c r="AB48" s="177">
        <v>98126.59</v>
      </c>
      <c r="AC48" s="177">
        <v>991800.91</v>
      </c>
      <c r="AD48" s="177">
        <v>-1128087.71</v>
      </c>
      <c r="AE48" s="177">
        <v>49166.51</v>
      </c>
      <c r="AF48" s="177">
        <v>155827.64000000001</v>
      </c>
      <c r="AG48" s="177">
        <v>112099.9</v>
      </c>
      <c r="AH48" s="177">
        <v>122141.97</v>
      </c>
      <c r="AI48" s="177">
        <v>182156.22</v>
      </c>
      <c r="AJ48" s="177">
        <v>102510.12</v>
      </c>
      <c r="AK48" s="177">
        <v>199013.83</v>
      </c>
      <c r="AL48" s="177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3">
        <v>39</v>
      </c>
      <c r="E49" s="12" t="s">
        <v>48</v>
      </c>
      <c r="F49" s="104"/>
      <c r="G49" s="104">
        <f t="shared" si="1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7">
        <v>0</v>
      </c>
      <c r="R49" s="177">
        <v>0</v>
      </c>
      <c r="S49" s="177">
        <v>0.02</v>
      </c>
      <c r="T49" s="177">
        <v>-9902.64</v>
      </c>
      <c r="U49" s="177">
        <v>0</v>
      </c>
      <c r="V49" s="177">
        <v>112.92</v>
      </c>
      <c r="W49" s="177">
        <v>0</v>
      </c>
      <c r="X49" s="177">
        <v>0.55000000000000004</v>
      </c>
      <c r="Y49" s="177">
        <v>0</v>
      </c>
      <c r="Z49" s="177">
        <v>-11.71</v>
      </c>
      <c r="AA49" s="177">
        <v>0</v>
      </c>
      <c r="AB49" s="177">
        <v>701.22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3">
        <v>40</v>
      </c>
      <c r="E50" s="12" t="s">
        <v>49</v>
      </c>
      <c r="F50" s="104"/>
      <c r="G50" s="104">
        <f t="shared" si="1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7">
        <v>0</v>
      </c>
      <c r="R50" s="177">
        <v>0</v>
      </c>
      <c r="S50" s="177">
        <v>0</v>
      </c>
      <c r="T50" s="177">
        <v>493.13</v>
      </c>
      <c r="U50" s="177">
        <v>100296.56</v>
      </c>
      <c r="V50" s="177">
        <v>23538.46</v>
      </c>
      <c r="W50" s="177">
        <v>0</v>
      </c>
      <c r="X50" s="177">
        <v>0</v>
      </c>
      <c r="Y50" s="177">
        <v>0</v>
      </c>
      <c r="Z50" s="177">
        <v>0</v>
      </c>
      <c r="AA50" s="177">
        <v>3930</v>
      </c>
      <c r="AB50" s="177">
        <v>20553.89</v>
      </c>
      <c r="AC50" s="177">
        <v>-365479.25</v>
      </c>
      <c r="AD50" s="177">
        <v>0</v>
      </c>
      <c r="AE50" s="177">
        <v>0</v>
      </c>
      <c r="AF50" s="177">
        <v>0</v>
      </c>
      <c r="AG50" s="177">
        <v>0</v>
      </c>
      <c r="AH50" s="177">
        <v>63.9</v>
      </c>
      <c r="AI50" s="177">
        <v>0</v>
      </c>
      <c r="AJ50" s="177">
        <v>0</v>
      </c>
      <c r="AK50" s="177">
        <v>0</v>
      </c>
      <c r="AL50" s="177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3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7">
        <v>231796.27</v>
      </c>
      <c r="R51" s="177">
        <v>4242.62</v>
      </c>
      <c r="S51" s="177">
        <v>0</v>
      </c>
      <c r="T51" s="177">
        <v>519668.26</v>
      </c>
      <c r="U51" s="177">
        <v>670929.36</v>
      </c>
      <c r="V51" s="177">
        <v>0</v>
      </c>
      <c r="W51" s="177">
        <v>570432.31999999995</v>
      </c>
      <c r="X51" s="177">
        <v>0</v>
      </c>
      <c r="Y51" s="177">
        <v>0</v>
      </c>
      <c r="Z51" s="177">
        <v>0</v>
      </c>
      <c r="AA51" s="177">
        <v>0</v>
      </c>
      <c r="AB51" s="177">
        <v>48.32</v>
      </c>
      <c r="AC51" s="177">
        <v>237537.23</v>
      </c>
      <c r="AD51" s="177">
        <v>0</v>
      </c>
      <c r="AE51" s="177">
        <v>0</v>
      </c>
      <c r="AF51" s="177">
        <v>0</v>
      </c>
      <c r="AG51" s="177">
        <v>0</v>
      </c>
      <c r="AH51" s="177">
        <v>30402.9</v>
      </c>
      <c r="AI51" s="177">
        <v>154477.18</v>
      </c>
      <c r="AJ51" s="177">
        <v>0</v>
      </c>
      <c r="AK51" s="177">
        <v>67722.92</v>
      </c>
      <c r="AL51" s="177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3"/>
      <c r="E52" s="17" t="s">
        <v>51</v>
      </c>
      <c r="F52" s="105"/>
      <c r="G52" s="104">
        <f t="shared" si="1"/>
        <v>114393.63999999998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7">
        <v>813598.12</v>
      </c>
      <c r="R52" s="177">
        <v>161896.94</v>
      </c>
      <c r="S52" s="177">
        <v>1657193.23</v>
      </c>
      <c r="T52" s="177">
        <v>2632399.6799999997</v>
      </c>
      <c r="U52" s="177">
        <v>2093325.6400000001</v>
      </c>
      <c r="V52" s="177">
        <v>3020709.02</v>
      </c>
      <c r="W52" s="177">
        <v>1606643.66</v>
      </c>
      <c r="X52" s="177">
        <v>459555.6</v>
      </c>
      <c r="Y52" s="177">
        <v>114393.63999999998</v>
      </c>
      <c r="Z52" s="177">
        <v>833790.81</v>
      </c>
      <c r="AA52" s="177">
        <v>172819.18</v>
      </c>
      <c r="AB52" s="177">
        <v>554842.0199999999</v>
      </c>
      <c r="AC52" s="177">
        <v>7012443.5800000001</v>
      </c>
      <c r="AD52" s="177">
        <v>2229427.4</v>
      </c>
      <c r="AE52" s="177">
        <v>757707.83000000007</v>
      </c>
      <c r="AF52" s="177">
        <v>955442.85</v>
      </c>
      <c r="AG52" s="177">
        <v>347152.32</v>
      </c>
      <c r="AH52" s="177">
        <v>1197770.9099999999</v>
      </c>
      <c r="AI52" s="177">
        <v>1222236.71</v>
      </c>
      <c r="AJ52" s="177">
        <v>269999.80000000005</v>
      </c>
      <c r="AK52" s="177">
        <v>1923885.5</v>
      </c>
      <c r="AL52" s="177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3">
        <v>42</v>
      </c>
      <c r="E53" s="12" t="s">
        <v>52</v>
      </c>
      <c r="F53" s="104"/>
      <c r="G53" s="104">
        <f t="shared" si="1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7">
        <v>1225.56</v>
      </c>
      <c r="R53" s="177">
        <v>0</v>
      </c>
      <c r="S53" s="177">
        <v>0</v>
      </c>
      <c r="T53" s="177">
        <v>0</v>
      </c>
      <c r="U53" s="177">
        <v>0</v>
      </c>
      <c r="V53" s="177">
        <v>1597.28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1431.67</v>
      </c>
      <c r="AJ53" s="177">
        <v>30894.52</v>
      </c>
      <c r="AK53" s="177">
        <v>0</v>
      </c>
      <c r="AL53" s="177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3">
        <v>43</v>
      </c>
      <c r="E54" s="12" t="s">
        <v>53</v>
      </c>
      <c r="F54" s="104"/>
      <c r="G54" s="104">
        <f t="shared" si="1"/>
        <v>415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7">
        <v>19685.46</v>
      </c>
      <c r="R54" s="177">
        <v>0</v>
      </c>
      <c r="S54" s="177">
        <v>135356.62</v>
      </c>
      <c r="T54" s="177">
        <v>7176.99</v>
      </c>
      <c r="U54" s="177">
        <v>0</v>
      </c>
      <c r="V54" s="177">
        <v>17823.29</v>
      </c>
      <c r="W54" s="177">
        <v>346.67</v>
      </c>
      <c r="X54" s="177">
        <v>31323.69</v>
      </c>
      <c r="Y54" s="177">
        <v>415</v>
      </c>
      <c r="Z54" s="177">
        <v>0</v>
      </c>
      <c r="AA54" s="177">
        <v>7862.84</v>
      </c>
      <c r="AB54" s="177">
        <v>4839.8599999999997</v>
      </c>
      <c r="AC54" s="177">
        <v>0</v>
      </c>
      <c r="AD54" s="177">
        <v>30398.43</v>
      </c>
      <c r="AE54" s="177">
        <v>55286.49</v>
      </c>
      <c r="AF54" s="177">
        <v>24584.33</v>
      </c>
      <c r="AG54" s="177">
        <v>0</v>
      </c>
      <c r="AH54" s="177">
        <v>6482.32</v>
      </c>
      <c r="AI54" s="177">
        <v>0</v>
      </c>
      <c r="AJ54" s="177">
        <v>30508.41</v>
      </c>
      <c r="AK54" s="177">
        <v>0</v>
      </c>
      <c r="AL54" s="177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3">
        <v>44</v>
      </c>
      <c r="E55" s="12" t="s">
        <v>54</v>
      </c>
      <c r="F55" s="104"/>
      <c r="G55" s="104">
        <f t="shared" si="1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7">
        <v>0</v>
      </c>
      <c r="R55" s="177">
        <v>0</v>
      </c>
      <c r="S55" s="177">
        <v>122166.56</v>
      </c>
      <c r="T55" s="177">
        <v>0</v>
      </c>
      <c r="U55" s="177">
        <v>54320.31</v>
      </c>
      <c r="V55" s="177">
        <v>78417.97</v>
      </c>
      <c r="W55" s="177">
        <v>45.71</v>
      </c>
      <c r="X55" s="177">
        <v>0</v>
      </c>
      <c r="Y55" s="177">
        <v>0</v>
      </c>
      <c r="Z55" s="177">
        <v>9700</v>
      </c>
      <c r="AA55" s="177">
        <v>0</v>
      </c>
      <c r="AB55" s="177">
        <v>2745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8468.36</v>
      </c>
      <c r="AJ55" s="177">
        <v>1944.8</v>
      </c>
      <c r="AK55" s="177">
        <v>0</v>
      </c>
      <c r="AL55" s="177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3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7">
        <v>11397.37</v>
      </c>
      <c r="R56" s="177">
        <v>0</v>
      </c>
      <c r="S56" s="177">
        <v>2789.14</v>
      </c>
      <c r="T56" s="177">
        <v>0</v>
      </c>
      <c r="U56" s="177">
        <v>0</v>
      </c>
      <c r="V56" s="177">
        <v>0</v>
      </c>
      <c r="W56" s="177">
        <v>19350</v>
      </c>
      <c r="X56" s="177">
        <v>13519.8</v>
      </c>
      <c r="Y56" s="177">
        <v>0</v>
      </c>
      <c r="Z56" s="177">
        <v>149239.29999999999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14840.32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3"/>
      <c r="E57" s="17" t="s">
        <v>56</v>
      </c>
      <c r="F57" s="105"/>
      <c r="G57" s="104">
        <f t="shared" si="1"/>
        <v>415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7">
        <v>32308.39</v>
      </c>
      <c r="R57" s="177">
        <v>0</v>
      </c>
      <c r="S57" s="177">
        <v>260312.32000000001</v>
      </c>
      <c r="T57" s="177">
        <v>7176.99</v>
      </c>
      <c r="U57" s="177">
        <v>54320.31</v>
      </c>
      <c r="V57" s="177">
        <v>97838.540000000008</v>
      </c>
      <c r="W57" s="177">
        <v>19742.38</v>
      </c>
      <c r="X57" s="177">
        <v>44843.49</v>
      </c>
      <c r="Y57" s="177">
        <v>415</v>
      </c>
      <c r="Z57" s="177">
        <v>158939.29999999999</v>
      </c>
      <c r="AA57" s="177">
        <v>7862.84</v>
      </c>
      <c r="AB57" s="177">
        <v>7584.86</v>
      </c>
      <c r="AC57" s="177">
        <v>0</v>
      </c>
      <c r="AD57" s="177">
        <v>30398.43</v>
      </c>
      <c r="AE57" s="177">
        <v>55286.49</v>
      </c>
      <c r="AF57" s="177">
        <v>39424.65</v>
      </c>
      <c r="AG57" s="177">
        <v>0</v>
      </c>
      <c r="AH57" s="177">
        <v>6482.32</v>
      </c>
      <c r="AI57" s="177">
        <v>9900.0300000000007</v>
      </c>
      <c r="AJ57" s="177">
        <v>63347.73</v>
      </c>
      <c r="AK57" s="177">
        <v>0</v>
      </c>
      <c r="AL57" s="177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3">
        <v>47</v>
      </c>
      <c r="E58" s="12" t="s">
        <v>57</v>
      </c>
      <c r="F58" s="104"/>
      <c r="G58" s="104">
        <f t="shared" si="1"/>
        <v>13200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7">
        <v>475379.64</v>
      </c>
      <c r="R58" s="177">
        <v>8360.36</v>
      </c>
      <c r="S58" s="177">
        <v>1599396.28</v>
      </c>
      <c r="T58" s="177">
        <v>1247156.29</v>
      </c>
      <c r="U58" s="177">
        <v>1520360.81</v>
      </c>
      <c r="V58" s="177">
        <v>1794287.99</v>
      </c>
      <c r="W58" s="177">
        <v>530707.56000000006</v>
      </c>
      <c r="X58" s="177">
        <v>0</v>
      </c>
      <c r="Y58" s="177">
        <v>13200</v>
      </c>
      <c r="Z58" s="177">
        <v>307948.99</v>
      </c>
      <c r="AA58" s="177">
        <v>29694</v>
      </c>
      <c r="AB58" s="177">
        <v>21158.09</v>
      </c>
      <c r="AC58" s="177">
        <v>0</v>
      </c>
      <c r="AD58" s="177">
        <v>0</v>
      </c>
      <c r="AE58" s="177">
        <v>0</v>
      </c>
      <c r="AF58" s="177">
        <v>322273.8</v>
      </c>
      <c r="AG58" s="177">
        <v>18540</v>
      </c>
      <c r="AH58" s="177">
        <v>0</v>
      </c>
      <c r="AI58" s="177">
        <v>686040.34</v>
      </c>
      <c r="AJ58" s="177">
        <v>179509.03</v>
      </c>
      <c r="AK58" s="177">
        <v>818992.19</v>
      </c>
      <c r="AL58" s="177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3">
        <v>48</v>
      </c>
      <c r="E59" s="12" t="s">
        <v>58</v>
      </c>
      <c r="F59" s="104"/>
      <c r="G59" s="104">
        <f t="shared" si="1"/>
        <v>87775.03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7">
        <v>612058.82999999996</v>
      </c>
      <c r="R59" s="177">
        <v>110571.81</v>
      </c>
      <c r="S59" s="177">
        <v>90737.02</v>
      </c>
      <c r="T59" s="177">
        <v>611878.24</v>
      </c>
      <c r="U59" s="177">
        <v>103980.9</v>
      </c>
      <c r="V59" s="177">
        <v>2463134.73</v>
      </c>
      <c r="W59" s="177">
        <v>468924.64</v>
      </c>
      <c r="X59" s="177">
        <v>360770.12</v>
      </c>
      <c r="Y59" s="177">
        <v>87775.03</v>
      </c>
      <c r="Z59" s="177">
        <v>176362.68</v>
      </c>
      <c r="AA59" s="177">
        <v>93979.87</v>
      </c>
      <c r="AB59" s="177">
        <v>349192.03</v>
      </c>
      <c r="AC59" s="177">
        <v>3064485.31</v>
      </c>
      <c r="AD59" s="177">
        <v>1761711.36</v>
      </c>
      <c r="AE59" s="177">
        <v>6708357.8600000003</v>
      </c>
      <c r="AF59" s="177">
        <v>1265951.1299999999</v>
      </c>
      <c r="AG59" s="177">
        <v>71198.600000000006</v>
      </c>
      <c r="AH59" s="177">
        <v>1715452.14</v>
      </c>
      <c r="AI59" s="177">
        <v>0</v>
      </c>
      <c r="AJ59" s="177">
        <v>0</v>
      </c>
      <c r="AK59" s="177">
        <v>477575.6</v>
      </c>
      <c r="AL59" s="177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3">
        <v>49</v>
      </c>
      <c r="E60" s="12" t="s">
        <v>59</v>
      </c>
      <c r="F60" s="104"/>
      <c r="G60" s="104">
        <f t="shared" si="1"/>
        <v>17664.240000000002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7">
        <v>1791771.82</v>
      </c>
      <c r="R60" s="177">
        <v>92720.68</v>
      </c>
      <c r="S60" s="177">
        <v>1612790.22</v>
      </c>
      <c r="T60" s="177">
        <v>1073212.25</v>
      </c>
      <c r="U60" s="177">
        <v>1916794.97</v>
      </c>
      <c r="V60" s="177">
        <v>1336153.6100000001</v>
      </c>
      <c r="W60" s="177">
        <v>3293813.07</v>
      </c>
      <c r="X60" s="177">
        <v>208942.81</v>
      </c>
      <c r="Y60" s="177">
        <v>17664.240000000002</v>
      </c>
      <c r="Z60" s="177">
        <v>392529.22</v>
      </c>
      <c r="AA60" s="177">
        <v>65744.33</v>
      </c>
      <c r="AB60" s="177">
        <v>76792.570000000007</v>
      </c>
      <c r="AC60" s="177">
        <v>2156006.04</v>
      </c>
      <c r="AD60" s="177">
        <v>133271.93</v>
      </c>
      <c r="AE60" s="177">
        <v>1997045.25</v>
      </c>
      <c r="AF60" s="177">
        <v>141562.65</v>
      </c>
      <c r="AG60" s="177">
        <v>32625.43</v>
      </c>
      <c r="AH60" s="177">
        <v>234839.49</v>
      </c>
      <c r="AI60" s="177">
        <v>445575.11</v>
      </c>
      <c r="AJ60" s="177">
        <v>158489.64000000001</v>
      </c>
      <c r="AK60" s="177">
        <v>814680.32</v>
      </c>
      <c r="AL60" s="177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3">
        <v>50</v>
      </c>
      <c r="E61" s="12" t="s">
        <v>60</v>
      </c>
      <c r="F61" s="104"/>
      <c r="G61" s="104">
        <f t="shared" si="1"/>
        <v>26671.68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7">
        <v>176493.9</v>
      </c>
      <c r="R61" s="177">
        <v>3945.45</v>
      </c>
      <c r="S61" s="177">
        <v>3048.89</v>
      </c>
      <c r="T61" s="177">
        <v>68040.42</v>
      </c>
      <c r="U61" s="177">
        <v>440393.55</v>
      </c>
      <c r="V61" s="177">
        <v>512121.13</v>
      </c>
      <c r="W61" s="177">
        <v>514222.86</v>
      </c>
      <c r="X61" s="177">
        <v>67518.28</v>
      </c>
      <c r="Y61" s="177">
        <v>26671.68</v>
      </c>
      <c r="Z61" s="177">
        <v>0</v>
      </c>
      <c r="AA61" s="177">
        <v>37793.61</v>
      </c>
      <c r="AB61" s="177">
        <v>78465.460000000006</v>
      </c>
      <c r="AC61" s="177">
        <v>285200.7</v>
      </c>
      <c r="AD61" s="177">
        <v>245804.45</v>
      </c>
      <c r="AE61" s="177">
        <v>125814.37</v>
      </c>
      <c r="AF61" s="177">
        <v>139937.45000000001</v>
      </c>
      <c r="AG61" s="177">
        <v>77183.41</v>
      </c>
      <c r="AH61" s="177">
        <v>402557.75</v>
      </c>
      <c r="AI61" s="177">
        <v>197716.79</v>
      </c>
      <c r="AJ61" s="177">
        <v>13126.44</v>
      </c>
      <c r="AK61" s="177">
        <v>214321.43</v>
      </c>
      <c r="AL61" s="177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3">
        <v>51</v>
      </c>
      <c r="E62" s="12" t="s">
        <v>61</v>
      </c>
      <c r="F62" s="104"/>
      <c r="G62" s="104">
        <f t="shared" si="1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7">
        <v>-549618.75</v>
      </c>
      <c r="R62" s="177">
        <v>0</v>
      </c>
      <c r="S62" s="177">
        <v>0</v>
      </c>
      <c r="T62" s="177">
        <v>-93379.88</v>
      </c>
      <c r="U62" s="177">
        <v>-308436.93</v>
      </c>
      <c r="V62" s="177">
        <v>-248988.9</v>
      </c>
      <c r="W62" s="177">
        <v>-3834162.78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-7201742.5999999996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-4310.88</v>
      </c>
      <c r="AK62" s="177">
        <v>0</v>
      </c>
      <c r="AL62" s="177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3">
        <v>52</v>
      </c>
      <c r="E63" s="12" t="s">
        <v>62</v>
      </c>
      <c r="F63" s="104"/>
      <c r="G63" s="104">
        <f t="shared" si="1"/>
        <v>76785.06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7">
        <v>629515.54</v>
      </c>
      <c r="R63" s="177">
        <v>62105.48</v>
      </c>
      <c r="S63" s="177">
        <v>2722.37</v>
      </c>
      <c r="T63" s="177">
        <v>159514.6</v>
      </c>
      <c r="U63" s="177">
        <v>529874.28</v>
      </c>
      <c r="V63" s="177">
        <v>498970.94</v>
      </c>
      <c r="W63" s="177">
        <v>539445.72</v>
      </c>
      <c r="X63" s="177">
        <v>53214.51</v>
      </c>
      <c r="Y63" s="177">
        <v>76785.06</v>
      </c>
      <c r="Z63" s="177">
        <v>122247.73</v>
      </c>
      <c r="AA63" s="177">
        <v>45071.360000000001</v>
      </c>
      <c r="AB63" s="177">
        <v>125353.78</v>
      </c>
      <c r="AC63" s="177">
        <v>0</v>
      </c>
      <c r="AD63" s="177">
        <v>292858.96000000002</v>
      </c>
      <c r="AE63" s="177">
        <v>818672.46</v>
      </c>
      <c r="AF63" s="177">
        <v>315346.3</v>
      </c>
      <c r="AG63" s="177">
        <v>69985.600000000006</v>
      </c>
      <c r="AH63" s="177">
        <v>64134.5</v>
      </c>
      <c r="AI63" s="177">
        <v>371172.1</v>
      </c>
      <c r="AJ63" s="177">
        <v>92600.71</v>
      </c>
      <c r="AK63" s="177">
        <v>34332.480000000003</v>
      </c>
      <c r="AL63" s="177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3">
        <v>53</v>
      </c>
      <c r="E64" s="12" t="s">
        <v>63</v>
      </c>
      <c r="F64" s="104"/>
      <c r="G64" s="104">
        <f t="shared" si="1"/>
        <v>7533.53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155309.65</v>
      </c>
      <c r="V64" s="177">
        <v>148566.64000000001</v>
      </c>
      <c r="W64" s="177">
        <v>436</v>
      </c>
      <c r="X64" s="177">
        <v>42093.93</v>
      </c>
      <c r="Y64" s="177">
        <v>7533.53</v>
      </c>
      <c r="Z64" s="177">
        <v>55422.52</v>
      </c>
      <c r="AA64" s="177">
        <v>2772.15</v>
      </c>
      <c r="AB64" s="177">
        <v>62193.48</v>
      </c>
      <c r="AC64" s="177">
        <v>0</v>
      </c>
      <c r="AD64" s="177">
        <v>0</v>
      </c>
      <c r="AE64" s="177">
        <v>391133.86</v>
      </c>
      <c r="AF64" s="177">
        <v>0</v>
      </c>
      <c r="AG64" s="177">
        <v>9535.2000000000007</v>
      </c>
      <c r="AH64" s="177">
        <v>42396.17</v>
      </c>
      <c r="AI64" s="177">
        <v>47179.71</v>
      </c>
      <c r="AJ64" s="177">
        <v>0</v>
      </c>
      <c r="AK64" s="177">
        <v>0</v>
      </c>
      <c r="AL64" s="177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3">
        <v>54</v>
      </c>
      <c r="E65" s="12" t="s">
        <v>64</v>
      </c>
      <c r="F65" s="104"/>
      <c r="G65" s="104">
        <f t="shared" si="1"/>
        <v>73205.460000000006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7">
        <v>191583.02</v>
      </c>
      <c r="R65" s="177">
        <v>58222.15</v>
      </c>
      <c r="S65" s="177">
        <v>1590933.37</v>
      </c>
      <c r="T65" s="177">
        <v>77146.320000000007</v>
      </c>
      <c r="U65" s="177">
        <v>346855.74</v>
      </c>
      <c r="V65" s="177">
        <v>288928.36</v>
      </c>
      <c r="W65" s="177">
        <v>865101.55</v>
      </c>
      <c r="X65" s="177">
        <v>0</v>
      </c>
      <c r="Y65" s="177">
        <v>73205.460000000006</v>
      </c>
      <c r="Z65" s="177">
        <v>0</v>
      </c>
      <c r="AA65" s="177">
        <v>0</v>
      </c>
      <c r="AB65" s="177">
        <v>0</v>
      </c>
      <c r="AC65" s="177">
        <v>62510.19</v>
      </c>
      <c r="AD65" s="177">
        <v>88692.49</v>
      </c>
      <c r="AE65" s="177">
        <v>3875733.47</v>
      </c>
      <c r="AF65" s="177">
        <v>1128552.48</v>
      </c>
      <c r="AG65" s="177">
        <v>3073.53</v>
      </c>
      <c r="AH65" s="177">
        <v>203371</v>
      </c>
      <c r="AI65" s="177">
        <v>84099.75</v>
      </c>
      <c r="AJ65" s="177">
        <v>0</v>
      </c>
      <c r="AK65" s="177">
        <v>0</v>
      </c>
      <c r="AL65" s="177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3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16744.34</v>
      </c>
      <c r="Y66" s="177">
        <v>0</v>
      </c>
      <c r="Z66" s="177">
        <v>2961</v>
      </c>
      <c r="AA66" s="177">
        <v>0</v>
      </c>
      <c r="AB66" s="177">
        <v>0</v>
      </c>
      <c r="AC66" s="177">
        <v>0</v>
      </c>
      <c r="AD66" s="177">
        <v>134316.89000000001</v>
      </c>
      <c r="AE66" s="177">
        <v>2706411.59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3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3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7">
        <v>0</v>
      </c>
      <c r="R68" s="177">
        <v>0</v>
      </c>
      <c r="S68" s="177">
        <v>0</v>
      </c>
      <c r="T68" s="177">
        <v>62800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3">
        <v>58</v>
      </c>
      <c r="E69" s="12" t="s">
        <v>68</v>
      </c>
      <c r="F69" s="104"/>
      <c r="G69" s="104">
        <f t="shared" si="1"/>
        <v>8933.7900000000009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7">
        <v>198062.24</v>
      </c>
      <c r="R69" s="177">
        <v>23751.57</v>
      </c>
      <c r="S69" s="177">
        <v>374508.49</v>
      </c>
      <c r="T69" s="177">
        <v>314076.11</v>
      </c>
      <c r="U69" s="177">
        <v>184982.07</v>
      </c>
      <c r="V69" s="177">
        <v>242454.12</v>
      </c>
      <c r="W69" s="177">
        <v>251574.01</v>
      </c>
      <c r="X69" s="177">
        <v>77609.94</v>
      </c>
      <c r="Y69" s="177">
        <v>8933.7900000000009</v>
      </c>
      <c r="Z69" s="177">
        <v>125797.48</v>
      </c>
      <c r="AA69" s="177">
        <v>39811.699999999997</v>
      </c>
      <c r="AB69" s="177">
        <v>170076.15</v>
      </c>
      <c r="AC69" s="177">
        <v>943296.71</v>
      </c>
      <c r="AD69" s="177">
        <v>601683.35</v>
      </c>
      <c r="AE69" s="177">
        <v>412951.97</v>
      </c>
      <c r="AF69" s="177">
        <v>71081.259999999995</v>
      </c>
      <c r="AG69" s="177">
        <v>55465.9</v>
      </c>
      <c r="AH69" s="177">
        <v>124953.32</v>
      </c>
      <c r="AI69" s="177">
        <v>165982.26999999999</v>
      </c>
      <c r="AJ69" s="177">
        <v>17371.87</v>
      </c>
      <c r="AK69" s="177">
        <v>444376.89</v>
      </c>
      <c r="AL69" s="177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3">
        <v>59</v>
      </c>
      <c r="E70" s="12" t="s">
        <v>69</v>
      </c>
      <c r="F70" s="104"/>
      <c r="G70" s="104">
        <f t="shared" si="1"/>
        <v>67942.44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7">
        <v>49773.69</v>
      </c>
      <c r="R70" s="177">
        <v>29051.38</v>
      </c>
      <c r="S70" s="177">
        <v>907509.45</v>
      </c>
      <c r="T70" s="177">
        <v>15648.74</v>
      </c>
      <c r="U70" s="177">
        <v>708981.98</v>
      </c>
      <c r="V70" s="177">
        <v>972.43</v>
      </c>
      <c r="W70" s="177">
        <v>387586.04</v>
      </c>
      <c r="X70" s="177">
        <v>87624.95</v>
      </c>
      <c r="Y70" s="177">
        <v>67942.44</v>
      </c>
      <c r="Z70" s="177">
        <v>89742.12</v>
      </c>
      <c r="AA70" s="177">
        <v>0</v>
      </c>
      <c r="AB70" s="177">
        <v>7581.46</v>
      </c>
      <c r="AC70" s="177">
        <v>16558501.4</v>
      </c>
      <c r="AD70" s="177">
        <v>23116.49</v>
      </c>
      <c r="AE70" s="177">
        <v>114208.74</v>
      </c>
      <c r="AF70" s="177">
        <v>692968.33</v>
      </c>
      <c r="AG70" s="177">
        <v>1517.31</v>
      </c>
      <c r="AH70" s="177">
        <v>95944.09</v>
      </c>
      <c r="AI70" s="177">
        <v>67743.070000000007</v>
      </c>
      <c r="AJ70" s="177">
        <v>69127.100000000006</v>
      </c>
      <c r="AK70" s="177">
        <v>500156.18</v>
      </c>
      <c r="AL70" s="177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3">
        <v>60</v>
      </c>
      <c r="E71" s="12" t="s">
        <v>70</v>
      </c>
      <c r="F71" s="104"/>
      <c r="G71" s="104">
        <f t="shared" si="1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7">
        <v>236986.57</v>
      </c>
      <c r="R71" s="177">
        <v>0</v>
      </c>
      <c r="S71" s="177">
        <v>0</v>
      </c>
      <c r="T71" s="177">
        <v>0</v>
      </c>
      <c r="U71" s="177">
        <v>53390.879999999997</v>
      </c>
      <c r="V71" s="177">
        <v>0</v>
      </c>
      <c r="W71" s="177">
        <v>349436.88</v>
      </c>
      <c r="X71" s="177">
        <v>0</v>
      </c>
      <c r="Y71" s="177">
        <v>0</v>
      </c>
      <c r="Z71" s="177">
        <v>64992</v>
      </c>
      <c r="AA71" s="177">
        <v>14252.75</v>
      </c>
      <c r="AB71" s="177">
        <v>0</v>
      </c>
      <c r="AC71" s="177">
        <v>0</v>
      </c>
      <c r="AD71" s="177">
        <v>0</v>
      </c>
      <c r="AE71" s="177">
        <v>0</v>
      </c>
      <c r="AF71" s="177">
        <v>238525.16</v>
      </c>
      <c r="AG71" s="177">
        <v>0</v>
      </c>
      <c r="AH71" s="177">
        <v>0</v>
      </c>
      <c r="AI71" s="177">
        <v>0</v>
      </c>
      <c r="AJ71" s="177">
        <v>13284</v>
      </c>
      <c r="AK71" s="177">
        <v>42000</v>
      </c>
      <c r="AL71" s="177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3">
        <v>61</v>
      </c>
      <c r="E72" s="12" t="s">
        <v>71</v>
      </c>
      <c r="F72" s="104"/>
      <c r="G72" s="104">
        <f t="shared" si="1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34613.64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3">
        <v>62</v>
      </c>
      <c r="E73" s="12" t="s">
        <v>72</v>
      </c>
      <c r="F73" s="104"/>
      <c r="G73" s="104">
        <f t="shared" si="1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7">
        <v>617269.99</v>
      </c>
      <c r="R73" s="177">
        <v>21900.5</v>
      </c>
      <c r="S73" s="177">
        <v>222558.57</v>
      </c>
      <c r="T73" s="177">
        <v>0</v>
      </c>
      <c r="U73" s="177">
        <v>371805.77</v>
      </c>
      <c r="V73" s="177">
        <v>1074556.43</v>
      </c>
      <c r="W73" s="177">
        <v>639801.59999999998</v>
      </c>
      <c r="X73" s="177">
        <v>22486.639999999999</v>
      </c>
      <c r="Y73" s="177">
        <v>0</v>
      </c>
      <c r="Z73" s="177">
        <v>393.07</v>
      </c>
      <c r="AA73" s="177">
        <v>0</v>
      </c>
      <c r="AB73" s="177">
        <v>71515.28</v>
      </c>
      <c r="AC73" s="177">
        <v>13144112.029999999</v>
      </c>
      <c r="AD73" s="177">
        <v>491661.07</v>
      </c>
      <c r="AE73" s="177">
        <v>1432111.15</v>
      </c>
      <c r="AF73" s="177">
        <v>298563.39</v>
      </c>
      <c r="AG73" s="177">
        <v>0</v>
      </c>
      <c r="AH73" s="177">
        <v>208500.9</v>
      </c>
      <c r="AI73" s="177">
        <v>156157.32999999999</v>
      </c>
      <c r="AJ73" s="177">
        <v>0</v>
      </c>
      <c r="AK73" s="177">
        <v>619142.51</v>
      </c>
      <c r="AL73" s="177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3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7">
        <v>15454</v>
      </c>
      <c r="R74" s="177">
        <v>0</v>
      </c>
      <c r="S74" s="177">
        <v>816</v>
      </c>
      <c r="T74" s="177">
        <v>17676.18</v>
      </c>
      <c r="U74" s="177">
        <v>0</v>
      </c>
      <c r="V74" s="177">
        <v>0</v>
      </c>
      <c r="W74" s="177">
        <v>14279.07</v>
      </c>
      <c r="X74" s="177">
        <v>10223.27</v>
      </c>
      <c r="Y74" s="177">
        <v>0</v>
      </c>
      <c r="Z74" s="177">
        <v>7629.57</v>
      </c>
      <c r="AA74" s="177">
        <v>1875.14</v>
      </c>
      <c r="AB74" s="177">
        <v>5325.79</v>
      </c>
      <c r="AC74" s="177">
        <v>104065.14</v>
      </c>
      <c r="AD74" s="177">
        <v>18585.669999999998</v>
      </c>
      <c r="AE74" s="177">
        <v>43907.67</v>
      </c>
      <c r="AF74" s="177">
        <v>0</v>
      </c>
      <c r="AG74" s="177">
        <v>3199.45</v>
      </c>
      <c r="AH74" s="177">
        <v>12375.76</v>
      </c>
      <c r="AI74" s="177">
        <v>10483.629999999999</v>
      </c>
      <c r="AJ74" s="177">
        <v>4966.8999999999996</v>
      </c>
      <c r="AK74" s="177">
        <v>0</v>
      </c>
      <c r="AL74" s="177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3"/>
      <c r="E75" s="17" t="s">
        <v>74</v>
      </c>
      <c r="F75" s="105"/>
      <c r="G75" s="104">
        <f t="shared" si="2"/>
        <v>379711.23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7">
        <v>4444730.49</v>
      </c>
      <c r="R75" s="177">
        <v>410629.38</v>
      </c>
      <c r="S75" s="177">
        <v>6405020.6600000011</v>
      </c>
      <c r="T75" s="177">
        <v>3553769.2700000005</v>
      </c>
      <c r="U75" s="177">
        <v>6024293.6699999999</v>
      </c>
      <c r="V75" s="177">
        <v>8145771.1199999992</v>
      </c>
      <c r="W75" s="177">
        <v>4021166.2199999997</v>
      </c>
      <c r="X75" s="177">
        <v>947228.78999999992</v>
      </c>
      <c r="Y75" s="177">
        <v>379711.23</v>
      </c>
      <c r="Z75" s="177">
        <v>1346026.38</v>
      </c>
      <c r="AA75" s="177">
        <v>330994.91000000003</v>
      </c>
      <c r="AB75" s="177">
        <v>967654.09000000008</v>
      </c>
      <c r="AC75" s="177">
        <v>29116434.920000002</v>
      </c>
      <c r="AD75" s="177">
        <v>3791702.6600000006</v>
      </c>
      <c r="AE75" s="177">
        <v>18626348.389999997</v>
      </c>
      <c r="AF75" s="177">
        <v>4614761.9499999993</v>
      </c>
      <c r="AG75" s="177">
        <v>342324.43000000011</v>
      </c>
      <c r="AH75" s="177">
        <v>3104525.1199999992</v>
      </c>
      <c r="AI75" s="177">
        <v>2232150.0999999996</v>
      </c>
      <c r="AJ75" s="177">
        <v>544164.81000000006</v>
      </c>
      <c r="AK75" s="177">
        <v>3965577.6000000006</v>
      </c>
      <c r="AL75" s="177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3">
        <v>64</v>
      </c>
      <c r="E76" s="12" t="s">
        <v>75</v>
      </c>
      <c r="F76" s="104"/>
      <c r="G76" s="104">
        <f t="shared" si="2"/>
        <v>4421.41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7">
        <v>45719.18</v>
      </c>
      <c r="R76" s="177">
        <v>7041.15</v>
      </c>
      <c r="S76" s="177">
        <v>168113.2</v>
      </c>
      <c r="T76" s="177">
        <v>113726.84</v>
      </c>
      <c r="U76" s="177">
        <v>15647.84</v>
      </c>
      <c r="V76" s="177">
        <v>33076.589999999997</v>
      </c>
      <c r="W76" s="177">
        <v>56749.03</v>
      </c>
      <c r="X76" s="177">
        <v>5579.28</v>
      </c>
      <c r="Y76" s="177">
        <v>4421.41</v>
      </c>
      <c r="Z76" s="177">
        <v>17561.02</v>
      </c>
      <c r="AA76" s="177">
        <v>1957.01</v>
      </c>
      <c r="AB76" s="177">
        <v>29282.13</v>
      </c>
      <c r="AC76" s="177">
        <v>0</v>
      </c>
      <c r="AD76" s="177">
        <v>125160.72</v>
      </c>
      <c r="AE76" s="177">
        <v>466505.02</v>
      </c>
      <c r="AF76" s="177">
        <v>28197.49</v>
      </c>
      <c r="AG76" s="177">
        <v>5789.88</v>
      </c>
      <c r="AH76" s="177">
        <v>18943.52</v>
      </c>
      <c r="AI76" s="177">
        <v>0</v>
      </c>
      <c r="AJ76" s="177">
        <v>13329.79</v>
      </c>
      <c r="AK76" s="177">
        <v>0</v>
      </c>
      <c r="AL76" s="177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3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4421.41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7">
        <v>45719.18</v>
      </c>
      <c r="R78" s="177">
        <v>7041.15</v>
      </c>
      <c r="S78" s="177">
        <v>168113.2</v>
      </c>
      <c r="T78" s="177">
        <v>113726.84</v>
      </c>
      <c r="U78" s="177">
        <v>15647.84</v>
      </c>
      <c r="V78" s="177">
        <v>33076.589999999997</v>
      </c>
      <c r="W78" s="177">
        <v>56749.03</v>
      </c>
      <c r="X78" s="177">
        <v>5579.28</v>
      </c>
      <c r="Y78" s="177">
        <v>4421.41</v>
      </c>
      <c r="Z78" s="177">
        <v>17561.02</v>
      </c>
      <c r="AA78" s="177">
        <v>1957.01</v>
      </c>
      <c r="AB78" s="177">
        <v>29282.13</v>
      </c>
      <c r="AC78" s="177">
        <v>0</v>
      </c>
      <c r="AD78" s="177">
        <v>125160.72</v>
      </c>
      <c r="AE78" s="177">
        <v>466505.02</v>
      </c>
      <c r="AF78" s="177">
        <v>28197.49</v>
      </c>
      <c r="AG78" s="177">
        <v>5789.88</v>
      </c>
      <c r="AH78" s="177">
        <v>18943.52</v>
      </c>
      <c r="AI78" s="177">
        <v>0</v>
      </c>
      <c r="AJ78" s="177">
        <v>13329.79</v>
      </c>
      <c r="AK78" s="177">
        <v>0</v>
      </c>
      <c r="AL78" s="177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3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5969.01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5969.01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735273.37</v>
      </c>
      <c r="H81" s="3"/>
      <c r="I81" s="3"/>
      <c r="J81" s="3"/>
      <c r="K81" s="3"/>
      <c r="L81" s="3"/>
      <c r="O81" s="114">
        <v>79</v>
      </c>
      <c r="P81" s="114">
        <v>0</v>
      </c>
      <c r="Q81" s="177">
        <v>11621712.58</v>
      </c>
      <c r="R81" s="177">
        <v>1064079.7399999998</v>
      </c>
      <c r="S81" s="177">
        <v>12487580.16</v>
      </c>
      <c r="T81" s="177">
        <v>9807902.2400000002</v>
      </c>
      <c r="U81" s="177">
        <v>17539019.809999999</v>
      </c>
      <c r="V81" s="177">
        <v>16902993.639999997</v>
      </c>
      <c r="W81" s="177">
        <v>9300121.129999999</v>
      </c>
      <c r="X81" s="177">
        <v>2124161.9399999995</v>
      </c>
      <c r="Y81" s="177">
        <v>735273.37</v>
      </c>
      <c r="Z81" s="177">
        <v>4838448.6499999985</v>
      </c>
      <c r="AA81" s="177">
        <v>594065.53</v>
      </c>
      <c r="AB81" s="177">
        <v>2488639.16</v>
      </c>
      <c r="AC81" s="177">
        <v>60562293.410000004</v>
      </c>
      <c r="AD81" s="177">
        <v>9206213.6699999999</v>
      </c>
      <c r="AE81" s="177">
        <v>24380258.989999998</v>
      </c>
      <c r="AF81" s="177">
        <v>6022171.5299999993</v>
      </c>
      <c r="AG81" s="177">
        <v>1342152.98</v>
      </c>
      <c r="AH81" s="177">
        <v>6817717.9200999979</v>
      </c>
      <c r="AI81" s="177">
        <v>5597357.3099999987</v>
      </c>
      <c r="AJ81" s="177">
        <v>1707926.22</v>
      </c>
      <c r="AK81" s="177">
        <v>13970246.969999999</v>
      </c>
      <c r="AL81" s="177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8"/>
      <c r="O82" s="114">
        <v>80</v>
      </c>
      <c r="P82" s="114">
        <v>0</v>
      </c>
      <c r="Q82" s="17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7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7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7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7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7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7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735273.37</v>
      </c>
      <c r="H89" s="184">
        <f>'Model Inputs'!H31</f>
        <v>705401.32000000007</v>
      </c>
      <c r="I89" s="185">
        <f>'Model Inputs'!I31</f>
        <v>792904</v>
      </c>
      <c r="J89" s="185">
        <f>'Model Inputs'!J31</f>
        <v>804473</v>
      </c>
      <c r="K89" s="185">
        <f>'Model Inputs'!K31</f>
        <v>0</v>
      </c>
      <c r="L89" s="185">
        <f>'Model Inputs'!L31</f>
        <v>0</v>
      </c>
      <c r="M89" s="186">
        <f>'Model Inputs'!M31</f>
        <v>0</v>
      </c>
      <c r="N89" s="58">
        <v>11</v>
      </c>
      <c r="O89" s="114">
        <v>87</v>
      </c>
      <c r="P89" s="114">
        <v>0</v>
      </c>
      <c r="Q89" s="177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7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36284.300000000003</v>
      </c>
      <c r="H92" s="184">
        <f>'Model Inputs'!H9</f>
        <v>24057</v>
      </c>
      <c r="I92" s="185">
        <f>'Model Inputs'!I9</f>
        <v>476662</v>
      </c>
      <c r="J92" s="185">
        <f>'Model Inputs'!J9</f>
        <v>80667</v>
      </c>
      <c r="K92" s="185">
        <f>'Model Inputs'!K9</f>
        <v>0</v>
      </c>
      <c r="L92" s="185">
        <f>'Model Inputs'!L9</f>
        <v>0</v>
      </c>
      <c r="M92" s="186">
        <f>'Model Inputs'!M9</f>
        <v>0</v>
      </c>
      <c r="N92" s="58">
        <v>1</v>
      </c>
      <c r="O92" s="114">
        <v>90</v>
      </c>
      <c r="P92" s="114">
        <v>0</v>
      </c>
      <c r="Q92" s="177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4">
        <v>91</v>
      </c>
      <c r="P93" s="114">
        <v>0</v>
      </c>
      <c r="Q93" s="177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7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7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1247</v>
      </c>
      <c r="H96" s="184">
        <f>'Model Inputs'!H13</f>
        <v>1221</v>
      </c>
      <c r="I96" s="185">
        <f>'Model Inputs'!I13</f>
        <v>1208.8237731492798</v>
      </c>
      <c r="J96" s="185">
        <f>'Model Inputs'!J13</f>
        <v>1196.7741132925626</v>
      </c>
      <c r="K96" s="185">
        <f>'Model Inputs'!K13</f>
        <v>0</v>
      </c>
      <c r="L96" s="185">
        <f>'Model Inputs'!L13</f>
        <v>0</v>
      </c>
      <c r="M96" s="186">
        <f>'Model Inputs'!M13</f>
        <v>0</v>
      </c>
      <c r="N96" s="104">
        <v>3</v>
      </c>
      <c r="O96" s="114">
        <v>94</v>
      </c>
      <c r="P96" s="114">
        <v>0</v>
      </c>
      <c r="Q96" s="177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24277695</v>
      </c>
      <c r="H97" s="184">
        <f>'Model Inputs'!H14</f>
        <v>24573208</v>
      </c>
      <c r="I97" s="185">
        <f>'Model Inputs'!I14</f>
        <v>26420264.117376253</v>
      </c>
      <c r="J97" s="185">
        <f>'Model Inputs'!J14</f>
        <v>26173315.691547919</v>
      </c>
      <c r="K97" s="185">
        <f>'Model Inputs'!K14</f>
        <v>0</v>
      </c>
      <c r="L97" s="185">
        <f>'Model Inputs'!L14</f>
        <v>0</v>
      </c>
      <c r="M97" s="186">
        <f>'Model Inputs'!M14</f>
        <v>0</v>
      </c>
      <c r="N97" s="104">
        <v>4</v>
      </c>
      <c r="O97" s="114">
        <v>95</v>
      </c>
      <c r="P97" s="114">
        <v>0</v>
      </c>
      <c r="Q97" s="177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7029</v>
      </c>
      <c r="H98" s="184">
        <f>'Model Inputs'!H15</f>
        <v>7029</v>
      </c>
      <c r="I98" s="185">
        <f>'Model Inputs'!I15</f>
        <v>7029</v>
      </c>
      <c r="J98" s="185">
        <f>'Model Inputs'!J15</f>
        <v>7029</v>
      </c>
      <c r="K98" s="185">
        <f>'Model Inputs'!K15</f>
        <v>0</v>
      </c>
      <c r="L98" s="185">
        <f>'Model Inputs'!L15</f>
        <v>0</v>
      </c>
      <c r="M98" s="186">
        <f>'Model Inputs'!M15</f>
        <v>0</v>
      </c>
      <c r="N98" s="104">
        <v>5</v>
      </c>
      <c r="O98" s="114">
        <v>96</v>
      </c>
      <c r="P98" s="114">
        <v>0</v>
      </c>
      <c r="Q98" s="177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27</v>
      </c>
      <c r="H99" s="184">
        <f>'Model Inputs'!H16</f>
        <v>27</v>
      </c>
      <c r="I99" s="185">
        <f>'Model Inputs'!I16</f>
        <v>27</v>
      </c>
      <c r="J99" s="185">
        <f>'Model Inputs'!J16</f>
        <v>27</v>
      </c>
      <c r="K99" s="185">
        <f>'Model Inputs'!K16</f>
        <v>0</v>
      </c>
      <c r="L99" s="185">
        <f>'Model Inputs'!L16</f>
        <v>0</v>
      </c>
      <c r="M99" s="186">
        <f>'Model Inputs'!M16</f>
        <v>0</v>
      </c>
      <c r="N99" s="104">
        <v>6</v>
      </c>
      <c r="O99" s="114">
        <v>97</v>
      </c>
      <c r="P99" s="114">
        <v>0</v>
      </c>
      <c r="Q99" s="177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32" t="s">
        <v>93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735273.37</v>
      </c>
      <c r="H107" s="29">
        <f t="shared" ref="H107:K107" si="4">H89</f>
        <v>705401.32000000007</v>
      </c>
      <c r="I107" s="29">
        <f t="shared" si="4"/>
        <v>792904</v>
      </c>
      <c r="J107" s="29">
        <f t="shared" si="4"/>
        <v>804473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9">
        <f>'Model Inputs'!H22</f>
        <v>6.2843999999999997E-2</v>
      </c>
      <c r="I110" s="200">
        <f>'Model Inputs'!I22</f>
        <v>6.2843999999999997E-2</v>
      </c>
      <c r="J110" s="200">
        <f>'Model Inputs'!J22</f>
        <v>6.0199999999999997E-2</v>
      </c>
      <c r="K110" s="200">
        <f>'Model Inputs'!K22</f>
        <v>0</v>
      </c>
      <c r="L110" s="200">
        <f>'Model Inputs'!L22</f>
        <v>0</v>
      </c>
      <c r="M110" s="201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2">
        <f>G112*EXP('Model Inputs'!H21)</f>
        <v>167.10785477957194</v>
      </c>
      <c r="I112" s="203">
        <f>H112*EXP('Model Inputs'!I21)</f>
        <v>169.14214244282326</v>
      </c>
      <c r="J112" s="203">
        <f>I112*EXP('Model Inputs'!J21)</f>
        <v>171.20119450929377</v>
      </c>
      <c r="K112" s="203">
        <f>J112*EXP('Model Inputs'!K21)</f>
        <v>171.20119450929377</v>
      </c>
      <c r="L112" s="203">
        <f>K112*EXP('Model Inputs'!L21)</f>
        <v>171.20119450929377</v>
      </c>
      <c r="M112" s="204">
        <f>L112*EXP('Model Inputs'!M21)</f>
        <v>171.20119450929377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18.045671362707417</v>
      </c>
      <c r="I113" s="29">
        <f t="shared" si="7"/>
        <v>18.265350363893006</v>
      </c>
      <c r="J113" s="29">
        <f t="shared" si="7"/>
        <v>18.040491803034545</v>
      </c>
      <c r="K113" s="29">
        <f t="shared" si="7"/>
        <v>7.8581348279765848</v>
      </c>
      <c r="L113" s="29">
        <f t="shared" si="7"/>
        <v>7.8581348279765848</v>
      </c>
      <c r="M113" s="29">
        <f t="shared" si="7"/>
        <v>7.8581348279765848</v>
      </c>
      <c r="N113" s="188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36284.300000000003</v>
      </c>
      <c r="H114" s="205">
        <f>H92</f>
        <v>24057</v>
      </c>
      <c r="I114" s="206">
        <f t="shared" ref="I114:L114" si="8">I92</f>
        <v>476662</v>
      </c>
      <c r="J114" s="206">
        <f t="shared" si="8"/>
        <v>80667</v>
      </c>
      <c r="K114" s="206">
        <f t="shared" si="8"/>
        <v>0</v>
      </c>
      <c r="L114" s="206">
        <f t="shared" si="8"/>
        <v>0</v>
      </c>
      <c r="M114" s="207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219.77427103244622</v>
      </c>
      <c r="H116" s="8">
        <f t="shared" ref="H116:K116" si="12">(H114-H115)/H112</f>
        <v>143.96091692836956</v>
      </c>
      <c r="I116" s="8">
        <f t="shared" si="12"/>
        <v>2818.1149482668438</v>
      </c>
      <c r="J116" s="8">
        <f t="shared" si="12"/>
        <v>471.18246009446472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494.36363899479227</v>
      </c>
      <c r="H117" s="25">
        <f t="shared" ref="H117:M117" si="14">H111*G118</f>
        <v>481.75998700532057</v>
      </c>
      <c r="I117" s="25">
        <f t="shared" si="14"/>
        <v>466.25500968878856</v>
      </c>
      <c r="J117" s="25">
        <f t="shared" si="14"/>
        <v>574.20538086952138</v>
      </c>
      <c r="K117" s="25">
        <f t="shared" si="14"/>
        <v>569.47662880594623</v>
      </c>
      <c r="L117" s="25">
        <f t="shared" si="14"/>
        <v>543.3376515437534</v>
      </c>
      <c r="M117" s="25">
        <f t="shared" si="14"/>
        <v>518.39845333789503</v>
      </c>
      <c r="N117" s="189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10495.860283340317</v>
      </c>
      <c r="H118" s="25">
        <f t="shared" ref="H118:M118" si="15">G118+H116-H117</f>
        <v>10158.061213263367</v>
      </c>
      <c r="I118" s="25">
        <f t="shared" si="15"/>
        <v>12509.921151841423</v>
      </c>
      <c r="J118" s="25">
        <f t="shared" si="15"/>
        <v>12406.898231066367</v>
      </c>
      <c r="K118" s="25">
        <f t="shared" si="15"/>
        <v>11837.421602260421</v>
      </c>
      <c r="L118" s="25">
        <f t="shared" si="15"/>
        <v>11294.083950716667</v>
      </c>
      <c r="M118" s="25">
        <f t="shared" si="15"/>
        <v>10775.685497378772</v>
      </c>
      <c r="N118" s="189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187130.7390979685</v>
      </c>
      <c r="H119" s="25">
        <f t="shared" ref="H119:K119" si="16">H113*H118</f>
        <v>183309.0343368157</v>
      </c>
      <c r="I119" s="25">
        <f t="shared" si="16"/>
        <v>228498.09286305954</v>
      </c>
      <c r="J119" s="25">
        <f t="shared" si="16"/>
        <v>223826.54583863658</v>
      </c>
      <c r="K119" s="25">
        <f t="shared" si="16"/>
        <v>93020.054966165</v>
      </c>
      <c r="L119" s="25">
        <f t="shared" ref="L119:M119" si="17">L113*L118</f>
        <v>88750.434443218022</v>
      </c>
      <c r="M119" s="25">
        <f t="shared" si="17"/>
        <v>84676.789502274318</v>
      </c>
      <c r="N119" s="189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922404.10909796855</v>
      </c>
      <c r="H121" s="25">
        <f t="shared" ref="H121:K121" si="18">H107+H119</f>
        <v>888710.35433681577</v>
      </c>
      <c r="I121" s="25">
        <f t="shared" si="18"/>
        <v>1021402.0928630596</v>
      </c>
      <c r="J121" s="25">
        <f t="shared" si="18"/>
        <v>1028299.5458386366</v>
      </c>
      <c r="K121" s="25">
        <f t="shared" si="18"/>
        <v>93020.054966165</v>
      </c>
      <c r="L121" s="25">
        <f t="shared" ref="L121:M121" si="19">L107+L119</f>
        <v>88750.434443218022</v>
      </c>
      <c r="M121" s="25">
        <f t="shared" si="19"/>
        <v>84676.789502274318</v>
      </c>
      <c r="N121" s="189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32" t="s">
        <v>108</v>
      </c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1247</v>
      </c>
      <c r="H128" s="8">
        <f t="shared" ref="H128:K130" si="20">H96</f>
        <v>1221</v>
      </c>
      <c r="I128" s="8">
        <f t="shared" si="20"/>
        <v>1208.8237731492798</v>
      </c>
      <c r="J128" s="8">
        <f t="shared" si="20"/>
        <v>1196.7741132925626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24277695</v>
      </c>
      <c r="H129" s="39">
        <f t="shared" si="20"/>
        <v>24573208</v>
      </c>
      <c r="I129" s="39">
        <f t="shared" si="20"/>
        <v>26420264.117376253</v>
      </c>
      <c r="J129" s="39">
        <f t="shared" si="20"/>
        <v>26173315.691547919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0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7029</v>
      </c>
      <c r="H130" s="8">
        <f t="shared" si="20"/>
        <v>7029</v>
      </c>
      <c r="I130" s="8">
        <f t="shared" si="20"/>
        <v>7029</v>
      </c>
      <c r="J130" s="8">
        <f t="shared" si="20"/>
        <v>7029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8879</v>
      </c>
      <c r="H131" s="8">
        <f t="shared" ref="H131:M131" si="24">MAX(G131,H130)</f>
        <v>8879</v>
      </c>
      <c r="I131" s="8">
        <f t="shared" si="24"/>
        <v>8879</v>
      </c>
      <c r="J131" s="8">
        <f t="shared" si="24"/>
        <v>8879</v>
      </c>
      <c r="K131" s="8">
        <f t="shared" si="24"/>
        <v>8879</v>
      </c>
      <c r="L131" s="8">
        <f t="shared" si="24"/>
        <v>8879</v>
      </c>
      <c r="M131" s="8">
        <f t="shared" si="24"/>
        <v>8879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1">
        <f>G134*EXP('Model Inputs'!H21)</f>
        <v>118.17125625990397</v>
      </c>
      <c r="I134" s="212">
        <f>H134*EXP('Model Inputs'!I21)</f>
        <v>119.60981418453014</v>
      </c>
      <c r="J134" s="212">
        <f>I134*EXP('Model Inputs'!J21)</f>
        <v>121.06588439571399</v>
      </c>
      <c r="K134" s="212">
        <f>J134*EXP('Model Inputs'!K21)</f>
        <v>121.06588439571399</v>
      </c>
      <c r="L134" s="212">
        <f>K134*EXP('Model Inputs'!L21)</f>
        <v>121.06588439571399</v>
      </c>
      <c r="M134" s="213">
        <f>L134*EXP('Model Inputs'!M21)</f>
        <v>121.06588439571399</v>
      </c>
      <c r="N134" s="218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4">
        <f>G135*EXP('Model Inputs'!H20)</f>
        <v>993.22721659644833</v>
      </c>
      <c r="I135" s="215">
        <f>H135*EXP('Model Inputs'!I20)</f>
        <v>1013.2917373227414</v>
      </c>
      <c r="J135" s="215">
        <f>I135*EXP('Model Inputs'!J20)</f>
        <v>1033.7615882547002</v>
      </c>
      <c r="K135" s="215">
        <f>J135*EXP('Model Inputs'!K20)</f>
        <v>1033.7615882547002</v>
      </c>
      <c r="L135" s="215">
        <f>K135*EXP('Model Inputs'!L20)</f>
        <v>1033.7615882547002</v>
      </c>
      <c r="M135" s="216">
        <f>L135*EXP('Model Inputs'!M20)</f>
        <v>1033.7615882547002</v>
      </c>
      <c r="N135" s="218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1.7629999999999955E-2</v>
      </c>
      <c r="I136" s="40">
        <f t="shared" ref="I136:M136" si="25">LN(I134/H134)*0.3+LN(I135/H135)*0.7</f>
        <v>1.7629999999999955E-2</v>
      </c>
      <c r="J136" s="40">
        <f t="shared" si="25"/>
        <v>1.7629999999999955E-2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1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121.48225782618636</v>
      </c>
      <c r="H137" s="29">
        <f t="shared" ref="H137:M137" si="26">G137*EXP(H136)</f>
        <v>123.64298083954563</v>
      </c>
      <c r="I137" s="29">
        <f t="shared" si="26"/>
        <v>125.84213517632614</v>
      </c>
      <c r="J137" s="29">
        <f t="shared" si="26"/>
        <v>128.08040438856614</v>
      </c>
      <c r="K137" s="29">
        <f t="shared" si="26"/>
        <v>128.08040438856614</v>
      </c>
      <c r="L137" s="29">
        <f t="shared" si="26"/>
        <v>128.08040438856614</v>
      </c>
      <c r="M137" s="29">
        <f t="shared" si="26"/>
        <v>128.08040438856614</v>
      </c>
      <c r="N137" s="188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18.045671362707417</v>
      </c>
      <c r="I139" s="29">
        <f t="shared" si="27"/>
        <v>18.265350363893006</v>
      </c>
      <c r="J139" s="29">
        <f t="shared" si="27"/>
        <v>18.040491803034545</v>
      </c>
      <c r="K139" s="29">
        <f t="shared" si="27"/>
        <v>7.8581348279765848</v>
      </c>
      <c r="L139" s="29">
        <f t="shared" ref="L139:M139" si="28">L113</f>
        <v>7.8581348279765848</v>
      </c>
      <c r="M139" s="29">
        <f t="shared" si="28"/>
        <v>7.8581348279765848</v>
      </c>
      <c r="N139" s="188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27</v>
      </c>
      <c r="H142" s="42">
        <f>'Model Inputs'!H16</f>
        <v>27</v>
      </c>
      <c r="I142" s="42">
        <f>'Model Inputs'!I16</f>
        <v>27</v>
      </c>
      <c r="J142" s="42">
        <f>'Model Inputs'!J16</f>
        <v>27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8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27.1</v>
      </c>
      <c r="H143" s="41">
        <f>(G143*14+H142)/15</f>
        <v>27.093333333333337</v>
      </c>
      <c r="I143" s="41">
        <f>(H143*15+I142)/16</f>
        <v>27.087500000000002</v>
      </c>
      <c r="J143" s="41">
        <f>(I143*16+J142)/17</f>
        <v>27.082352941176474</v>
      </c>
      <c r="K143" s="41">
        <f>(J143*17+K142)/18</f>
        <v>25.577777777777779</v>
      </c>
      <c r="L143" s="41">
        <f>(K143*17+L142)/18</f>
        <v>24.156790123456791</v>
      </c>
      <c r="M143" s="41">
        <f>(L143*17+M142)/18</f>
        <v>22.814746227709193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1316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-5.243161094224924E-2</v>
      </c>
      <c r="H145" s="30">
        <f>'Model Inputs'!H17</f>
        <v>0</v>
      </c>
      <c r="I145" s="30">
        <f>'Model Inputs'!I17</f>
        <v>0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0.14676220801161596</v>
      </c>
      <c r="H152" s="44">
        <f t="shared" ref="H152:K152" si="31">H113/H137</f>
        <v>0.14594982456889893</v>
      </c>
      <c r="I152" s="44">
        <f t="shared" si="31"/>
        <v>0.1451449495695552</v>
      </c>
      <c r="J152" s="44">
        <f t="shared" si="31"/>
        <v>0.14085286417666118</v>
      </c>
      <c r="K152" s="44">
        <f t="shared" si="31"/>
        <v>6.1353138799724843E-2</v>
      </c>
      <c r="L152" s="44">
        <f t="shared" ref="L152:M152" si="32">L113/L137</f>
        <v>6.1353138799724843E-2</v>
      </c>
      <c r="M152" s="44">
        <f t="shared" si="32"/>
        <v>6.1353138799724843E-2</v>
      </c>
      <c r="N152" s="193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1247</v>
      </c>
      <c r="H153" s="25">
        <f t="shared" ref="H153:K153" si="33">H96</f>
        <v>1221</v>
      </c>
      <c r="I153" s="25">
        <f t="shared" si="33"/>
        <v>1208.8237731492798</v>
      </c>
      <c r="J153" s="25">
        <f t="shared" si="33"/>
        <v>1196.7741132925626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9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8879</v>
      </c>
      <c r="H154" s="25">
        <f t="shared" ref="H154:K154" si="35">H131</f>
        <v>8879</v>
      </c>
      <c r="I154" s="25">
        <f t="shared" si="35"/>
        <v>8879</v>
      </c>
      <c r="J154" s="25">
        <f t="shared" si="35"/>
        <v>8879</v>
      </c>
      <c r="K154" s="25">
        <f t="shared" si="35"/>
        <v>8879</v>
      </c>
      <c r="L154" s="25">
        <f t="shared" ref="L154:M154" si="36">L131</f>
        <v>8879</v>
      </c>
      <c r="M154" s="25">
        <f t="shared" si="36"/>
        <v>8879</v>
      </c>
      <c r="N154" s="189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24277695</v>
      </c>
      <c r="H155" s="39">
        <f t="shared" ref="H155:K155" si="37">H97</f>
        <v>24573208</v>
      </c>
      <c r="I155" s="39">
        <f t="shared" si="37"/>
        <v>26420264.117376253</v>
      </c>
      <c r="J155" s="39">
        <f t="shared" si="37"/>
        <v>26173315.691547919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0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27.1</v>
      </c>
      <c r="H156" s="45">
        <f t="shared" ref="H156:K156" si="39">H143</f>
        <v>27.093333333333337</v>
      </c>
      <c r="I156" s="45">
        <f t="shared" si="39"/>
        <v>27.087500000000002</v>
      </c>
      <c r="J156" s="45">
        <f t="shared" si="39"/>
        <v>27.082352941176474</v>
      </c>
      <c r="K156" s="45">
        <f t="shared" si="39"/>
        <v>25.577777777777779</v>
      </c>
      <c r="L156" s="45">
        <f t="shared" ref="L156:M156" si="40">L143</f>
        <v>24.156790123456791</v>
      </c>
      <c r="M156" s="45">
        <f t="shared" si="40"/>
        <v>22.814746227709193</v>
      </c>
      <c r="N156" s="194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-5.243161094224924E-2</v>
      </c>
      <c r="H157" s="31">
        <f t="shared" ref="H157:L157" si="41">H145</f>
        <v>0</v>
      </c>
      <c r="I157" s="31">
        <f t="shared" si="41"/>
        <v>0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12.814736982825067</v>
      </c>
      <c r="H162" s="49">
        <f t="shared" ref="H162:M179" si="45">G162</f>
        <v>12.814736982825067</v>
      </c>
      <c r="I162" s="49">
        <f t="shared" si="45"/>
        <v>12.814736982825067</v>
      </c>
      <c r="J162" s="49">
        <f t="shared" si="45"/>
        <v>12.814736982825067</v>
      </c>
      <c r="K162" s="49">
        <f t="shared" si="45"/>
        <v>12.814736982825067</v>
      </c>
      <c r="L162" s="49">
        <f t="shared" si="45"/>
        <v>12.814736982825067</v>
      </c>
      <c r="M162" s="49">
        <f t="shared" si="45"/>
        <v>12.814736982825067</v>
      </c>
      <c r="N162" s="195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0.62665786861574369</v>
      </c>
      <c r="H163" s="49">
        <f t="shared" si="45"/>
        <v>0.62665786861574369</v>
      </c>
      <c r="I163" s="49">
        <f t="shared" si="45"/>
        <v>0.62665786861574369</v>
      </c>
      <c r="J163" s="49">
        <f t="shared" si="45"/>
        <v>0.62665786861574369</v>
      </c>
      <c r="K163" s="49">
        <f t="shared" si="45"/>
        <v>0.62665786861574369</v>
      </c>
      <c r="L163" s="49">
        <f t="shared" si="45"/>
        <v>0.62665786861574369</v>
      </c>
      <c r="M163" s="49">
        <f t="shared" si="45"/>
        <v>0.62665786861574369</v>
      </c>
      <c r="N163" s="195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0.44524665751828291</v>
      </c>
      <c r="H164" s="49">
        <f t="shared" si="45"/>
        <v>0.44524665751828291</v>
      </c>
      <c r="I164" s="49">
        <f t="shared" si="45"/>
        <v>0.44524665751828291</v>
      </c>
      <c r="J164" s="49">
        <f t="shared" si="45"/>
        <v>0.44524665751828291</v>
      </c>
      <c r="K164" s="49">
        <f t="shared" si="45"/>
        <v>0.44524665751828291</v>
      </c>
      <c r="L164" s="49">
        <f t="shared" si="45"/>
        <v>0.44524665751828291</v>
      </c>
      <c r="M164" s="49">
        <f t="shared" si="45"/>
        <v>0.44524665751828291</v>
      </c>
      <c r="N164" s="195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0.15517605381023231</v>
      </c>
      <c r="H165" s="49">
        <f t="shared" si="45"/>
        <v>0.15517605381023231</v>
      </c>
      <c r="I165" s="49">
        <f t="shared" si="45"/>
        <v>0.15517605381023231</v>
      </c>
      <c r="J165" s="49">
        <f t="shared" si="45"/>
        <v>0.15517605381023231</v>
      </c>
      <c r="K165" s="49">
        <f t="shared" si="45"/>
        <v>0.15517605381023231</v>
      </c>
      <c r="L165" s="49">
        <f t="shared" si="45"/>
        <v>0.15517605381023231</v>
      </c>
      <c r="M165" s="49">
        <f t="shared" si="45"/>
        <v>0.15517605381023231</v>
      </c>
      <c r="N165" s="195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0.10876831095024361</v>
      </c>
      <c r="H166" s="49">
        <f t="shared" si="45"/>
        <v>0.10876831095024361</v>
      </c>
      <c r="I166" s="49">
        <f t="shared" si="45"/>
        <v>0.10876831095024361</v>
      </c>
      <c r="J166" s="49">
        <f t="shared" si="45"/>
        <v>0.10876831095024361</v>
      </c>
      <c r="K166" s="49">
        <f t="shared" si="45"/>
        <v>0.10876831095024361</v>
      </c>
      <c r="L166" s="49">
        <f t="shared" si="45"/>
        <v>0.10876831095024361</v>
      </c>
      <c r="M166" s="49">
        <f t="shared" si="45"/>
        <v>0.10876831095024361</v>
      </c>
      <c r="N166" s="195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0.12097350377727345</v>
      </c>
      <c r="H167" s="49">
        <f t="shared" si="45"/>
        <v>0.12097350377727345</v>
      </c>
      <c r="I167" s="49">
        <f t="shared" si="45"/>
        <v>0.12097350377727345</v>
      </c>
      <c r="J167" s="49">
        <f t="shared" si="45"/>
        <v>0.12097350377727345</v>
      </c>
      <c r="K167" s="49">
        <f t="shared" si="45"/>
        <v>0.12097350377727345</v>
      </c>
      <c r="L167" s="49">
        <f t="shared" si="45"/>
        <v>0.12097350377727345</v>
      </c>
      <c r="M167" s="49">
        <f t="shared" si="45"/>
        <v>0.12097350377727345</v>
      </c>
      <c r="N167" s="195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-0.41443878646004056</v>
      </c>
      <c r="H168" s="49">
        <f t="shared" si="45"/>
        <v>-0.41443878646004056</v>
      </c>
      <c r="I168" s="49">
        <f t="shared" si="45"/>
        <v>-0.41443878646004056</v>
      </c>
      <c r="J168" s="49">
        <f t="shared" si="45"/>
        <v>-0.41443878646004056</v>
      </c>
      <c r="K168" s="49">
        <f t="shared" si="45"/>
        <v>-0.41443878646004056</v>
      </c>
      <c r="L168" s="49">
        <f t="shared" si="45"/>
        <v>-0.41443878646004056</v>
      </c>
      <c r="M168" s="49">
        <f t="shared" si="45"/>
        <v>-0.41443878646004056</v>
      </c>
      <c r="N168" s="195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0.17811555362105094</v>
      </c>
      <c r="H169" s="49">
        <f t="shared" si="45"/>
        <v>0.17811555362105094</v>
      </c>
      <c r="I169" s="49">
        <f t="shared" si="45"/>
        <v>0.17811555362105094</v>
      </c>
      <c r="J169" s="49">
        <f t="shared" si="45"/>
        <v>0.17811555362105094</v>
      </c>
      <c r="K169" s="49">
        <f t="shared" si="45"/>
        <v>0.17811555362105094</v>
      </c>
      <c r="L169" s="49">
        <f t="shared" si="45"/>
        <v>0.17811555362105094</v>
      </c>
      <c r="M169" s="49">
        <f t="shared" si="45"/>
        <v>0.17811555362105094</v>
      </c>
      <c r="N169" s="195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0.17432798980667397</v>
      </c>
      <c r="H170" s="49">
        <f t="shared" si="45"/>
        <v>0.17432798980667397</v>
      </c>
      <c r="I170" s="49">
        <f t="shared" si="45"/>
        <v>0.17432798980667397</v>
      </c>
      <c r="J170" s="49">
        <f t="shared" si="45"/>
        <v>0.17432798980667397</v>
      </c>
      <c r="K170" s="49">
        <f t="shared" si="45"/>
        <v>0.17432798980667397</v>
      </c>
      <c r="L170" s="49">
        <f t="shared" si="45"/>
        <v>0.17432798980667397</v>
      </c>
      <c r="M170" s="49">
        <f t="shared" si="45"/>
        <v>0.17432798980667397</v>
      </c>
      <c r="N170" s="195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5.2580154946279323E-2</v>
      </c>
      <c r="H171" s="49">
        <f t="shared" si="45"/>
        <v>5.2580154946279323E-2</v>
      </c>
      <c r="I171" s="49">
        <f t="shared" si="45"/>
        <v>5.2580154946279323E-2</v>
      </c>
      <c r="J171" s="49">
        <f t="shared" si="45"/>
        <v>5.2580154946279323E-2</v>
      </c>
      <c r="K171" s="49">
        <f t="shared" si="45"/>
        <v>5.2580154946279323E-2</v>
      </c>
      <c r="L171" s="49">
        <f t="shared" si="45"/>
        <v>5.2580154946279323E-2</v>
      </c>
      <c r="M171" s="49">
        <f t="shared" si="45"/>
        <v>5.2580154946279323E-2</v>
      </c>
      <c r="N171" s="195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1.0484673502828501E-2</v>
      </c>
      <c r="H172" s="49">
        <f t="shared" si="45"/>
        <v>1.0484673502828501E-2</v>
      </c>
      <c r="I172" s="49">
        <f t="shared" si="45"/>
        <v>1.0484673502828501E-2</v>
      </c>
      <c r="J172" s="49">
        <f t="shared" si="45"/>
        <v>1.0484673502828501E-2</v>
      </c>
      <c r="K172" s="49">
        <f t="shared" si="45"/>
        <v>1.0484673502828501E-2</v>
      </c>
      <c r="L172" s="49">
        <f t="shared" si="45"/>
        <v>1.0484673502828501E-2</v>
      </c>
      <c r="M172" s="49">
        <f t="shared" si="45"/>
        <v>1.0484673502828501E-2</v>
      </c>
      <c r="N172" s="195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-9.4108140005183527E-4</v>
      </c>
      <c r="H173" s="49">
        <f t="shared" si="45"/>
        <v>-9.4108140005183527E-4</v>
      </c>
      <c r="I173" s="49">
        <f t="shared" si="45"/>
        <v>-9.4108140005183527E-4</v>
      </c>
      <c r="J173" s="49">
        <f t="shared" si="45"/>
        <v>-9.4108140005183527E-4</v>
      </c>
      <c r="K173" s="49">
        <f t="shared" si="45"/>
        <v>-9.4108140005183527E-4</v>
      </c>
      <c r="L173" s="49">
        <f t="shared" si="45"/>
        <v>-9.4108140005183527E-4</v>
      </c>
      <c r="M173" s="49">
        <f t="shared" si="45"/>
        <v>-9.4108140005183527E-4</v>
      </c>
      <c r="N173" s="195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0.16991427230225328</v>
      </c>
      <c r="H174" s="49">
        <f t="shared" si="45"/>
        <v>0.16991427230225328</v>
      </c>
      <c r="I174" s="49">
        <f t="shared" si="45"/>
        <v>0.16991427230225328</v>
      </c>
      <c r="J174" s="49">
        <f t="shared" si="45"/>
        <v>0.16991427230225328</v>
      </c>
      <c r="K174" s="49">
        <f t="shared" si="45"/>
        <v>0.16991427230225328</v>
      </c>
      <c r="L174" s="49">
        <f t="shared" si="45"/>
        <v>0.16991427230225328</v>
      </c>
      <c r="M174" s="49">
        <f t="shared" si="45"/>
        <v>0.16991427230225328</v>
      </c>
      <c r="N174" s="195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7.102823441438598E-2</v>
      </c>
      <c r="H175" s="49">
        <f t="shared" si="45"/>
        <v>7.102823441438598E-2</v>
      </c>
      <c r="I175" s="49">
        <f t="shared" si="45"/>
        <v>7.102823441438598E-2</v>
      </c>
      <c r="J175" s="49">
        <f t="shared" si="45"/>
        <v>7.102823441438598E-2</v>
      </c>
      <c r="K175" s="49">
        <f t="shared" si="45"/>
        <v>7.102823441438598E-2</v>
      </c>
      <c r="L175" s="49">
        <f t="shared" si="45"/>
        <v>7.102823441438598E-2</v>
      </c>
      <c r="M175" s="49">
        <f t="shared" si="45"/>
        <v>7.102823441438598E-2</v>
      </c>
      <c r="N175" s="195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-0.21250333013948025</v>
      </c>
      <c r="H176" s="49">
        <f t="shared" si="45"/>
        <v>-0.21250333013948025</v>
      </c>
      <c r="I176" s="49">
        <f t="shared" si="45"/>
        <v>-0.21250333013948025</v>
      </c>
      <c r="J176" s="49">
        <f t="shared" si="45"/>
        <v>-0.21250333013948025</v>
      </c>
      <c r="K176" s="49">
        <f t="shared" si="45"/>
        <v>-0.21250333013948025</v>
      </c>
      <c r="L176" s="49">
        <f t="shared" si="45"/>
        <v>-0.21250333013948025</v>
      </c>
      <c r="M176" s="49">
        <f t="shared" si="45"/>
        <v>-0.21250333013948025</v>
      </c>
      <c r="N176" s="195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0.28674139316725961</v>
      </c>
      <c r="H177" s="49">
        <f t="shared" si="45"/>
        <v>0.28674139316725961</v>
      </c>
      <c r="I177" s="49">
        <f t="shared" si="45"/>
        <v>0.28674139316725961</v>
      </c>
      <c r="J177" s="49">
        <f t="shared" si="45"/>
        <v>0.28674139316725961</v>
      </c>
      <c r="K177" s="49">
        <f t="shared" si="45"/>
        <v>0.28674139316725961</v>
      </c>
      <c r="L177" s="49">
        <f t="shared" si="45"/>
        <v>0.28674139316725961</v>
      </c>
      <c r="M177" s="49">
        <f t="shared" si="45"/>
        <v>0.28674139316725961</v>
      </c>
      <c r="N177" s="195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1.6397049080020095E-2</v>
      </c>
      <c r="H178" s="49">
        <f t="shared" si="45"/>
        <v>1.6397049080020095E-2</v>
      </c>
      <c r="I178" s="49">
        <f t="shared" si="45"/>
        <v>1.6397049080020095E-2</v>
      </c>
      <c r="J178" s="49">
        <f t="shared" si="45"/>
        <v>1.6397049080020095E-2</v>
      </c>
      <c r="K178" s="49">
        <f t="shared" si="45"/>
        <v>1.6397049080020095E-2</v>
      </c>
      <c r="L178" s="49">
        <f t="shared" si="45"/>
        <v>1.6397049080020095E-2</v>
      </c>
      <c r="M178" s="49">
        <f t="shared" si="45"/>
        <v>1.6397049080020095E-2</v>
      </c>
      <c r="N178" s="195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1.7428216497280095E-2</v>
      </c>
      <c r="H179" s="49">
        <f t="shared" si="45"/>
        <v>1.7428216497280095E-2</v>
      </c>
      <c r="I179" s="49">
        <f t="shared" si="45"/>
        <v>1.7428216497280095E-2</v>
      </c>
      <c r="J179" s="49">
        <f t="shared" si="45"/>
        <v>1.7428216497280095E-2</v>
      </c>
      <c r="K179" s="49">
        <f t="shared" si="45"/>
        <v>1.7428216497280095E-2</v>
      </c>
      <c r="L179" s="49">
        <f t="shared" si="45"/>
        <v>1.7428216497280095E-2</v>
      </c>
      <c r="M179" s="49">
        <f t="shared" si="45"/>
        <v>1.7428216497280095E-2</v>
      </c>
      <c r="N179" s="195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5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-0.11348883819764255</v>
      </c>
      <c r="H206" s="48">
        <f t="shared" ref="H206:K209" si="49">LN(H152/H184)</f>
        <v>-0.11903958731720404</v>
      </c>
      <c r="I206" s="48">
        <f t="shared" si="49"/>
        <v>-0.12456958731720424</v>
      </c>
      <c r="J206" s="48">
        <f t="shared" si="49"/>
        <v>-0.15458665356387866</v>
      </c>
      <c r="K206" s="48">
        <f t="shared" si="49"/>
        <v>-0.98565615059419465</v>
      </c>
      <c r="L206" s="48">
        <f t="shared" ref="L206:M206" si="50">LN(L152/L184)</f>
        <v>-0.98565615059419465</v>
      </c>
      <c r="M206" s="48">
        <f t="shared" si="50"/>
        <v>-0.98565615059419465</v>
      </c>
      <c r="N206" s="196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-3.9290750539712094</v>
      </c>
      <c r="H207" s="48">
        <f t="shared" si="49"/>
        <v>-3.9501455255405409</v>
      </c>
      <c r="I207" s="48">
        <f t="shared" si="49"/>
        <v>-3.9601679221510939</v>
      </c>
      <c r="J207" s="48">
        <f t="shared" si="49"/>
        <v>-3.9701860226009904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6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-3.6602293644396093</v>
      </c>
      <c r="H208" s="48">
        <f t="shared" si="49"/>
        <v>-3.6602293644396093</v>
      </c>
      <c r="I208" s="48">
        <f t="shared" si="49"/>
        <v>-3.6602293644396093</v>
      </c>
      <c r="J208" s="48">
        <f t="shared" si="49"/>
        <v>-3.6602293644396093</v>
      </c>
      <c r="K208" s="48">
        <f t="shared" si="49"/>
        <v>-3.6602293644396093</v>
      </c>
      <c r="L208" s="48">
        <f t="shared" ref="L208:M208" si="52">LN(L154/L186)</f>
        <v>-3.6602293644396093</v>
      </c>
      <c r="M208" s="48">
        <f t="shared" si="52"/>
        <v>-3.6602293644396093</v>
      </c>
      <c r="N208" s="196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-4.2069784693271934</v>
      </c>
      <c r="H209" s="48">
        <f t="shared" si="49"/>
        <v>-4.1948797531691326</v>
      </c>
      <c r="I209" s="48">
        <f t="shared" si="49"/>
        <v>-4.1224052009929304</v>
      </c>
      <c r="J209" s="48">
        <f t="shared" si="49"/>
        <v>-4.1317960902065298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6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6.4398581977253453E-3</v>
      </c>
      <c r="H210" s="48">
        <f t="shared" ref="H210:K213" si="54">H206*H206/2</f>
        <v>7.0852116743251228E-3</v>
      </c>
      <c r="I210" s="48">
        <f t="shared" si="54"/>
        <v>7.758791042189286E-3</v>
      </c>
      <c r="J210" s="48">
        <f t="shared" si="54"/>
        <v>1.1948516730039318E-2</v>
      </c>
      <c r="K210" s="48">
        <f t="shared" si="54"/>
        <v>0.48575902360208284</v>
      </c>
      <c r="L210" s="48">
        <f t="shared" ref="L210:M210" si="55">L206*L206/2</f>
        <v>0.48575902360208284</v>
      </c>
      <c r="M210" s="48">
        <f t="shared" si="55"/>
        <v>0.48575902360208284</v>
      </c>
      <c r="N210" s="196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7.7188153898694312</v>
      </c>
      <c r="H211" s="48">
        <f t="shared" si="54"/>
        <v>7.801824836473978</v>
      </c>
      <c r="I211" s="48">
        <f t="shared" si="54"/>
        <v>7.8414649858172565</v>
      </c>
      <c r="J211" s="48">
        <f t="shared" si="54"/>
        <v>7.8811885270281357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6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6.6986395001529928</v>
      </c>
      <c r="H212" s="48">
        <f t="shared" si="54"/>
        <v>6.6986395001529928</v>
      </c>
      <c r="I212" s="48">
        <f t="shared" si="54"/>
        <v>6.6986395001529928</v>
      </c>
      <c r="J212" s="48">
        <f t="shared" si="54"/>
        <v>6.6986395001529928</v>
      </c>
      <c r="K212" s="48">
        <f t="shared" si="54"/>
        <v>6.6986395001529928</v>
      </c>
      <c r="L212" s="48">
        <f t="shared" ref="L212:M212" si="57">L208*L208/2</f>
        <v>6.6986395001529928</v>
      </c>
      <c r="M212" s="48">
        <f t="shared" si="57"/>
        <v>6.6986395001529928</v>
      </c>
      <c r="N212" s="196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8.8493339206912882</v>
      </c>
      <c r="H213" s="48">
        <f t="shared" si="54"/>
        <v>8.7985080717741617</v>
      </c>
      <c r="I213" s="48">
        <f t="shared" si="54"/>
        <v>8.4971123205867816</v>
      </c>
      <c r="J213" s="48">
        <f t="shared" si="54"/>
        <v>8.5358694655229836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6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0.44590616306653225</v>
      </c>
      <c r="H214" s="48">
        <f t="shared" ref="H214:K214" si="59">H206*H207</f>
        <v>0.47022369320324608</v>
      </c>
      <c r="I214" s="48">
        <f t="shared" si="59"/>
        <v>0.49331648376919202</v>
      </c>
      <c r="J214" s="48">
        <f t="shared" si="59"/>
        <v>0.61373777125997264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6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0.41539517810714682</v>
      </c>
      <c r="H215" s="48">
        <f t="shared" ref="H215:K215" si="61">H206*H208</f>
        <v>0.43571219302920311</v>
      </c>
      <c r="I215" s="48">
        <f t="shared" si="61"/>
        <v>0.45595326141455489</v>
      </c>
      <c r="J215" s="48">
        <f t="shared" si="61"/>
        <v>0.5658226087249616</v>
      </c>
      <c r="K215" s="48">
        <f t="shared" si="61"/>
        <v>3.6077275856453808</v>
      </c>
      <c r="L215" s="48">
        <f t="shared" ref="L215:M215" si="62">L206*L208</f>
        <v>3.6077275856453808</v>
      </c>
      <c r="M215" s="48">
        <f t="shared" si="62"/>
        <v>3.6077275856453808</v>
      </c>
      <c r="N215" s="196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0.47744509880643976</v>
      </c>
      <c r="H216" s="48">
        <f t="shared" ref="H216:K216" si="63">H206*H209</f>
        <v>0.49935675466254831</v>
      </c>
      <c r="I216" s="48">
        <f t="shared" si="63"/>
        <v>0.51352631464198573</v>
      </c>
      <c r="J216" s="48">
        <f t="shared" si="63"/>
        <v>0.63872053079334512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6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14.381315887632564</v>
      </c>
      <c r="H217" s="48">
        <f t="shared" ref="H217:K217" si="65">H207*H208</f>
        <v>14.458438646393221</v>
      </c>
      <c r="I217" s="48">
        <f t="shared" si="65"/>
        <v>14.495122916769226</v>
      </c>
      <c r="J217" s="48">
        <f t="shared" si="65"/>
        <v>14.531791462211844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6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16.529534156427459</v>
      </c>
      <c r="H218" s="48">
        <f t="shared" ref="H218:K218" si="67">H207*H209</f>
        <v>16.570385487161658</v>
      </c>
      <c r="I218" s="48">
        <f t="shared" si="67"/>
        <v>16.325416839081036</v>
      </c>
      <c r="J218" s="48">
        <f t="shared" si="67"/>
        <v>16.403999085575386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6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15.398506128996594</v>
      </c>
      <c r="H219" s="48">
        <f t="shared" ref="H219:K219" si="69">H208*H209</f>
        <v>15.354222052842839</v>
      </c>
      <c r="I219" s="48">
        <f t="shared" si="69"/>
        <v>15.088948568792894</v>
      </c>
      <c r="J219" s="48">
        <f t="shared" si="69"/>
        <v>15.12332137725071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6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-4.6098815791498957</v>
      </c>
      <c r="H220" s="48">
        <f t="shared" ref="H220:K220" si="71">LN(H156/H198)</f>
        <v>-4.6101276118734891</v>
      </c>
      <c r="I220" s="48">
        <f t="shared" si="71"/>
        <v>-4.6103429401730738</v>
      </c>
      <c r="J220" s="48">
        <f t="shared" si="71"/>
        <v>-4.6105329742440393</v>
      </c>
      <c r="K220" s="48">
        <f t="shared" si="71"/>
        <v>-4.6676913880839876</v>
      </c>
      <c r="L220" s="48">
        <f t="shared" ref="L220:M220" si="72">LN(L156/L198)</f>
        <v>-4.7248498019239369</v>
      </c>
      <c r="M220" s="48">
        <f t="shared" si="72"/>
        <v>-4.7820082157638852</v>
      </c>
      <c r="N220" s="196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-0.40771081603615272</v>
      </c>
      <c r="H221" s="31">
        <f t="shared" ref="H221:K221" si="73">H157/H199</f>
        <v>0</v>
      </c>
      <c r="I221" s="31">
        <f t="shared" si="73"/>
        <v>0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6"/>
      <c r="O222" s="114">
        <v>220</v>
      </c>
      <c r="P222" s="114">
        <v>0</v>
      </c>
      <c r="Q222" s="221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12.814736982825067</v>
      </c>
      <c r="H226" s="50">
        <f t="shared" ref="H226:K241" si="78">H162*H205</f>
        <v>12.814736982825067</v>
      </c>
      <c r="I226" s="50">
        <f t="shared" si="78"/>
        <v>12.814736982825067</v>
      </c>
      <c r="J226" s="50">
        <f t="shared" si="78"/>
        <v>12.814736982825067</v>
      </c>
      <c r="K226" s="50">
        <f t="shared" si="78"/>
        <v>12.814736982825067</v>
      </c>
      <c r="L226" s="50">
        <f t="shared" ref="L226:M226" si="79">L162*L205</f>
        <v>12.814736982825067</v>
      </c>
      <c r="M226" s="50">
        <f t="shared" si="79"/>
        <v>12.814736982825067</v>
      </c>
      <c r="N226" s="197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-7.1118673456611672E-2</v>
      </c>
      <c r="H227" s="50">
        <f t="shared" si="78"/>
        <v>-7.45970940690968E-2</v>
      </c>
      <c r="I227" s="50">
        <f t="shared" si="78"/>
        <v>-7.8062512082541988E-2</v>
      </c>
      <c r="J227" s="50">
        <f t="shared" si="78"/>
        <v>-9.6872942838780562E-2</v>
      </c>
      <c r="K227" s="50">
        <f t="shared" si="78"/>
        <v>-0.61766918251935654</v>
      </c>
      <c r="L227" s="50">
        <f t="shared" ref="L227:M227" si="80">L163*L206</f>
        <v>-0.61766918251935654</v>
      </c>
      <c r="M227" s="50">
        <f t="shared" si="80"/>
        <v>-0.61766918251935654</v>
      </c>
      <c r="N227" s="197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-1.749407534919148</v>
      </c>
      <c r="H228" s="50">
        <f t="shared" si="78"/>
        <v>-1.7587890919577269</v>
      </c>
      <c r="I228" s="50">
        <f t="shared" si="78"/>
        <v>-1.763251530548898</v>
      </c>
      <c r="J228" s="50">
        <f t="shared" si="78"/>
        <v>-1.767712056288897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7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-0.56797994881407321</v>
      </c>
      <c r="H229" s="50">
        <f t="shared" si="78"/>
        <v>-0.56797994881407321</v>
      </c>
      <c r="I229" s="50">
        <f t="shared" si="78"/>
        <v>-0.56797994881407321</v>
      </c>
      <c r="J229" s="50">
        <f t="shared" si="78"/>
        <v>-0.56797994881407321</v>
      </c>
      <c r="K229" s="50">
        <f t="shared" si="78"/>
        <v>-0.56797994881407321</v>
      </c>
      <c r="L229" s="50">
        <f t="shared" ref="L229:M229" si="82">L165*L208</f>
        <v>-0.56797994881407321</v>
      </c>
      <c r="M229" s="50">
        <f t="shared" si="82"/>
        <v>-0.56797994881407321</v>
      </c>
      <c r="N229" s="197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-0.45758594231276006</v>
      </c>
      <c r="H230" s="50">
        <f t="shared" si="78"/>
        <v>-0.45626998539158137</v>
      </c>
      <c r="I230" s="50">
        <f t="shared" si="78"/>
        <v>-0.44838705076450058</v>
      </c>
      <c r="J230" s="50">
        <f t="shared" si="78"/>
        <v>-0.44940848192258465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7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7.7905221000763251E-4</v>
      </c>
      <c r="H231" s="50">
        <f t="shared" si="78"/>
        <v>8.571228812467522E-4</v>
      </c>
      <c r="I231" s="50">
        <f t="shared" si="78"/>
        <v>9.3860813744936098E-4</v>
      </c>
      <c r="J231" s="50">
        <f t="shared" si="78"/>
        <v>1.4454539337742265E-3</v>
      </c>
      <c r="K231" s="50">
        <f t="shared" si="78"/>
        <v>5.8763971076571234E-2</v>
      </c>
      <c r="L231" s="50">
        <f t="shared" ref="L231:M231" si="84">L167*L210</f>
        <v>5.8763971076571234E-2</v>
      </c>
      <c r="M231" s="50">
        <f t="shared" si="84"/>
        <v>5.8763971076571234E-2</v>
      </c>
      <c r="N231" s="197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-3.1989764830865721</v>
      </c>
      <c r="H232" s="50">
        <f t="shared" si="78"/>
        <v>-3.2333788174020799</v>
      </c>
      <c r="I232" s="50">
        <f t="shared" si="78"/>
        <v>-3.249807232791003</v>
      </c>
      <c r="J232" s="50">
        <f t="shared" si="78"/>
        <v>-3.2662702090043352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7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1.1931318830775903</v>
      </c>
      <c r="H233" s="50">
        <f t="shared" si="78"/>
        <v>1.1931318830775903</v>
      </c>
      <c r="I233" s="50">
        <f t="shared" si="78"/>
        <v>1.1931318830775903</v>
      </c>
      <c r="J233" s="50">
        <f t="shared" si="78"/>
        <v>1.1931318830775903</v>
      </c>
      <c r="K233" s="50">
        <f t="shared" si="78"/>
        <v>1.1931318830775903</v>
      </c>
      <c r="L233" s="50">
        <f t="shared" ref="L233:M233" si="86">L169*L212</f>
        <v>1.1931318830775903</v>
      </c>
      <c r="M233" s="50">
        <f t="shared" si="86"/>
        <v>1.1931318830775903</v>
      </c>
      <c r="N233" s="197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1.542686593522125</v>
      </c>
      <c r="H234" s="50">
        <f t="shared" si="78"/>
        <v>1.5338262254501847</v>
      </c>
      <c r="I234" s="50">
        <f t="shared" si="78"/>
        <v>1.4812845100094163</v>
      </c>
      <c r="J234" s="50">
        <f t="shared" si="78"/>
        <v>1.4880409651767903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7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2.3445815145539159E-2</v>
      </c>
      <c r="H235" s="50">
        <f t="shared" si="78"/>
        <v>2.472443464803839E-2</v>
      </c>
      <c r="I235" s="50">
        <f t="shared" si="78"/>
        <v>2.5938657154137804E-2</v>
      </c>
      <c r="J235" s="50">
        <f t="shared" si="78"/>
        <v>3.2270427109233502E-2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7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4.3552828171027277E-3</v>
      </c>
      <c r="H236" s="50">
        <f t="shared" si="78"/>
        <v>4.5683000851125827E-3</v>
      </c>
      <c r="I236" s="50">
        <f t="shared" si="78"/>
        <v>4.7805210784814204E-3</v>
      </c>
      <c r="J236" s="50">
        <f t="shared" si="78"/>
        <v>5.9324653129999034E-3</v>
      </c>
      <c r="K236" s="50">
        <f t="shared" si="78"/>
        <v>3.7825845822639564E-2</v>
      </c>
      <c r="L236" s="50">
        <f t="shared" ref="L236:M236" si="89">L172*L215</f>
        <v>3.7825845822639564E-2</v>
      </c>
      <c r="M236" s="50">
        <f t="shared" si="89"/>
        <v>3.7825845822639564E-2</v>
      </c>
      <c r="N236" s="197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-4.4931470203265117E-4</v>
      </c>
      <c r="H237" s="50">
        <f t="shared" si="78"/>
        <v>-4.6993535380317176E-4</v>
      </c>
      <c r="I237" s="50">
        <f t="shared" si="78"/>
        <v>-4.8327006314673919E-4</v>
      </c>
      <c r="J237" s="50">
        <f t="shared" si="78"/>
        <v>-6.0108801136085264E-4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7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2.4435908237959207</v>
      </c>
      <c r="H238" s="50">
        <f t="shared" si="78"/>
        <v>2.4566950812286801</v>
      </c>
      <c r="I238" s="50">
        <f t="shared" si="78"/>
        <v>2.4629282623345583</v>
      </c>
      <c r="J238" s="50">
        <f t="shared" si="78"/>
        <v>2.4691587715498229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7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1.1740636268233293</v>
      </c>
      <c r="H239" s="50">
        <f t="shared" si="78"/>
        <v>1.1769652247188578</v>
      </c>
      <c r="I239" s="50">
        <f t="shared" si="78"/>
        <v>1.159565534158812</v>
      </c>
      <c r="J239" s="50">
        <f t="shared" si="78"/>
        <v>1.1651470923836218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7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-3.2722338315849733</v>
      </c>
      <c r="H240" s="50">
        <f t="shared" si="78"/>
        <v>-3.2628233179301502</v>
      </c>
      <c r="I240" s="50">
        <f t="shared" si="78"/>
        <v>-3.2064518191718343</v>
      </c>
      <c r="J240" s="50">
        <f t="shared" si="78"/>
        <v>-3.2137561554353669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7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-1.3218438663415277</v>
      </c>
      <c r="H241" s="50">
        <f t="shared" si="78"/>
        <v>-1.3219144141074557</v>
      </c>
      <c r="I241" s="50">
        <f t="shared" si="78"/>
        <v>-1.321976157644067</v>
      </c>
      <c r="J241" s="50">
        <f t="shared" si="78"/>
        <v>-1.3220306482783248</v>
      </c>
      <c r="K241" s="50">
        <f t="shared" si="78"/>
        <v>-1.3384203314940224</v>
      </c>
      <c r="L241" s="50">
        <f t="shared" ref="L241:M241" si="94">L177*L220</f>
        <v>-1.3548100147097202</v>
      </c>
      <c r="M241" s="50">
        <f t="shared" si="94"/>
        <v>-1.3711996979254177</v>
      </c>
      <c r="N241" s="197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-6.6852542609998405E-3</v>
      </c>
      <c r="H242" s="50">
        <f t="shared" ref="H242:K243" si="95">H178*H221</f>
        <v>0</v>
      </c>
      <c r="I242" s="50">
        <f t="shared" si="95"/>
        <v>0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7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0.17428216497280097</v>
      </c>
      <c r="H243" s="50">
        <f t="shared" si="95"/>
        <v>0.19171038147008104</v>
      </c>
      <c r="I243" s="50">
        <f t="shared" si="95"/>
        <v>0.20913859796736115</v>
      </c>
      <c r="J243" s="50">
        <f t="shared" si="95"/>
        <v>0.22656681446464125</v>
      </c>
      <c r="K243" s="50">
        <f t="shared" si="95"/>
        <v>0.24399503096192132</v>
      </c>
      <c r="L243" s="50">
        <f t="shared" ref="L243:M243" si="97">L179*L222</f>
        <v>0.24399503096192132</v>
      </c>
      <c r="M243" s="50">
        <f t="shared" si="97"/>
        <v>0.26142324745920142</v>
      </c>
      <c r="N243" s="197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8.7247913757107884</v>
      </c>
      <c r="H245" s="44">
        <f t="shared" ref="H245:K245" si="98">SUM(H226:H243)</f>
        <v>8.7209930313588906</v>
      </c>
      <c r="I245" s="44">
        <f t="shared" si="98"/>
        <v>8.7160440348628079</v>
      </c>
      <c r="J245" s="44">
        <f t="shared" si="98"/>
        <v>8.7117993252398183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3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6153.5927407028366</v>
      </c>
      <c r="H246" s="8">
        <f t="shared" ref="H246:K246" si="100">EXP(H245)</f>
        <v>6130.2636105554302</v>
      </c>
      <c r="I246" s="8">
        <f t="shared" si="100"/>
        <v>6099.9999066785731</v>
      </c>
      <c r="J246" s="8">
        <f t="shared" si="100"/>
        <v>6074.1620542594346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121.48225782618636</v>
      </c>
      <c r="H247" s="21">
        <f t="shared" ref="H247:K247" si="102">H137</f>
        <v>123.64298083954563</v>
      </c>
      <c r="I247" s="21">
        <f t="shared" si="102"/>
        <v>125.84213517632614</v>
      </c>
      <c r="J247" s="21">
        <f t="shared" si="102"/>
        <v>128.08040438856614</v>
      </c>
      <c r="K247" s="21">
        <f t="shared" si="102"/>
        <v>128.08040438856614</v>
      </c>
      <c r="L247" s="21">
        <f t="shared" ref="L247:M247" si="103">L137</f>
        <v>128.08040438856614</v>
      </c>
      <c r="M247" s="21">
        <f t="shared" si="103"/>
        <v>128.08040438856614</v>
      </c>
      <c r="N247" s="188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747552.33988341072</v>
      </c>
      <c r="H248" s="8">
        <f t="shared" ref="H248:K248" si="104">H246*H247</f>
        <v>757964.06614126882</v>
      </c>
      <c r="I248" s="8">
        <f t="shared" si="104"/>
        <v>767637.0128318218</v>
      </c>
      <c r="J248" s="8">
        <f t="shared" si="104"/>
        <v>777981.13223123201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32" t="s">
        <v>151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922404.10909796855</v>
      </c>
      <c r="H256" s="60">
        <f t="shared" ref="H256:K256" si="107">H121</f>
        <v>888710.35433681577</v>
      </c>
      <c r="I256" s="60">
        <f t="shared" si="107"/>
        <v>1021402.0928630596</v>
      </c>
      <c r="J256" s="60">
        <f t="shared" si="107"/>
        <v>1028299.5458386366</v>
      </c>
      <c r="K256" s="60">
        <f t="shared" si="107"/>
        <v>93020.054966165</v>
      </c>
      <c r="L256" s="60">
        <f t="shared" ref="L256:M256" si="108">L121</f>
        <v>88750.434443218022</v>
      </c>
      <c r="M256" s="60">
        <f t="shared" si="108"/>
        <v>84676.789502274318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747552.33988341072</v>
      </c>
      <c r="H257" s="60">
        <f t="shared" ref="H257:K257" si="110">H248</f>
        <v>757964.06614126882</v>
      </c>
      <c r="I257" s="60">
        <f t="shared" si="110"/>
        <v>767637.0128318218</v>
      </c>
      <c r="J257" s="60">
        <f t="shared" si="110"/>
        <v>777981.13223123201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174851.76921455783</v>
      </c>
      <c r="H258" s="25">
        <f t="shared" ref="H258:K258" si="113">H256-H257</f>
        <v>130746.28819554695</v>
      </c>
      <c r="I258" s="25">
        <f t="shared" si="113"/>
        <v>253765.0800312378</v>
      </c>
      <c r="J258" s="25">
        <f t="shared" si="113"/>
        <v>250318.41360740457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9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0.23389903273104323</v>
      </c>
      <c r="H259" s="61">
        <f t="shared" ref="H259:K259" si="116">H258/H257</f>
        <v>0.17249668425729636</v>
      </c>
      <c r="I259" s="61">
        <f t="shared" si="116"/>
        <v>0.33057952624652048</v>
      </c>
      <c r="J259" s="61">
        <f t="shared" si="116"/>
        <v>0.32175383596964247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0.21017910101009249</v>
      </c>
      <c r="H261" s="64">
        <f t="shared" ref="H261:K261" si="118">LN(H256/H257)</f>
        <v>0.15913539340875196</v>
      </c>
      <c r="I261" s="64">
        <f t="shared" si="118"/>
        <v>0.28561458134910234</v>
      </c>
      <c r="J261" s="64">
        <f t="shared" si="118"/>
        <v>0.27895951831921884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1">
        <v>0.1185744297966774</v>
      </c>
      <c r="S261" s="181">
        <v>2.0582024902304496E-2</v>
      </c>
      <c r="T261" s="181">
        <v>-4.3633329541489248E-2</v>
      </c>
      <c r="U261" s="181">
        <v>-0.11131026593277424</v>
      </c>
      <c r="V261" s="181">
        <v>-9.8981010167422667E-2</v>
      </c>
      <c r="W261" s="181">
        <v>0.135325906277316</v>
      </c>
      <c r="X261" s="181">
        <v>4.2686784785720385E-3</v>
      </c>
      <c r="Y261" s="181">
        <v>0.21017910101009249</v>
      </c>
      <c r="Z261" s="181">
        <v>-0.1317651130903405</v>
      </c>
      <c r="AA261" s="181">
        <v>-0.38188091724152129</v>
      </c>
      <c r="AB261" s="181">
        <v>-0.39445143950061579</v>
      </c>
      <c r="AC261" s="181">
        <v>-6.8456850667005117E-2</v>
      </c>
      <c r="AD261" s="181">
        <v>-0.15709734392501937</v>
      </c>
      <c r="AE261" s="181">
        <v>9.6056461718184813E-2</v>
      </c>
      <c r="AF261" s="181">
        <v>6.7827698772099765E-2</v>
      </c>
      <c r="AG261" s="181">
        <v>-0.20854398605540175</v>
      </c>
      <c r="AH261" s="181">
        <v>-0.14315834076282447</v>
      </c>
      <c r="AI261" s="181">
        <v>0.13430049909877317</v>
      </c>
      <c r="AJ261" s="181">
        <v>6.8351028518996521E-2</v>
      </c>
      <c r="AK261" s="181">
        <v>9.6186157822484408E-2</v>
      </c>
      <c r="AL261" s="181">
        <v>-0.12955609529149836</v>
      </c>
      <c r="AM261" s="181">
        <v>-5.1016220642006262E-2</v>
      </c>
      <c r="AN261" s="181">
        <v>-0.27549199300053506</v>
      </c>
      <c r="AO261" s="181">
        <v>-0.21270883613216501</v>
      </c>
      <c r="AP261" s="181">
        <v>-3.9085931772991384E-2</v>
      </c>
      <c r="AQ261" s="181">
        <v>-0.19571721019911756</v>
      </c>
      <c r="AR261" s="181">
        <v>-0.66367582201788655</v>
      </c>
      <c r="AS261" s="181">
        <v>-2.891504618128066E-2</v>
      </c>
      <c r="AT261" s="181">
        <v>0.15563569706944919</v>
      </c>
      <c r="AU261" s="181">
        <v>0.15701098319323117</v>
      </c>
      <c r="AV261" s="181">
        <v>9.0521491614362168E-2</v>
      </c>
      <c r="AW261" s="181">
        <v>-0.12471065641265065</v>
      </c>
      <c r="AX261" s="181">
        <v>-2.8906023782322442E-2</v>
      </c>
      <c r="AY261" s="181">
        <v>-0.20354044009622529</v>
      </c>
      <c r="AZ261" s="181">
        <v>-0.1880645293297267</v>
      </c>
      <c r="BA261" s="181">
        <v>-0.11645010935552043</v>
      </c>
      <c r="BB261" s="181">
        <v>-8.0204653560004641E-2</v>
      </c>
      <c r="BC261" s="181">
        <v>0.11801121008352268</v>
      </c>
      <c r="BD261" s="181">
        <v>-5.9523642853244862E-3</v>
      </c>
      <c r="BE261" s="181">
        <v>-0.16667811693305193</v>
      </c>
      <c r="BF261" s="181">
        <v>3.4886150338008036E-2</v>
      </c>
      <c r="BG261" s="181">
        <v>-6.4084655441337193E-2</v>
      </c>
      <c r="BH261" s="181">
        <v>3.2388891794771085E-2</v>
      </c>
      <c r="BI261" s="181">
        <v>-0.38539494116598616</v>
      </c>
      <c r="BJ261" s="181">
        <v>4.4954594754340917E-2</v>
      </c>
      <c r="BK261" s="181">
        <v>-0.10230562681159319</v>
      </c>
      <c r="BL261" s="181">
        <v>-2.5041568319419859E-2</v>
      </c>
      <c r="BM261" s="181">
        <v>-0.15442994850460851</v>
      </c>
      <c r="BN261" s="181">
        <v>-9.781187694611447E-2</v>
      </c>
      <c r="BO261" s="181">
        <v>0.12603300772274295</v>
      </c>
      <c r="BP261" s="181">
        <v>8.2410953679071419E-2</v>
      </c>
      <c r="BQ261" s="181">
        <v>0.14018840917828337</v>
      </c>
      <c r="BR261" s="181">
        <v>0.10565803820530219</v>
      </c>
      <c r="BS261" s="181">
        <v>-8.0797555879495192E-2</v>
      </c>
      <c r="BT261" s="181">
        <v>-3.4155539993055276E-2</v>
      </c>
      <c r="BU261" s="181">
        <v>-7.6951059193004906E-2</v>
      </c>
      <c r="BV261" s="181">
        <v>0.12161062310123466</v>
      </c>
      <c r="BW261" s="181">
        <v>1.5897035873183286E-2</v>
      </c>
      <c r="BX261" s="181">
        <v>0.52337019654760064</v>
      </c>
      <c r="BY261" s="181">
        <v>-1.5919700255961594E-2</v>
      </c>
      <c r="BZ261" s="181">
        <v>-0.4494394170458989</v>
      </c>
      <c r="CA261" s="181">
        <v>0.12896285740062066</v>
      </c>
      <c r="CB261" s="181">
        <v>-0.17370220580672927</v>
      </c>
      <c r="CC261" s="181">
        <v>0.16157123794359185</v>
      </c>
      <c r="CD261" s="181">
        <v>0.3488934290832868</v>
      </c>
      <c r="CE261" s="181">
        <v>-2.6780322903377264E-2</v>
      </c>
      <c r="CF261" s="181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1">
        <v>0.1185744297966774</v>
      </c>
      <c r="S262" s="181">
        <v>2.0582024902304496E-2</v>
      </c>
      <c r="T262" s="181">
        <v>-4.3633329541489248E-2</v>
      </c>
      <c r="U262" s="181">
        <v>-0.11131026593277424</v>
      </c>
      <c r="V262" s="181">
        <v>-9.8981010167422667E-2</v>
      </c>
      <c r="W262" s="181">
        <v>0.135325906277316</v>
      </c>
      <c r="X262" s="181">
        <v>4.2686784785720385E-3</v>
      </c>
      <c r="Y262" s="181">
        <v>0.21017910101009249</v>
      </c>
      <c r="Z262" s="181">
        <v>-0.1317651130903405</v>
      </c>
      <c r="AA262" s="181">
        <v>-0.38188091724152129</v>
      </c>
      <c r="AB262" s="181">
        <v>-0.39445143950061579</v>
      </c>
      <c r="AC262" s="181">
        <v>-6.8456850667005117E-2</v>
      </c>
      <c r="AD262" s="181">
        <v>-0.15709734392501937</v>
      </c>
      <c r="AE262" s="181">
        <v>9.6056461718184813E-2</v>
      </c>
      <c r="AF262" s="181">
        <v>6.7827698772099765E-2</v>
      </c>
      <c r="AG262" s="181">
        <v>-0.20854398605540175</v>
      </c>
      <c r="AH262" s="181">
        <v>-0.14315834076282447</v>
      </c>
      <c r="AI262" s="181">
        <v>0.13430049909877317</v>
      </c>
      <c r="AJ262" s="181">
        <v>6.8351028518996521E-2</v>
      </c>
      <c r="AK262" s="181">
        <v>9.6186157822484408E-2</v>
      </c>
      <c r="AL262" s="181">
        <v>-0.12955609529149836</v>
      </c>
      <c r="AM262" s="181">
        <v>-5.1016220642006262E-2</v>
      </c>
      <c r="AN262" s="181">
        <v>-0.27549199300053506</v>
      </c>
      <c r="AO262" s="181">
        <v>-0.21270883613216501</v>
      </c>
      <c r="AP262" s="181">
        <v>-3.9085931772991384E-2</v>
      </c>
      <c r="AQ262" s="181">
        <v>-0.19571721019911756</v>
      </c>
      <c r="AR262" s="181">
        <v>-0.66367582201788655</v>
      </c>
      <c r="AS262" s="181">
        <v>-2.891504618128066E-2</v>
      </c>
      <c r="AT262" s="181">
        <v>0.15563569706944919</v>
      </c>
      <c r="AU262" s="181">
        <v>0.15701098319323137</v>
      </c>
      <c r="AV262" s="181">
        <v>9.0521491614362168E-2</v>
      </c>
      <c r="AW262" s="181">
        <v>-0.12471065641265065</v>
      </c>
      <c r="AX262" s="181">
        <v>-2.8906023782322442E-2</v>
      </c>
      <c r="AY262" s="181">
        <v>-0.20354044009622529</v>
      </c>
      <c r="AZ262" s="181">
        <v>-0.1880645293297267</v>
      </c>
      <c r="BA262" s="181">
        <v>-0.11645010935552043</v>
      </c>
      <c r="BB262" s="181">
        <v>-8.0204653560004641E-2</v>
      </c>
      <c r="BC262" s="181">
        <v>0.11801121008352268</v>
      </c>
      <c r="BD262" s="181">
        <v>-5.9523642853244862E-3</v>
      </c>
      <c r="BE262" s="181">
        <v>-0.16667811693305193</v>
      </c>
      <c r="BF262" s="181">
        <v>3.4886150338008036E-2</v>
      </c>
      <c r="BG262" s="181">
        <v>-6.4084655441337193E-2</v>
      </c>
      <c r="BH262" s="181">
        <v>3.2388891794771085E-2</v>
      </c>
      <c r="BI262" s="181">
        <v>-0.38539494116598599</v>
      </c>
      <c r="BJ262" s="181">
        <v>4.4954594754340917E-2</v>
      </c>
      <c r="BK262" s="181">
        <v>-0.10230562681159319</v>
      </c>
      <c r="BL262" s="181">
        <v>-2.5041568319419859E-2</v>
      </c>
      <c r="BM262" s="181">
        <v>-0.15442994850460851</v>
      </c>
      <c r="BN262" s="181">
        <v>-9.781187694611447E-2</v>
      </c>
      <c r="BO262" s="181">
        <v>0.12603300772274295</v>
      </c>
      <c r="BP262" s="181">
        <v>8.2410953679071419E-2</v>
      </c>
      <c r="BQ262" s="181">
        <v>0.14018840917828337</v>
      </c>
      <c r="BR262" s="181">
        <v>0.10565803820530219</v>
      </c>
      <c r="BS262" s="181">
        <v>-8.0797555879495192E-2</v>
      </c>
      <c r="BT262" s="181">
        <v>-3.4155539993055276E-2</v>
      </c>
      <c r="BU262" s="181">
        <v>-7.6951059193004906E-2</v>
      </c>
      <c r="BV262" s="181">
        <v>0.12161062310123466</v>
      </c>
      <c r="BW262" s="181">
        <v>1.5897035873183286E-2</v>
      </c>
      <c r="BX262" s="181">
        <v>0.52337019654760064</v>
      </c>
      <c r="BY262" s="181">
        <v>-1.5919700255961594E-2</v>
      </c>
      <c r="BZ262" s="181">
        <v>-0.4494394170458989</v>
      </c>
      <c r="CA262" s="181">
        <v>0.12896285740062066</v>
      </c>
      <c r="CB262" s="181">
        <v>-0.17370220580672927</v>
      </c>
      <c r="CC262" s="181">
        <v>0.16157123794359185</v>
      </c>
      <c r="CD262" s="181">
        <v>0.3488934290832868</v>
      </c>
      <c r="CE262" s="181">
        <v>-2.6780322903377264E-2</v>
      </c>
      <c r="CF262" s="181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7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G12" sqref="G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9.28515625" bestFit="1" customWidth="1"/>
    <col min="13" max="13" width="10.28515625" customWidth="1"/>
  </cols>
  <sheetData>
    <row r="2" spans="3:17" ht="23.25" x14ac:dyDescent="0.35">
      <c r="C2" s="228" t="s">
        <v>168</v>
      </c>
      <c r="D2" s="228"/>
      <c r="E2" s="228"/>
      <c r="F2" s="228"/>
      <c r="G2" s="228"/>
      <c r="H2" s="228"/>
      <c r="I2" s="228"/>
      <c r="J2" s="228"/>
      <c r="K2" s="228"/>
    </row>
    <row r="3" spans="3:17" s="92" customFormat="1" ht="23.25" customHeight="1" x14ac:dyDescent="0.25">
      <c r="C3" s="238" t="str">
        <f>'Model Inputs'!F5</f>
        <v>Chapleau Public Utilities Corporation</v>
      </c>
      <c r="D3" s="238"/>
      <c r="E3" s="238"/>
      <c r="F3" s="238"/>
      <c r="G3" s="238"/>
      <c r="H3" s="238"/>
      <c r="I3" s="238"/>
      <c r="J3" s="238"/>
      <c r="K3" s="238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>
        <v>2015</v>
      </c>
      <c r="N6" s="2"/>
    </row>
    <row r="7" spans="3:17" x14ac:dyDescent="0.2">
      <c r="F7" s="14" t="s">
        <v>185</v>
      </c>
      <c r="G7" s="226" t="s">
        <v>185</v>
      </c>
      <c r="H7" s="226" t="s">
        <v>186</v>
      </c>
      <c r="I7" s="226" t="s">
        <v>187</v>
      </c>
      <c r="J7" s="26"/>
      <c r="K7" s="26"/>
      <c r="L7" s="26"/>
      <c r="M7" s="26" t="s">
        <v>185</v>
      </c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922404.10909796855</v>
      </c>
      <c r="G10" s="86">
        <f>'Benchmarking Calculations'!H121</f>
        <v>888710.35433681577</v>
      </c>
      <c r="H10" s="86">
        <f>'Benchmarking Calculations'!I121</f>
        <v>1021402.0928630596</v>
      </c>
      <c r="I10" s="91">
        <f>IF(ISNUMBER(I12),'Benchmarking Calculations'!J121,"na")</f>
        <v>1028299.5458386366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>
        <v>902761</v>
      </c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747552.33988341072</v>
      </c>
      <c r="G12" s="86">
        <f>'Benchmarking Calculations'!H257</f>
        <v>757964.06614126882</v>
      </c>
      <c r="H12" s="86">
        <f>'Benchmarking Calculations'!I257</f>
        <v>767637.0128318218</v>
      </c>
      <c r="I12" s="91">
        <f>IF(ISNUMBER('Benchmarking Calculations'!J257),'Benchmarking Calculations'!J257,"na")</f>
        <v>777981.13223123201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>
        <v>711003</v>
      </c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174851.76921455783</v>
      </c>
      <c r="G14" s="86">
        <f t="shared" si="0"/>
        <v>130746.28819554695</v>
      </c>
      <c r="H14" s="86">
        <f t="shared" si="0"/>
        <v>253765.0800312378</v>
      </c>
      <c r="I14" s="91">
        <f>IF(ISNUMBER(I12),I10-I12,"na")</f>
        <v>250318.41360740457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>
        <v>191758</v>
      </c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2">
        <f>LN(F10/F12)</f>
        <v>0.21017910101009249</v>
      </c>
      <c r="G16" s="222">
        <f t="shared" ref="G16:H16" si="2">LN(G10/G12)</f>
        <v>0.15913539340875196</v>
      </c>
      <c r="H16" s="222">
        <f t="shared" si="2"/>
        <v>0.28561458134910234</v>
      </c>
      <c r="I16" s="147">
        <f>IF(ISNUMBER(I14),LN(I10/I12),"na")</f>
        <v>0.27895951831921884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25">
        <v>0.23899999999999999</v>
      </c>
      <c r="N16" s="26"/>
      <c r="O16" s="26"/>
    </row>
    <row r="17" spans="4:15" ht="18.75" customHeight="1" x14ac:dyDescent="0.2">
      <c r="F17" s="166"/>
      <c r="G17" s="166"/>
      <c r="H17" s="166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7"/>
      <c r="G18" s="167"/>
      <c r="H18" s="167">
        <f>AVERAGE(F16:H16)</f>
        <v>0.21830969192264893</v>
      </c>
      <c r="I18" s="66">
        <f>IF(ISNUMBER(I16),AVERAGE(G16:I16),"na")</f>
        <v>0.24123649769235769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1" spans="4:15" x14ac:dyDescent="0.2">
      <c r="M21" s="92"/>
    </row>
    <row r="22" spans="4:15" ht="15" x14ac:dyDescent="0.25">
      <c r="E22" t="s">
        <v>182</v>
      </c>
      <c r="F22" s="148">
        <f>IF(F16&lt;-0.25,1,IF(F16&lt;-0.1,2,IF(F16&lt;0.1,3,IF(F16&lt;0.25,4,5))))</f>
        <v>4</v>
      </c>
      <c r="G22" s="148">
        <f t="shared" ref="G22" si="5">IF(G16&lt;-0.25,1,IF(G16&lt;-0.1,2,IF(G16&lt;0.1,3,IF(G16&lt;0.25,4,5))))</f>
        <v>4</v>
      </c>
      <c r="H22" s="148">
        <f>IF($H$16&lt;-0.25,1,IF($H$16&lt;-0.1,2,IF($H$16&lt;0.1,3,IF($H$16&lt;0.25,4,5))))</f>
        <v>5</v>
      </c>
      <c r="I22" s="148">
        <f>IF(ISNUMBER(I16),IF(I16&lt;-0.25,1,IF(I16&lt;-0.1,2,IF(I16&lt;0.1,3,IF(I16&lt;0.25,4,5)))),"na")</f>
        <v>5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  <c r="M22" s="92">
        <v>4</v>
      </c>
    </row>
    <row r="23" spans="4:15" x14ac:dyDescent="0.2">
      <c r="M23" s="92"/>
    </row>
    <row r="24" spans="4:15" ht="15" x14ac:dyDescent="0.25">
      <c r="E24" t="s">
        <v>155</v>
      </c>
      <c r="H24" s="148">
        <f>IF($H$18&lt;-0.25,1,IF($H$18&lt;-0.1,2,IF($H$18&lt;0.1,3,IF($H$18&lt;0.25,4,5))))</f>
        <v>4</v>
      </c>
      <c r="M24" s="92"/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2016-07-25T18:30:34Z</cp:lastPrinted>
  <dcterms:created xsi:type="dcterms:W3CDTF">2016-07-20T15:58:10Z</dcterms:created>
  <dcterms:modified xsi:type="dcterms:W3CDTF">2018-08-26T14:07:12Z</dcterms:modified>
</cp:coreProperties>
</file>