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codeName="ThisWorkbook" defaultThemeVersion="124226"/>
  <mc:AlternateContent xmlns:mc="http://schemas.openxmlformats.org/markup-compatibility/2006">
    <mc:Choice Requires="x15">
      <x15ac:absPath xmlns:x15ac="http://schemas.microsoft.com/office/spreadsheetml/2010/11/ac" url="T:\5. TESI UTILITIES\CPUC\CPUC 2019 CoS\Models\"/>
    </mc:Choice>
  </mc:AlternateContent>
  <xr:revisionPtr revIDLastSave="0" documentId="13_ncr:1_{FBF9FE14-80B5-4CA5-8E34-30882868E7F5}" xr6:coauthVersionLast="34" xr6:coauthVersionMax="34" xr10:uidLastSave="{00000000-0000-0000-0000-000000000000}"/>
  <bookViews>
    <workbookView xWindow="0" yWindow="0" windowWidth="43170" windowHeight="798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87" i="43" l="1"/>
  <c r="I87" i="43"/>
  <c r="X513" i="46" l="1"/>
  <c r="W513" i="46"/>
  <c r="V513" i="46"/>
  <c r="U513" i="46"/>
  <c r="T513" i="46"/>
  <c r="S513" i="46"/>
  <c r="R513" i="46"/>
  <c r="Q513" i="46"/>
  <c r="P513" i="46"/>
  <c r="M513" i="46"/>
  <c r="L513" i="46"/>
  <c r="K513" i="46"/>
  <c r="J513" i="46"/>
  <c r="I513" i="46"/>
  <c r="H513" i="46"/>
  <c r="G513" i="46"/>
  <c r="F513" i="46"/>
  <c r="E513" i="46"/>
  <c r="X384" i="46"/>
  <c r="W384" i="46"/>
  <c r="V384" i="46"/>
  <c r="U384" i="46"/>
  <c r="T384" i="46"/>
  <c r="S384" i="46"/>
  <c r="R384" i="46"/>
  <c r="Q384" i="46"/>
  <c r="P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X127" i="46"/>
  <c r="W127" i="46"/>
  <c r="V127" i="46"/>
  <c r="U127" i="46"/>
  <c r="T127" i="46"/>
  <c r="S127" i="46"/>
  <c r="R127" i="46"/>
  <c r="Q127" i="46"/>
  <c r="P127" i="46"/>
  <c r="O127" i="46"/>
  <c r="E127" i="46"/>
  <c r="F127" i="46"/>
  <c r="G127" i="46"/>
  <c r="H127" i="46"/>
  <c r="I127" i="46"/>
  <c r="J127" i="46"/>
  <c r="K127" i="46"/>
  <c r="L127" i="46"/>
  <c r="M127" i="46"/>
  <c r="N184" i="79" l="1"/>
  <c r="D22" i="45" l="1"/>
  <c r="O927" i="79" l="1"/>
  <c r="AM139" i="79" l="1"/>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95" i="45" l="1"/>
  <c r="O46" i="44"/>
  <c r="C109" i="45"/>
  <c r="Q46" i="44"/>
  <c r="C102" i="45"/>
  <c r="P46" i="44"/>
  <c r="L53" i="44"/>
  <c r="L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G53" i="44"/>
  <c r="G50" i="44"/>
  <c r="G46" i="44"/>
  <c r="H53" i="44"/>
  <c r="H50" i="44"/>
  <c r="H46" i="44"/>
  <c r="J53" i="44"/>
  <c r="J46" i="44"/>
  <c r="E50" i="44"/>
  <c r="E44" i="44"/>
  <c r="E46" i="44"/>
  <c r="F50" i="44"/>
  <c r="F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51" i="44"/>
  <c r="I52" i="44"/>
  <c r="I48" i="44"/>
  <c r="I51" i="44"/>
  <c r="I47" i="44"/>
  <c r="I49" i="44"/>
  <c r="J45" i="44"/>
  <c r="J44"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s="1"/>
  <c r="AD140" i="46" l="1"/>
  <c r="AD143" i="46"/>
  <c r="AD142" i="46"/>
  <c r="AD135" i="46"/>
  <c r="AD139" i="46"/>
  <c r="AD137" i="46"/>
  <c r="AD136" i="46"/>
  <c r="AD127" i="46"/>
  <c r="AD138" i="46"/>
  <c r="AD141"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Y1111"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AK564" i="79" l="1"/>
  <c r="AK573" i="79" s="1"/>
  <c r="P73"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1" i="46"/>
  <c r="Y390" i="46"/>
  <c r="Y199" i="79"/>
  <c r="Y203" i="79"/>
  <c r="Z262" i="46"/>
  <c r="E58" i="43" s="1"/>
  <c r="Z260" i="46"/>
  <c r="Z259" i="46"/>
  <c r="Z392" i="46"/>
  <c r="E61" i="43" s="1"/>
  <c r="Z390" i="46"/>
  <c r="Z388" i="46"/>
  <c r="AC131" i="46"/>
  <c r="H54" i="43" s="1"/>
  <c r="AA131" i="46"/>
  <c r="F54" i="43" s="1"/>
  <c r="AB131" i="46"/>
  <c r="G54" i="43" s="1"/>
  <c r="Z131" i="46"/>
  <c r="Z132" i="46"/>
  <c r="E55" i="43" s="1"/>
  <c r="I54" i="43"/>
  <c r="AB570" i="79" l="1"/>
  <c r="AB569" i="79"/>
  <c r="AB201" i="79"/>
  <c r="AB202" i="79"/>
  <c r="AA199" i="79"/>
  <c r="AA202" i="79"/>
  <c r="AA203" i="79"/>
  <c r="AD569" i="79"/>
  <c r="AD573" i="79"/>
  <c r="I73" i="43" s="1"/>
  <c r="Z202" i="79"/>
  <c r="Z203" i="79"/>
  <c r="AJ570" i="79"/>
  <c r="AJ573" i="79"/>
  <c r="O73" i="43" s="1"/>
  <c r="Y567" i="79"/>
  <c r="Y570" i="79"/>
  <c r="Y571" i="79"/>
  <c r="Z568" i="79"/>
  <c r="Z570" i="79"/>
  <c r="Y521" i="46"/>
  <c r="V21" i="47"/>
  <c r="AM259" i="46"/>
  <c r="Z1125" i="79"/>
  <c r="E82" i="43" s="1"/>
  <c r="AM131" i="46"/>
  <c r="C93" i="43" s="1"/>
  <c r="AM518" i="46"/>
  <c r="D76" i="43"/>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E54" i="43"/>
  <c r="AD572" i="79" l="1"/>
  <c r="I72" i="43" s="1"/>
  <c r="AJ572" i="79"/>
  <c r="O72" i="43" s="1"/>
  <c r="AM521" i="46"/>
  <c r="U31" i="47"/>
  <c r="AM383" i="79"/>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AM565" i="79"/>
  <c r="AM937" i="79"/>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E57" i="43"/>
  <c r="K27" i="47"/>
  <c r="U83" i="47" l="1"/>
  <c r="Q82" i="47"/>
  <c r="P83" i="47"/>
  <c r="R63" i="43"/>
  <c r="AM391" i="46"/>
  <c r="U63" i="47"/>
  <c r="U71" i="47"/>
  <c r="AM204" i="79"/>
  <c r="AM1124" i="79"/>
  <c r="AM1126" i="79" s="1"/>
  <c r="U48" i="47"/>
  <c r="U50" i="47"/>
  <c r="AM756" i="79"/>
  <c r="AM758" i="79" s="1"/>
  <c r="U61" i="47"/>
  <c r="U65" i="47"/>
  <c r="U49" i="47"/>
  <c r="U56" i="47"/>
  <c r="U68" i="47"/>
  <c r="U70" i="47"/>
  <c r="U45" i="47"/>
  <c r="U46" i="47"/>
  <c r="U60" i="47"/>
  <c r="U66" i="47"/>
  <c r="U69" i="47"/>
  <c r="U52" i="47"/>
  <c r="AM572" i="79"/>
  <c r="AM388" i="79"/>
  <c r="U62" i="47"/>
  <c r="U64" i="47"/>
  <c r="U54" i="47"/>
  <c r="U55" i="47"/>
  <c r="U67" i="47"/>
  <c r="U53" i="47"/>
  <c r="U51" i="47"/>
  <c r="AM940" i="79"/>
  <c r="AM942" i="79" s="1"/>
  <c r="M82" i="47"/>
  <c r="N84" i="47"/>
  <c r="L103" i="43"/>
  <c r="F103" i="43"/>
  <c r="H103" i="43"/>
  <c r="M95" i="43"/>
  <c r="M94" i="43"/>
  <c r="L85" i="47"/>
  <c r="M99" i="43"/>
  <c r="L77" i="47"/>
  <c r="L82" i="47"/>
  <c r="L86" i="47"/>
  <c r="L75" i="47"/>
  <c r="M100" i="43"/>
  <c r="L98" i="47"/>
  <c r="I103" i="43"/>
  <c r="L79" i="47"/>
  <c r="G103" i="43"/>
  <c r="J103" i="43"/>
  <c r="L83" i="47"/>
  <c r="L78" i="47"/>
  <c r="K103" i="43"/>
  <c r="L76" i="47"/>
  <c r="M97" i="43"/>
  <c r="L80" i="47"/>
  <c r="E103" i="43"/>
  <c r="M101" i="43"/>
  <c r="M93" i="43"/>
  <c r="L84"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S57" i="47"/>
  <c r="S59" i="47" s="1"/>
  <c r="S72" i="47" s="1"/>
  <c r="S74" i="47" s="1"/>
  <c r="T57" i="47"/>
  <c r="T59" i="47" s="1"/>
  <c r="T72" i="47" s="1"/>
  <c r="T74" i="47" s="1"/>
  <c r="V42" i="47"/>
  <c r="V44" i="47" s="1"/>
  <c r="V57" i="47" s="1"/>
  <c r="V59" i="47" s="1"/>
  <c r="V72" i="47" s="1"/>
  <c r="V74" i="47" s="1"/>
  <c r="U42" i="47"/>
  <c r="U44" i="47" s="1"/>
  <c r="R57" i="43"/>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O27" i="47"/>
  <c r="O29" i="47" s="1"/>
  <c r="J27" i="47"/>
  <c r="J29" i="47" s="1"/>
  <c r="M27" i="47"/>
  <c r="M29" i="47" s="1"/>
  <c r="L27" i="47"/>
  <c r="L29" i="47" s="1"/>
  <c r="N27" i="47"/>
  <c r="N29" i="47" s="1"/>
  <c r="K29" i="47"/>
  <c r="H19" i="43" l="1"/>
  <c r="U57" i="47"/>
  <c r="U59" i="47" s="1"/>
  <c r="U72" i="47" s="1"/>
  <c r="U74" i="47" s="1"/>
  <c r="U87" i="47" s="1"/>
  <c r="U89" i="47" s="1"/>
  <c r="U102" i="47" s="1"/>
  <c r="M103" i="43"/>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J42" i="47"/>
  <c r="J44" i="47" s="1"/>
  <c r="J57" i="47" s="1"/>
  <c r="J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M72" i="47"/>
  <c r="M74" i="47" s="1"/>
  <c r="M87" i="47" s="1"/>
  <c r="M89" i="47" s="1"/>
  <c r="M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E87"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F35" i="43"/>
  <c r="G35" i="43" s="1"/>
  <c r="F32" i="43" l="1"/>
  <c r="G32" i="43" s="1"/>
  <c r="K42" i="47"/>
  <c r="K44" i="47" l="1"/>
  <c r="K57" i="47" s="1"/>
  <c r="K59" i="47" s="1"/>
  <c r="K72" i="47" l="1"/>
  <c r="K74" i="47" s="1"/>
  <c r="K87" i="47" s="1"/>
  <c r="K89" i="47" s="1"/>
  <c r="K102" i="47" s="1"/>
  <c r="K104" i="47" l="1"/>
  <c r="K117" i="47" s="1"/>
  <c r="K119" i="47" s="1"/>
  <c r="K132" i="47" s="1"/>
  <c r="K134" i="47" s="1"/>
  <c r="K147" i="47" s="1"/>
  <c r="K149" i="47" s="1"/>
  <c r="K162" i="47" s="1"/>
  <c r="F84" i="43" s="1"/>
  <c r="F85" i="43" s="1"/>
  <c r="F87" i="43" s="1"/>
  <c r="F31" i="43" l="1"/>
  <c r="G31" i="43" l="1"/>
  <c r="C15" i="44" l="1"/>
  <c r="D18" i="44"/>
  <c r="D50" i="44" s="1"/>
  <c r="Y562" i="79" s="1"/>
  <c r="Y573" i="79" s="1"/>
  <c r="D73" i="43" l="1"/>
  <c r="R73" i="43" s="1"/>
  <c r="AM573" i="79"/>
  <c r="D49" i="44"/>
  <c r="Y379" i="79" s="1"/>
  <c r="Y389" i="79" s="1"/>
  <c r="D44" i="44"/>
  <c r="Y128" i="46" s="1"/>
  <c r="Y132" i="46" s="1"/>
  <c r="D47" i="44"/>
  <c r="Y514" i="46" s="1"/>
  <c r="Y522" i="46" s="1"/>
  <c r="D45" i="44"/>
  <c r="Y256" i="46" s="1"/>
  <c r="Y262" i="46" s="1"/>
  <c r="D46" i="44"/>
  <c r="Y385" i="46" s="1"/>
  <c r="Y392" i="46" s="1"/>
  <c r="D48" i="44"/>
  <c r="Y196" i="79" s="1"/>
  <c r="Y205" i="79" s="1"/>
  <c r="D61" i="43" l="1"/>
  <c r="R61" i="43" s="1"/>
  <c r="AM392" i="46"/>
  <c r="AM262" i="46"/>
  <c r="D58" i="43"/>
  <c r="R58" i="43" s="1"/>
  <c r="AM132" i="46"/>
  <c r="D55" i="43"/>
  <c r="AM522" i="46"/>
  <c r="D64" i="43"/>
  <c r="R64" i="43" s="1"/>
  <c r="AM574" i="79"/>
  <c r="I104" i="43"/>
  <c r="D67" i="43"/>
  <c r="R67" i="43" s="1"/>
  <c r="AM205" i="79"/>
  <c r="AM389" i="79"/>
  <c r="D70" i="43"/>
  <c r="R70" i="43" s="1"/>
  <c r="AM523" i="46" l="1"/>
  <c r="F104" i="43"/>
  <c r="I75" i="47"/>
  <c r="W75" i="47" s="1"/>
  <c r="I79" i="47"/>
  <c r="W79" i="47" s="1"/>
  <c r="I146" i="47"/>
  <c r="W146" i="47" s="1"/>
  <c r="I90" i="47"/>
  <c r="W90" i="47" s="1"/>
  <c r="I15" i="47"/>
  <c r="I63" i="47"/>
  <c r="W63" i="47" s="1"/>
  <c r="I100" i="47"/>
  <c r="W100" i="47" s="1"/>
  <c r="I22" i="47"/>
  <c r="W22" i="47" s="1"/>
  <c r="I66" i="47"/>
  <c r="W66" i="47" s="1"/>
  <c r="I47" i="47"/>
  <c r="W47" i="47" s="1"/>
  <c r="I16" i="47"/>
  <c r="W16" i="47" s="1"/>
  <c r="I48" i="47"/>
  <c r="W48" i="47" s="1"/>
  <c r="I157" i="47"/>
  <c r="W157" i="47" s="1"/>
  <c r="I95" i="47"/>
  <c r="W95" i="47" s="1"/>
  <c r="I78" i="47"/>
  <c r="W78" i="47" s="1"/>
  <c r="I19" i="47"/>
  <c r="W19" i="47" s="1"/>
  <c r="I130" i="47"/>
  <c r="W130" i="47" s="1"/>
  <c r="I80" i="47"/>
  <c r="W80" i="47" s="1"/>
  <c r="I125" i="47"/>
  <c r="W125" i="47" s="1"/>
  <c r="I135" i="47"/>
  <c r="W135" i="47" s="1"/>
  <c r="I76" i="47"/>
  <c r="W76" i="47" s="1"/>
  <c r="I150" i="47"/>
  <c r="W150" i="47" s="1"/>
  <c r="I36" i="47"/>
  <c r="W36" i="47" s="1"/>
  <c r="I51" i="47"/>
  <c r="W51" i="47" s="1"/>
  <c r="I69" i="47"/>
  <c r="W69" i="47" s="1"/>
  <c r="I113" i="47"/>
  <c r="W113" i="47" s="1"/>
  <c r="I145" i="47"/>
  <c r="W145" i="47" s="1"/>
  <c r="I45" i="47"/>
  <c r="W45" i="47" s="1"/>
  <c r="I110" i="47"/>
  <c r="W110" i="47" s="1"/>
  <c r="I70" i="47"/>
  <c r="W70" i="47" s="1"/>
  <c r="I85" i="47"/>
  <c r="W85" i="47" s="1"/>
  <c r="I126" i="47"/>
  <c r="W126" i="47" s="1"/>
  <c r="I52" i="47"/>
  <c r="W52" i="47" s="1"/>
  <c r="I18" i="47"/>
  <c r="W18" i="47" s="1"/>
  <c r="I129" i="47"/>
  <c r="W129" i="47" s="1"/>
  <c r="I142" i="47"/>
  <c r="W142" i="47" s="1"/>
  <c r="I41" i="47"/>
  <c r="W41" i="47" s="1"/>
  <c r="I143" i="47"/>
  <c r="W143" i="47" s="1"/>
  <c r="I77" i="47"/>
  <c r="W77" i="47" s="1"/>
  <c r="I101" i="47"/>
  <c r="W101" i="47" s="1"/>
  <c r="I120" i="47"/>
  <c r="W120" i="47" s="1"/>
  <c r="I112" i="47"/>
  <c r="W112" i="47" s="1"/>
  <c r="I65" i="47"/>
  <c r="W65" i="47" s="1"/>
  <c r="I24" i="47"/>
  <c r="W24" i="47" s="1"/>
  <c r="I33" i="47"/>
  <c r="W33" i="47" s="1"/>
  <c r="I131" i="47"/>
  <c r="W131" i="47" s="1"/>
  <c r="I56" i="47"/>
  <c r="W56" i="47" s="1"/>
  <c r="I62" i="47"/>
  <c r="W62" i="47" s="1"/>
  <c r="I93" i="47"/>
  <c r="W93" i="47" s="1"/>
  <c r="I84" i="47"/>
  <c r="W84" i="47" s="1"/>
  <c r="I156" i="47"/>
  <c r="W156" i="47" s="1"/>
  <c r="I122" i="47"/>
  <c r="W122" i="47" s="1"/>
  <c r="I139" i="47"/>
  <c r="W139" i="47" s="1"/>
  <c r="I160" i="47"/>
  <c r="W160" i="47" s="1"/>
  <c r="I98" i="47"/>
  <c r="W98" i="47" s="1"/>
  <c r="I141" i="47"/>
  <c r="W141" i="47" s="1"/>
  <c r="I53" i="47"/>
  <c r="W53" i="47" s="1"/>
  <c r="I23" i="47"/>
  <c r="W23" i="47" s="1"/>
  <c r="I32" i="47"/>
  <c r="W32" i="47" s="1"/>
  <c r="I54" i="47"/>
  <c r="W54" i="47" s="1"/>
  <c r="I86" i="47"/>
  <c r="W86" i="47" s="1"/>
  <c r="I67" i="47"/>
  <c r="W67" i="47" s="1"/>
  <c r="I82" i="47"/>
  <c r="W82" i="47" s="1"/>
  <c r="I140" i="47"/>
  <c r="W140" i="47" s="1"/>
  <c r="I68" i="47"/>
  <c r="W68" i="47" s="1"/>
  <c r="E29" i="43"/>
  <c r="I109" i="47"/>
  <c r="W109" i="47" s="1"/>
  <c r="I99" i="47"/>
  <c r="W99" i="47" s="1"/>
  <c r="I55" i="47"/>
  <c r="W55" i="47" s="1"/>
  <c r="I151" i="47"/>
  <c r="W151" i="47" s="1"/>
  <c r="I154" i="47"/>
  <c r="W154" i="47" s="1"/>
  <c r="I60" i="47"/>
  <c r="W60" i="47" s="1"/>
  <c r="I155" i="47"/>
  <c r="W155" i="47" s="1"/>
  <c r="I114" i="47"/>
  <c r="W114" i="47" s="1"/>
  <c r="I124" i="47"/>
  <c r="W124" i="47" s="1"/>
  <c r="I92" i="47"/>
  <c r="W92" i="47" s="1"/>
  <c r="I96" i="47"/>
  <c r="W96" i="47" s="1"/>
  <c r="I31" i="47"/>
  <c r="W31" i="47" s="1"/>
  <c r="I21" i="47"/>
  <c r="W21" i="47" s="1"/>
  <c r="I71" i="47"/>
  <c r="W71" i="47" s="1"/>
  <c r="I91" i="47"/>
  <c r="W91" i="47" s="1"/>
  <c r="I94" i="47"/>
  <c r="W94" i="47" s="1"/>
  <c r="I128" i="47"/>
  <c r="W128" i="47" s="1"/>
  <c r="I137" i="47"/>
  <c r="W137" i="47" s="1"/>
  <c r="I127" i="47"/>
  <c r="W127" i="47" s="1"/>
  <c r="I115" i="47"/>
  <c r="W115" i="47" s="1"/>
  <c r="I26" i="47"/>
  <c r="W26" i="47" s="1"/>
  <c r="I152" i="47"/>
  <c r="W152" i="47" s="1"/>
  <c r="I34" i="47"/>
  <c r="W34" i="47" s="1"/>
  <c r="I83" i="47"/>
  <c r="W83" i="47" s="1"/>
  <c r="I17" i="47"/>
  <c r="W17" i="47" s="1"/>
  <c r="I159" i="47"/>
  <c r="W159" i="47" s="1"/>
  <c r="I61" i="47"/>
  <c r="W61" i="47" s="1"/>
  <c r="I158" i="47"/>
  <c r="W158" i="47" s="1"/>
  <c r="I40" i="47"/>
  <c r="W40" i="47" s="1"/>
  <c r="R55" i="43"/>
  <c r="I97" i="47"/>
  <c r="W97" i="47" s="1"/>
  <c r="I35" i="47"/>
  <c r="W35" i="47" s="1"/>
  <c r="I46" i="47"/>
  <c r="W46" i="47" s="1"/>
  <c r="I25" i="47"/>
  <c r="W25" i="47" s="1"/>
  <c r="I136" i="47"/>
  <c r="W136" i="47" s="1"/>
  <c r="I50" i="47"/>
  <c r="W50" i="47" s="1"/>
  <c r="I20" i="47"/>
  <c r="W20" i="47" s="1"/>
  <c r="I121" i="47"/>
  <c r="W121" i="47" s="1"/>
  <c r="I38" i="47"/>
  <c r="W38" i="47" s="1"/>
  <c r="I105" i="47"/>
  <c r="W105" i="47" s="1"/>
  <c r="I39" i="47"/>
  <c r="W39" i="47" s="1"/>
  <c r="I64" i="47"/>
  <c r="W64" i="47" s="1"/>
  <c r="I107" i="47"/>
  <c r="W107" i="47" s="1"/>
  <c r="I111" i="47"/>
  <c r="W111" i="47" s="1"/>
  <c r="I108" i="47"/>
  <c r="W108" i="47" s="1"/>
  <c r="I144" i="47"/>
  <c r="W144" i="47" s="1"/>
  <c r="I123" i="47"/>
  <c r="W123" i="47" s="1"/>
  <c r="I106" i="47"/>
  <c r="W106" i="47" s="1"/>
  <c r="I30" i="47"/>
  <c r="W30" i="47" s="1"/>
  <c r="I81" i="47"/>
  <c r="W81" i="47" s="1"/>
  <c r="I37" i="47"/>
  <c r="W37" i="47" s="1"/>
  <c r="I116" i="47"/>
  <c r="W116" i="47" s="1"/>
  <c r="I49" i="47"/>
  <c r="W49" i="47" s="1"/>
  <c r="I153" i="47"/>
  <c r="W153" i="47" s="1"/>
  <c r="I138" i="47"/>
  <c r="W138" i="47" s="1"/>
  <c r="I161" i="47"/>
  <c r="W161" i="47" s="1"/>
  <c r="D104" i="43"/>
  <c r="AM263" i="46"/>
  <c r="AM393" i="46"/>
  <c r="E104" i="43"/>
  <c r="AM206" i="79"/>
  <c r="G104" i="43"/>
  <c r="AM133" i="46"/>
  <c r="C104" i="43"/>
  <c r="AM390" i="79"/>
  <c r="H104" i="43"/>
  <c r="E43" i="43" l="1"/>
  <c r="I27" i="47"/>
  <c r="I29" i="47" s="1"/>
  <c r="I42" i="47" s="1"/>
  <c r="I44" i="47" s="1"/>
  <c r="I57" i="47" s="1"/>
  <c r="I59" i="47" s="1"/>
  <c r="I72" i="47" s="1"/>
  <c r="I74" i="47" s="1"/>
  <c r="I87" i="47" s="1"/>
  <c r="I89" i="47" s="1"/>
  <c r="I102" i="47" s="1"/>
  <c r="I104" i="47" s="1"/>
  <c r="I117" i="47" s="1"/>
  <c r="I119" i="47" s="1"/>
  <c r="I132" i="47" s="1"/>
  <c r="I134" i="47" s="1"/>
  <c r="I147" i="47" s="1"/>
  <c r="I149" i="47" s="1"/>
  <c r="I162" i="47" s="1"/>
  <c r="D84" i="43" s="1"/>
  <c r="W15" i="47"/>
  <c r="W27" i="47" s="1"/>
  <c r="H20" i="43"/>
  <c r="M104" i="43"/>
  <c r="C105" i="43" l="1"/>
  <c r="W29" i="47"/>
  <c r="W42" i="47" s="1"/>
  <c r="R84" i="43"/>
  <c r="F29" i="43"/>
  <c r="D85" i="43"/>
  <c r="D87" i="43" s="1"/>
  <c r="H21" i="43" l="1"/>
  <c r="H22" i="43" s="1"/>
  <c r="R85" i="43"/>
  <c r="F43" i="43"/>
  <c r="G29" i="43"/>
  <c r="G43" i="43" s="1"/>
  <c r="C106" i="43"/>
  <c r="W44" i="47"/>
  <c r="W57" i="47" s="1"/>
  <c r="D105" i="43"/>
  <c r="D106" i="43" s="1"/>
  <c r="W59" i="47" l="1"/>
  <c r="W72" i="47" s="1"/>
  <c r="E105" i="43"/>
  <c r="E106" i="43" s="1"/>
  <c r="F105" i="43" l="1"/>
  <c r="F106" i="43" s="1"/>
  <c r="W74" i="47"/>
  <c r="W87" i="47" s="1"/>
  <c r="G105" i="43" l="1"/>
  <c r="W89" i="47"/>
  <c r="W102" i="47" s="1"/>
  <c r="H105" i="43" l="1"/>
  <c r="H106" i="43" s="1"/>
  <c r="W104" i="47"/>
  <c r="W117" i="47" s="1"/>
  <c r="G106" i="43"/>
  <c r="W119" i="47" l="1"/>
  <c r="W132" i="47" s="1"/>
  <c r="I105" i="43"/>
  <c r="I106" i="43" l="1"/>
  <c r="W134" i="47"/>
  <c r="W147" i="47" s="1"/>
  <c r="J105" i="43"/>
  <c r="J106" i="43" s="1"/>
  <c r="K105" i="43" l="1"/>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<sst xmlns="http://schemas.openxmlformats.org/spreadsheetml/2006/main" count="2931" uniqueCount="705">
  <si>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</si>
  <si>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</si>
  <si>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</si>
  <si>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</si>
  <si>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</si>
  <si>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</si>
  <si>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</si>
  <si>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</si>
  <si>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</si>
  <si>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</si>
  <si>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</si>
  <si>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</si>
  <si>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</si>
  <si>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</si>
  <si>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</si>
  <si>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</si>
  <si>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</si>
  <si>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</si>
  <si>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</si>
  <si>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</si>
  <si>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</si>
  <si>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</si>
  <si>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</si>
  <si>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</si>
  <si>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</si>
  <si>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</si>
  <si>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</si>
  <si>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</si>
  <si>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</si>
  <si>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</si>
  <si>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</si>
  <si>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</si>
  <si>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</si>
  <si>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</si>
  <si>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</si>
  <si>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</si>
  <si>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</si>
  <si>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</si>
  <si>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</si>
  <si>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</si>
  <si>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</si>
  <si>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</si>
  <si>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</si>
  <si>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</si>
  <si>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</si>
  <si>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</si>
  <si>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</si>
  <si>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</si>
  <si>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</si>
  <si>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</si>
  <si>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</si>
  <si>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</si>
  <si>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</si>
  <si>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</si>
  <si>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</si>
  <si>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</si>
  <si>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</si>
  <si>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</si>
  <si>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</si>
  <si>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</si>
  <si>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</si>
  <si>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</si>
  <si>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</si>
  <si>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</si>
  <si>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</si>
  <si>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</si>
  <si>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</si>
  <si>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</si>
  <si>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</si>
  <si>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</si>
  <si>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</si>
  <si>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</si>
  <si>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</si>
  <si>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</si>
  <si>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</si>
  <si>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</si>
  <si>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</si>
  <si>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</si>
  <si>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</si>
  <si>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</si>
  <si>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</si>
  <si>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</si>
  <si>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</si>
  <si>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</si>
  <si>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</si>
  <si>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</si>
  <si>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</si>
  <si>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</si>
  <si>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</si>
  <si>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</si>
  <si>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</si>
  <si>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</si>
  <si>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</si>
  <si>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</si>
  <si>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</si>
  <si>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</si>
  <si>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</si>
  <si>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</si>
  <si>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</si>
  <si>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</si>
  <si>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</si>
  <si>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</si>
  <si>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</si>
  <si>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</si>
  <si>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</si>
  <si>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</si>
  <si>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</si>
  <si>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</si>
  <si>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</si>
  <si>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</si>
  <si>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</si>
  <si>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</si>
  <si>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</si>
  <si>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</si>
  <si>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</si>
  <si>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</si>
  <si>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</si>
  <si>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</si>
  <si>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</si>
  <si>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</si>
  <si>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</si>
  <si>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</si>
  <si>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</si>
  <si>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</si>
  <si>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</si>
  <si>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</si>
  <si>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</si>
  <si>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</si>
  <si>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</si>
  <si>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</si>
  <si>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</si>
  <si>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</si>
  <si>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</si>
  <si>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</si>
  <si>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</si>
  <si>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</si>
  <si>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</si>
  <si>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</si>
  <si>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</si>
  <si>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</si>
  <si>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</si>
  <si>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</si>
  <si>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</si>
  <si>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</si>
  <si>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</si>
  <si>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</si>
  <si>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</si>
  <si>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</si>
  <si>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</si>
  <si>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</si>
  <si>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</si>
  <si>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</si>
  <si>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</si>
  <si>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</si>
  <si>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</si>
  <si>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</si>
  <si>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</si>
  <si>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</si>
  <si>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</si>
  <si>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</si>
  <si>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</si>
  <si>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</si>
  <si>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</si>
  <si>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</si>
  <si>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</si>
  <si>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</si>
  <si>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</si>
  <si>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</si>
  <si>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</si>
  <si>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</si>
  <si>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</si>
  <si>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</si>
  <si>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</si>
  <si>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</si>
  <si>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</si>
  <si>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</si>
  <si>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</si>
  <si>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</si>
  <si>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</si>
  <si>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</si>
  <si>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</si>
  <si>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</si>
  <si>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</si>
  <si>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</si>
  <si>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</si>
  <si>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</si>
  <si>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</si>
  <si>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</si>
  <si>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</si>
  <si>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</si>
  <si>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</si>
  <si>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</si>
  <si>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</si>
  <si>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</si>
  <si>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</si>
  <si>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</si>
  <si>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</si>
  <si>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</si>
  <si>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</si>
  <si>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</si>
  <si>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</si>
  <si>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</si>
  <si>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</si>
  <si>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</si>
  <si>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</si>
  <si>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</si>
  <si>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</si>
  <si>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</si>
  <si>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</si>
  <si>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</si>
  <si>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</si>
  <si>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</si>
  <si>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</si>
  <si>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</si>
  <si>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</si>
  <si>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</si>
  <si>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</si>
  <si>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</si>
  <si>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</si>
  <si>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</si>
  <si>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</si>
  <si>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</si>
  <si>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</si>
  <si>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</si>
  <si>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</si>
  <si>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</si>
  <si>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</si>
  <si>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</si>
  <si>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</si>
  <si>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</si>
  <si>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</si>
  <si>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</si>
  <si>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</si>
  <si>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</si>
  <si>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</si>
  <si>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</si>
  <si>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</si>
  <si>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</si>
  <si>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</si>
  <si>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</si>
  <si>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</si>
  <si>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</si>
  <si>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</si>
  <si>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</si>
  <si>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</si>
  <si>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</si>
  <si>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</si>
  <si>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</si>
  <si>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</si>
  <si>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</si>
  <si>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</si>
  <si>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</si>
  <si>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</si>
  <si>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</si>
  <si>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</si>
  <si>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</si>
  <si>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</si>
  <si>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</si>
  <si>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</si>
  <si>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</si>
  <si>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</si>
  <si>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</si>
  <si>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</si>
  <si>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</si>
  <si>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</si>
  <si>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</si>
  <si>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</si>
  <si>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</si>
  <si>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</si>
  <si>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</si>
  <si>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</si>
  <si>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</si>
  <si>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</si>
  <si>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</si>
  <si>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</si>
  <si>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</si>
  <si>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</si>
  <si>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</si>
  <si>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</si>
  <si>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</si>
  <si>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</si>
  <si>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</si>
  <si>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</si>
  <si>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</si>
  <si>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</si>
  <si>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</si>
  <si>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</si>
  <si>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</si>
  <si>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</si>
  <si>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</si>
  <si>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</si>
  <si>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</si>
  <si>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</si>
  <si>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</si>
  <si>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</si>
  <si>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</si>
  <si>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</si>
  <si>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</si>
  <si>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</si>
  <si>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</si>
  <si>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</si>
  <si>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</si>
  <si>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</si>
  <si>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</si>
  <si>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</si>
  <si>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</si>
  <si>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</si>
  <si>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</si>
  <si>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</si>
  <si>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</si>
  <si>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</si>
  <si>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</si>
  <si>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</si>
  <si>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</si>
  <si>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</si>
  <si>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</si>
  <si>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</si>
  <si>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</si>
  <si>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</si>
  <si>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</si>
  <si>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</si>
  <si>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</si>
  <si>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</si>
  <si>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</si>
  <si>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</si>
  <si>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</si>
  <si>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</si>
  <si>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</si>
  <si>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</si>
  <si>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</si>
  <si>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</si>
  <si>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</si>
  <si>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</si>
  <si>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</si>
  <si>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</si>
  <si>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</si>
  <si>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</si>
  <si>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</si>
  <si>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</si>
  <si>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</si>
  <si>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</si>
  <si>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</si>
  <si>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</si>
  <si>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</si>
  <si>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</si>
  <si>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</si>
  <si>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</si>
  <si>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</si>
  <si>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</si>
  <si>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</si>
  <si>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</si>
  <si>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</si>
  <si>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</si>
  <si>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</si>
  <si>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</si>
  <si>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</si>
  <si>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</si>
  <si>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</si>
  <si>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</si>
  <si>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</si>
  <si>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</si>
  <si>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</si>
  <si>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</si>
  <si>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</si>
  <si>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</si>
  <si>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</si>
  <si>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</si>
  <si>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</si>
  <si>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</si>
  <si>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</si>
  <si>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</si>
  <si>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</si>
  <si>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</si>
  <si>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</si>
  <si>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</si>
  <si>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</si>
  <si>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</si>
  <si>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</si>
  <si>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</si>
  <si>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</si>
  <si>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</si>
  <si>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</si>
  <si>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</si>
  <si>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</si>
  <si>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</si>
  <si>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</si>
  <si>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</si>
  <si>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</si>
  <si>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</si>
  <si>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</si>
  <si>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</si>
  <si>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</si>
  <si>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</si>
  <si>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</si>
  <si>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</si>
  <si>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</si>
  <si>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</si>
  <si>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</si>
  <si>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</si>
  <si>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</si>
  <si>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</si>
  <si>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</si>
  <si>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</si>
  <si>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</si>
  <si>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</si>
  <si>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</si>
  <si>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</si>
  <si>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</si>
  <si>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</si>
  <si>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</si>
  <si>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</si>
  <si>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</si>
  <si>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</si>
  <si>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</si>
  <si>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</si>
  <si>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</si>
  <si>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</si>
  <si>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</si>
  <si>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</si>
  <si>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</si>
  <si>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</si>
  <si>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</si>
  <si>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</si>
  <si>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</si>
  <si>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</si>
  <si>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</si>
  <si>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</si>
  <si>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</si>
  <si>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</si>
  <si>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</si>
  <si>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</si>
  <si>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</si>
  <si>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</si>
  <si>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</si>
  <si>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</si>
  <si>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</si>
  <si>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</si>
  <si>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</si>
  <si>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</si>
  <si>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</si>
  <si>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</si>
  <si>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</si>
  <si>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</si>
  <si>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</si>
  <si>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</si>
  <si>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</si>
  <si>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</si>
  <si>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</si>
  <si>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</si>
  <si>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</si>
  <si>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</si>
  <si>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</si>
  <si>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</si>
  <si>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</si>
  <si>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</si>
  <si>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</si>
  <si>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</si>
  <si>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</si>
  <si>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</si>
  <si>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</si>
  <si>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</si>
  <si>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</si>
  <si>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</si>
  <si>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</si>
  <si>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</si>
  <si>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</si>
  <si>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</si>
  <si>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</si>
  <si>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</si>
  <si>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</si>
  <si>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</si>
  <si>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</si>
  <si>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</si>
  <si>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</si>
  <si>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</si>
  <si>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</si>
  <si>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</si>
  <si>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</si>
  <si>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</si>
  <si>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</si>
  <si>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</si>
  <si>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</si>
  <si>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</si>
  <si>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</si>
  <si>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</si>
  <si>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</si>
  <si>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</si>
  <si>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</si>
  <si>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</si>
  <si>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</si>
  <si>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</si>
  <si>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</si>
  <si>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</si>
  <si>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</si>
  <si>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</si>
  <si>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</si>
  <si>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</si>
  <si>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</si>
  <si>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</si>
  <si>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</si>
  <si>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</si>
  <si>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</si>
  <si>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</si>
  <si>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</si>
  <si>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</si>
  <si>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</si>
  <si>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</si>
  <si>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</si>
  <si>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</si>
  <si>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</si>
  <si>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</si>
  <si>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</si>
  <si>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</si>
  <si>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</si>
  <si>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</si>
  <si>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</si>
  <si>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</si>
  <si>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</si>
  <si>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</si>
  <si>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</si>
  <si>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</si>
  <si>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</si>
  <si>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</si>
  <si>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</si>
  <si>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</si>
  <si>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</si>
  <si>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</si>
  <si>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</si>
  <si>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</si>
  <si>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</si>
  <si>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</si>
  <si>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</si>
  <si>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</si>
  <si>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</si>
  <si>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</si>
  <si>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</si>
  <si>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</si>
  <si>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</si>
  <si>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</si>
  <si>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</si>
  <si>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</si>
  <si>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</si>
  <si>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</si>
  <si>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</si>
  <si>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</si>
  <si>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</si>
  <si>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</si>
  <si>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</si>
  <si>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</si>
  <si>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</si>
  <si>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</si>
  <si>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</si>
  <si>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</si>
  <si>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</si>
  <si>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</si>
  <si>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</si>
  <si>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</si>
  <si>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</si>
  <si>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</si>
  <si>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</si>
  <si>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</si>
  <si>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</si>
  <si>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</si>
  <si>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</si>
  <si>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</si>
  <si>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</si>
  <si>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</si>
  <si>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</si>
  <si>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</si>
  <si>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</si>
  <si>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</si>
  <si>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</si>
  <si>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</si>
  <si>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</si>
  <si>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</si>
  <si>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</si>
  <si>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</si>
  <si>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</si>
  <si>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</si>
  <si>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</si>
  <si>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</si>
  <si>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</si>
  <si>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</si>
  <si>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</si>
  <si>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</si>
  <si>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</si>
  <si>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</si>
  <si>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</si>
  <si>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</si>
  <si>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</si>
  <si>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</si>
  <si>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</si>
  <si>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</si>
  <si>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</si>
  <si>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</si>
  <si>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</si>
  <si>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</si>
  <si>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</si>
  <si>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</si>
  <si>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</si>
  <si>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</si>
  <si>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</si>
  <si>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</si>
  <si>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</si>
  <si>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</si>
  <si>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</si>
  <si>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</si>
  <si>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</si>
  <si>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</si>
  <si>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</si>
  <si>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</si>
  <si>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</si>
  <si>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</si>
  <si>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</si>
  <si>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</si>
  <si>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</si>
  <si>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</si>
  <si>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</si>
  <si>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</si>
  <si>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</si>
  <si>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</si>
  <si>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</si>
  <si>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</si>
  <si>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</si>
  <si>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</si>
  <si>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</si>
  <si>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</si>
  <si>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</si>
  <si>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</si>
  <si>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</si>
  <si>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</si>
  <si>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</si>
  <si>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</si>
  <si>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</si>
  <si>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</si>
  <si>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</si>
  <si>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</si>
  <si>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</si>
  <si>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</si>
  <si>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</si>
  <si>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</si>
  <si>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</si>
  <si>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</si>
  <si>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</si>
  <si>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</si>
  <si>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</si>
  <si>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</si>
  <si>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</si>
  <si>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</si>
  <si>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</si>
  <si>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</si>
  <si>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</si>
  <si>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</si>
  <si>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</si>
  <si>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</si>
  <si>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</si>
  <si>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</si>
  <si>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</si>
  <si>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</si>
  <si>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</si>
  <si>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</si>
  <si>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</si>
  <si>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</si>
  <si>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</si>
  <si>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</si>
  <si>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</si>
  <si>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</si>
  <si>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</si>
  <si>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</si>
  <si>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</si>
  <si>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</si>
  <si>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</si>
  <si>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</si>
  <si>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</si>
  <si>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</si>
  <si>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</si>
  <si>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</si>
  <si>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</si>
  <si>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</si>
  <si>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</si>
  <si>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</si>
  <si>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</si>
  <si>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</si>
  <si>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</si>
  <si>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</si>
  <si>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</si>
  <si>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</si>
  <si>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</si>
  <si>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</si>
  <si>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</si>
  <si>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</si>
  <si>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</si>
  <si>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</si>
  <si>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</si>
  <si>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</si>
  <si>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</si>
  <si>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 50kW to 4999 kW</t>
  </si>
  <si>
    <t>Unmettered Scattered Load</t>
  </si>
  <si>
    <t>Sentinel Lighiting</t>
  </si>
  <si>
    <t xml:space="preserve">-  </t>
  </si>
  <si>
    <t>Save on Energy Instant Discount Program</t>
  </si>
  <si>
    <t>Whole Home Pilot Program</t>
  </si>
  <si>
    <t>2012 VECC IRR LRAM Attachement B</t>
  </si>
  <si>
    <t xml:space="preserve"> </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</si>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</sst>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91" fillId="94" borderId="0" xfId="0" applyFont="1" applyFill="1" applyBorder="1" applyAlignment="1" applyProtection="1">
      <alignment vertical="top" wrapText="1"/>
      <protection locked="0"/>
    </xf>
    <xf numFmtId="0" fontId="91" fillId="2" borderId="0"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Border="1" applyAlignment="1">
      <alignment horizontal="center" vertical="center"/>
    </xf>
    <xf numFmtId="169"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18355467"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5" t="s">
        <v>174</v>
      </c>
      <c r="C3" s="745"/>
    </row>
    <row r="4" spans="1:3" ht="11.25" customHeight="1"/>
    <row r="5" spans="1:3" s="30" customFormat="1" ht="25.5" customHeight="1">
      <c r="B5" s="60" t="s">
        <v>421</v>
      </c>
      <c r="C5" s="60" t="s">
        <v>173</v>
      </c>
    </row>
    <row r="6" spans="1:3" s="176" customFormat="1" ht="48" customHeight="1">
      <c r="A6" s="241"/>
      <c r="B6" s="617" t="s">
        <v>170</v>
      </c>
      <c r="C6" s="670" t="s">
        <v>611</v>
      </c>
    </row>
    <row r="7" spans="1:3" s="176" customFormat="1" ht="21" customHeight="1">
      <c r="A7" s="241"/>
      <c r="B7" s="611" t="s">
        <v>555</v>
      </c>
      <c r="C7" s="671" t="s">
        <v>624</v>
      </c>
    </row>
    <row r="8" spans="1:3" s="176" customFormat="1" ht="32.25" customHeight="1">
      <c r="B8" s="611" t="s">
        <v>368</v>
      </c>
      <c r="C8" s="672" t="s">
        <v>612</v>
      </c>
    </row>
    <row r="9" spans="1:3" s="176" customFormat="1" ht="27.75" customHeight="1">
      <c r="B9" s="611" t="s">
        <v>169</v>
      </c>
      <c r="C9" s="672" t="s">
        <v>613</v>
      </c>
    </row>
    <row r="10" spans="1:3" s="176" customFormat="1" ht="33" customHeight="1">
      <c r="B10" s="611" t="s">
        <v>609</v>
      </c>
      <c r="C10" s="671" t="s">
        <v>617</v>
      </c>
    </row>
    <row r="11" spans="1:3" s="176" customFormat="1" ht="26.25" customHeight="1">
      <c r="B11" s="626" t="s">
        <v>369</v>
      </c>
      <c r="C11" s="674" t="s">
        <v>614</v>
      </c>
    </row>
    <row r="12" spans="1:3" s="176" customFormat="1" ht="39.75" customHeight="1">
      <c r="B12" s="611" t="s">
        <v>370</v>
      </c>
      <c r="C12" s="672" t="s">
        <v>615</v>
      </c>
    </row>
    <row r="13" spans="1:3" s="176" customFormat="1" ht="18" customHeight="1">
      <c r="B13" s="611" t="s">
        <v>371</v>
      </c>
      <c r="C13" s="672" t="s">
        <v>616</v>
      </c>
    </row>
    <row r="14" spans="1:3" s="176" customFormat="1" ht="13.5" customHeight="1">
      <c r="B14" s="611"/>
      <c r="C14" s="673"/>
    </row>
    <row r="15" spans="1:3" s="176" customFormat="1" ht="18" customHeight="1">
      <c r="B15" s="611" t="s">
        <v>682</v>
      </c>
      <c r="C15" s="671" t="s">
        <v>680</v>
      </c>
    </row>
    <row r="16" spans="1:3" s="176" customFormat="1" ht="8.25" customHeight="1">
      <c r="B16" s="611"/>
      <c r="C16" s="673"/>
    </row>
    <row r="17" spans="2:3" s="176" customFormat="1" ht="33" customHeight="1">
      <c r="B17" s="675" t="s">
        <v>610</v>
      </c>
      <c r="C17" s="676" t="s">
        <v>681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347" zoomScale="90" zoomScaleNormal="90" zoomScaleSheetLayoutView="80" zoomScalePageLayoutView="85" workbookViewId="0">
      <selection activeCell="H269" sqref="H269"/>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795"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79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792" t="s">
        <v>554</v>
      </c>
      <c r="D5" s="79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795" t="s">
        <v>507</v>
      </c>
      <c r="C7" s="796" t="s">
        <v>643</v>
      </c>
      <c r="D7" s="796"/>
      <c r="E7" s="796"/>
      <c r="F7" s="796"/>
      <c r="G7" s="796"/>
      <c r="H7" s="796"/>
      <c r="I7" s="796"/>
      <c r="J7" s="796"/>
      <c r="K7" s="796"/>
      <c r="L7" s="796"/>
      <c r="M7" s="796"/>
      <c r="N7" s="796"/>
      <c r="O7" s="796"/>
      <c r="P7" s="796"/>
      <c r="Q7" s="796"/>
      <c r="R7" s="796"/>
      <c r="S7" s="796"/>
      <c r="T7" s="796"/>
      <c r="U7" s="796"/>
      <c r="V7" s="796"/>
      <c r="W7" s="796"/>
      <c r="X7" s="796"/>
      <c r="Y7" s="605"/>
      <c r="Z7" s="605"/>
      <c r="AA7" s="605"/>
      <c r="AB7" s="605"/>
      <c r="AC7" s="605"/>
      <c r="AD7" s="605"/>
      <c r="AE7" s="270"/>
      <c r="AF7" s="270"/>
      <c r="AG7" s="270"/>
      <c r="AH7" s="270"/>
      <c r="AI7" s="270"/>
      <c r="AJ7" s="270"/>
      <c r="AK7" s="270"/>
      <c r="AL7" s="270"/>
    </row>
    <row r="8" spans="1:39" s="271" customFormat="1" ht="58.5" customHeight="1">
      <c r="A8" s="509"/>
      <c r="B8" s="795"/>
      <c r="C8" s="796" t="s">
        <v>581</v>
      </c>
      <c r="D8" s="796"/>
      <c r="E8" s="796"/>
      <c r="F8" s="796"/>
      <c r="G8" s="796"/>
      <c r="H8" s="796"/>
      <c r="I8" s="796"/>
      <c r="J8" s="796"/>
      <c r="K8" s="796"/>
      <c r="L8" s="796"/>
      <c r="M8" s="796"/>
      <c r="N8" s="796"/>
      <c r="O8" s="796"/>
      <c r="P8" s="796"/>
      <c r="Q8" s="796"/>
      <c r="R8" s="796"/>
      <c r="S8" s="796"/>
      <c r="T8" s="796"/>
      <c r="U8" s="796"/>
      <c r="V8" s="796"/>
      <c r="W8" s="796"/>
      <c r="X8" s="796"/>
      <c r="Y8" s="605"/>
      <c r="Z8" s="605"/>
      <c r="AA8" s="605"/>
      <c r="AB8" s="605"/>
      <c r="AC8" s="605"/>
      <c r="AD8" s="605"/>
      <c r="AE8" s="272"/>
      <c r="AF8" s="255"/>
      <c r="AG8" s="255"/>
      <c r="AH8" s="255"/>
      <c r="AI8" s="255"/>
      <c r="AJ8" s="255"/>
      <c r="AK8" s="255"/>
      <c r="AL8" s="255"/>
      <c r="AM8" s="256"/>
    </row>
    <row r="9" spans="1:39" s="271" customFormat="1" ht="57.75" customHeight="1">
      <c r="A9" s="509"/>
      <c r="B9" s="273"/>
      <c r="C9" s="796" t="s">
        <v>580</v>
      </c>
      <c r="D9" s="796"/>
      <c r="E9" s="796"/>
      <c r="F9" s="796"/>
      <c r="G9" s="796"/>
      <c r="H9" s="796"/>
      <c r="I9" s="796"/>
      <c r="J9" s="796"/>
      <c r="K9" s="796"/>
      <c r="L9" s="796"/>
      <c r="M9" s="796"/>
      <c r="N9" s="796"/>
      <c r="O9" s="796"/>
      <c r="P9" s="796"/>
      <c r="Q9" s="796"/>
      <c r="R9" s="796"/>
      <c r="S9" s="796"/>
      <c r="T9" s="796"/>
      <c r="U9" s="796"/>
      <c r="V9" s="796"/>
      <c r="W9" s="796"/>
      <c r="X9" s="796"/>
      <c r="Y9" s="605"/>
      <c r="Z9" s="605"/>
      <c r="AA9" s="605"/>
      <c r="AB9" s="605"/>
      <c r="AC9" s="605"/>
      <c r="AD9" s="605"/>
      <c r="AE9" s="272"/>
      <c r="AF9" s="255"/>
      <c r="AG9" s="255"/>
      <c r="AH9" s="255"/>
      <c r="AI9" s="255"/>
      <c r="AJ9" s="255"/>
      <c r="AK9" s="255"/>
      <c r="AL9" s="255"/>
      <c r="AM9" s="256"/>
    </row>
    <row r="10" spans="1:39" ht="41.25" customHeight="1">
      <c r="B10" s="275"/>
      <c r="C10" s="796" t="s">
        <v>646</v>
      </c>
      <c r="D10" s="796"/>
      <c r="E10" s="796"/>
      <c r="F10" s="796"/>
      <c r="G10" s="796"/>
      <c r="H10" s="796"/>
      <c r="I10" s="796"/>
      <c r="J10" s="796"/>
      <c r="K10" s="796"/>
      <c r="L10" s="796"/>
      <c r="M10" s="796"/>
      <c r="N10" s="796"/>
      <c r="O10" s="796"/>
      <c r="P10" s="796"/>
      <c r="Q10" s="796"/>
      <c r="R10" s="796"/>
      <c r="S10" s="796"/>
      <c r="T10" s="796"/>
      <c r="U10" s="796"/>
      <c r="V10" s="796"/>
      <c r="W10" s="796"/>
      <c r="X10" s="796"/>
      <c r="Y10" s="605"/>
      <c r="Z10" s="605"/>
      <c r="AA10" s="605"/>
      <c r="AB10" s="605"/>
      <c r="AC10" s="605"/>
      <c r="AD10" s="605"/>
      <c r="AE10" s="272"/>
      <c r="AF10" s="276"/>
      <c r="AG10" s="276"/>
      <c r="AH10" s="276"/>
      <c r="AI10" s="276"/>
      <c r="AJ10" s="276"/>
      <c r="AK10" s="276"/>
      <c r="AL10" s="276"/>
    </row>
    <row r="11" spans="1:39" ht="53.25" customHeight="1">
      <c r="C11" s="796" t="s">
        <v>631</v>
      </c>
      <c r="D11" s="796"/>
      <c r="E11" s="796"/>
      <c r="F11" s="796"/>
      <c r="G11" s="796"/>
      <c r="H11" s="796"/>
      <c r="I11" s="796"/>
      <c r="J11" s="796"/>
      <c r="K11" s="796"/>
      <c r="L11" s="796"/>
      <c r="M11" s="796"/>
      <c r="N11" s="796"/>
      <c r="O11" s="796"/>
      <c r="P11" s="796"/>
      <c r="Q11" s="796"/>
      <c r="R11" s="796"/>
      <c r="S11" s="796"/>
      <c r="T11" s="796"/>
      <c r="U11" s="796"/>
      <c r="V11" s="796"/>
      <c r="W11" s="796"/>
      <c r="X11" s="796"/>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795" t="s">
        <v>530</v>
      </c>
      <c r="C13" s="590" t="s">
        <v>525</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795"/>
      <c r="C14" s="590" t="s">
        <v>526</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527</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528</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797" t="s">
        <v>211</v>
      </c>
      <c r="C19" s="799" t="s">
        <v>33</v>
      </c>
      <c r="D19" s="284" t="s">
        <v>423</v>
      </c>
      <c r="E19" s="801" t="s">
        <v>209</v>
      </c>
      <c r="F19" s="802"/>
      <c r="G19" s="802"/>
      <c r="H19" s="802"/>
      <c r="I19" s="802"/>
      <c r="J19" s="802"/>
      <c r="K19" s="802"/>
      <c r="L19" s="802"/>
      <c r="M19" s="803"/>
      <c r="N19" s="807" t="s">
        <v>213</v>
      </c>
      <c r="O19" s="284" t="s">
        <v>424</v>
      </c>
      <c r="P19" s="801" t="s">
        <v>212</v>
      </c>
      <c r="Q19" s="802"/>
      <c r="R19" s="802"/>
      <c r="S19" s="802"/>
      <c r="T19" s="802"/>
      <c r="U19" s="802"/>
      <c r="V19" s="802"/>
      <c r="W19" s="802"/>
      <c r="X19" s="803"/>
      <c r="Y19" s="804" t="s">
        <v>244</v>
      </c>
      <c r="Z19" s="805"/>
      <c r="AA19" s="805"/>
      <c r="AB19" s="805"/>
      <c r="AC19" s="805"/>
      <c r="AD19" s="805"/>
      <c r="AE19" s="805"/>
      <c r="AF19" s="805"/>
      <c r="AG19" s="805"/>
      <c r="AH19" s="805"/>
      <c r="AI19" s="805"/>
      <c r="AJ19" s="805"/>
      <c r="AK19" s="805"/>
      <c r="AL19" s="805"/>
      <c r="AM19" s="806"/>
    </row>
    <row r="20" spans="1:39" s="283" customFormat="1" ht="59.25" customHeight="1">
      <c r="A20" s="509"/>
      <c r="B20" s="798"/>
      <c r="C20" s="800"/>
      <c r="D20" s="285">
        <v>2011</v>
      </c>
      <c r="E20" s="285">
        <v>2012</v>
      </c>
      <c r="F20" s="285">
        <v>2013</v>
      </c>
      <c r="G20" s="285">
        <v>2014</v>
      </c>
      <c r="H20" s="285">
        <v>2015</v>
      </c>
      <c r="I20" s="285">
        <v>2016</v>
      </c>
      <c r="J20" s="285">
        <v>2017</v>
      </c>
      <c r="K20" s="285">
        <v>2018</v>
      </c>
      <c r="L20" s="285">
        <v>2019</v>
      </c>
      <c r="M20" s="285">
        <v>2020</v>
      </c>
      <c r="N20" s="80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50kW to 4999 kW</v>
      </c>
      <c r="AB20" s="286" t="str">
        <f>'1.  LRAMVA Summary'!G52</f>
        <v>Unmettered Scattered Load</v>
      </c>
      <c r="AC20" s="286" t="str">
        <f>'1.  LRAMVA Summary'!H52</f>
        <v>Sentinel Lighiting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9008.91</v>
      </c>
      <c r="E22" s="295">
        <v>9008.91</v>
      </c>
      <c r="F22" s="295">
        <v>9008.91</v>
      </c>
      <c r="G22" s="295">
        <v>9008.83</v>
      </c>
      <c r="H22" s="295">
        <v>7055.93</v>
      </c>
      <c r="I22" s="295">
        <v>0</v>
      </c>
      <c r="J22" s="295">
        <v>0</v>
      </c>
      <c r="K22" s="295">
        <v>0</v>
      </c>
      <c r="L22" s="295">
        <v>0</v>
      </c>
      <c r="M22" s="295">
        <v>0</v>
      </c>
      <c r="N22" s="291"/>
      <c r="O22" s="295">
        <v>1.1930000000000001</v>
      </c>
      <c r="P22" s="295">
        <v>1.1930000000000001</v>
      </c>
      <c r="Q22" s="295">
        <v>1.1930000000000001</v>
      </c>
      <c r="R22" s="295">
        <v>1.1930000000000001</v>
      </c>
      <c r="S22" s="295">
        <v>0.92769999999999997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1039.43</v>
      </c>
      <c r="E25" s="295">
        <v>1039.43</v>
      </c>
      <c r="F25" s="295">
        <v>1039.43</v>
      </c>
      <c r="G25" s="295">
        <v>21.56</v>
      </c>
      <c r="H25" s="295">
        <v>0</v>
      </c>
      <c r="I25" s="295">
        <v>0</v>
      </c>
      <c r="J25" s="295">
        <v>0</v>
      </c>
      <c r="K25" s="295">
        <v>0</v>
      </c>
      <c r="L25" s="295">
        <v>0</v>
      </c>
      <c r="M25" s="295">
        <v>0</v>
      </c>
      <c r="N25" s="291"/>
      <c r="O25" s="295">
        <v>1.1503000000000001</v>
      </c>
      <c r="P25" s="295">
        <v>1.1503000000000001</v>
      </c>
      <c r="Q25" s="295">
        <v>1.1503000000000001</v>
      </c>
      <c r="R25" s="295">
        <v>1.21E-2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291.99</v>
      </c>
      <c r="E28" s="295">
        <v>291.99</v>
      </c>
      <c r="F28" s="295">
        <v>291.99</v>
      </c>
      <c r="G28" s="295">
        <v>291.99</v>
      </c>
      <c r="H28" s="295">
        <v>291.99</v>
      </c>
      <c r="I28" s="295">
        <v>291.99</v>
      </c>
      <c r="J28" s="295">
        <v>291.99</v>
      </c>
      <c r="K28" s="295">
        <v>291.99</v>
      </c>
      <c r="L28" s="295">
        <v>291.99</v>
      </c>
      <c r="M28" s="295">
        <v>291.99</v>
      </c>
      <c r="N28" s="291"/>
      <c r="O28" s="295">
        <v>0.15590000000000001</v>
      </c>
      <c r="P28" s="295">
        <v>0.15590000000000001</v>
      </c>
      <c r="Q28" s="295">
        <v>0.15590000000000001</v>
      </c>
      <c r="R28" s="295">
        <v>0.15590000000000001</v>
      </c>
      <c r="S28" s="295">
        <v>0.15590000000000001</v>
      </c>
      <c r="T28" s="295">
        <v>0.15590000000000001</v>
      </c>
      <c r="U28" s="295">
        <v>0.15590000000000001</v>
      </c>
      <c r="V28" s="295">
        <v>0.15590000000000001</v>
      </c>
      <c r="W28" s="295">
        <v>0.15590000000000001</v>
      </c>
      <c r="X28" s="295">
        <v>0.15590000000000001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-65.64</v>
      </c>
      <c r="E29" s="295">
        <v>-65.64</v>
      </c>
      <c r="F29" s="295">
        <v>-65.64</v>
      </c>
      <c r="G29" s="295">
        <v>-65.64</v>
      </c>
      <c r="H29" s="295">
        <v>-65.64</v>
      </c>
      <c r="I29" s="295">
        <v>-65.64</v>
      </c>
      <c r="J29" s="295">
        <v>-65.64</v>
      </c>
      <c r="K29" s="295">
        <v>-65.64</v>
      </c>
      <c r="L29" s="295">
        <v>-65.64</v>
      </c>
      <c r="M29" s="295">
        <v>-65.64</v>
      </c>
      <c r="N29" s="468"/>
      <c r="O29" s="295"/>
      <c r="P29" s="295">
        <v>-3.5400000000000001E-2</v>
      </c>
      <c r="Q29" s="295">
        <v>-3.5400000000000001E-2</v>
      </c>
      <c r="R29" s="295">
        <v>-3.5400000000000001E-2</v>
      </c>
      <c r="S29" s="295">
        <v>-3.5400000000000001E-2</v>
      </c>
      <c r="T29" s="295">
        <v>-3.5400000000000001E-2</v>
      </c>
      <c r="U29" s="295">
        <v>-3.5400000000000001E-2</v>
      </c>
      <c r="V29" s="295">
        <v>-3.5400000000000001E-2</v>
      </c>
      <c r="W29" s="295">
        <v>-3.5400000000000001E-2</v>
      </c>
      <c r="X29" s="295">
        <v>-3.5400000000000001E-2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7036.56</v>
      </c>
      <c r="E31" s="295">
        <v>7036.56</v>
      </c>
      <c r="F31" s="295">
        <v>7036.56</v>
      </c>
      <c r="G31" s="295">
        <v>7036.56</v>
      </c>
      <c r="H31" s="295">
        <v>6472.72</v>
      </c>
      <c r="I31" s="295">
        <v>5856.76</v>
      </c>
      <c r="J31" s="295">
        <v>4579.75</v>
      </c>
      <c r="K31" s="295">
        <v>4550.04</v>
      </c>
      <c r="L31" s="295">
        <v>5729.84</v>
      </c>
      <c r="M31" s="295">
        <v>2188.79</v>
      </c>
      <c r="N31" s="291"/>
      <c r="O31" s="295">
        <v>0.43409999999999999</v>
      </c>
      <c r="P31" s="295">
        <v>0.43409999999999999</v>
      </c>
      <c r="Q31" s="295">
        <v>0.43409999999999999</v>
      </c>
      <c r="R31" s="295">
        <v>0.43409999999999999</v>
      </c>
      <c r="S31" s="295">
        <v>0.40799999999999997</v>
      </c>
      <c r="T31" s="295">
        <v>0.3795</v>
      </c>
      <c r="U31" s="295">
        <v>0.32029999999999997</v>
      </c>
      <c r="V31" s="295">
        <v>0.317</v>
      </c>
      <c r="W31" s="295">
        <v>0.37159999999999999</v>
      </c>
      <c r="X31" s="295">
        <v>0.20760000000000001</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104.35</v>
      </c>
      <c r="E32" s="295">
        <v>104.35</v>
      </c>
      <c r="F32" s="295">
        <v>104.35</v>
      </c>
      <c r="G32" s="295">
        <v>104.35</v>
      </c>
      <c r="H32" s="295">
        <v>104.35</v>
      </c>
      <c r="I32" s="295">
        <v>95.35</v>
      </c>
      <c r="J32" s="295">
        <v>58.49</v>
      </c>
      <c r="K32" s="295">
        <v>58.41</v>
      </c>
      <c r="L32" s="295">
        <v>58.41</v>
      </c>
      <c r="M32" s="295">
        <v>20.69</v>
      </c>
      <c r="N32" s="468"/>
      <c r="O32" s="295">
        <v>6.1000000000000004E-3</v>
      </c>
      <c r="P32" s="295">
        <v>6.1000000000000004E-3</v>
      </c>
      <c r="Q32" s="295">
        <v>6.1000000000000004E-3</v>
      </c>
      <c r="R32" s="295">
        <v>6.1000000000000004E-3</v>
      </c>
      <c r="S32" s="295">
        <v>5.7000000000000002E-3</v>
      </c>
      <c r="T32" s="295">
        <v>4.0000000000000001E-3</v>
      </c>
      <c r="U32" s="295">
        <v>4.0000000000000001E-3</v>
      </c>
      <c r="V32" s="295">
        <v>4.0000000000000001E-3</v>
      </c>
      <c r="W32" s="295">
        <v>2.2000000000000001E-3</v>
      </c>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11125.12</v>
      </c>
      <c r="E34" s="295">
        <v>11125.12</v>
      </c>
      <c r="F34" s="295">
        <v>11125.12</v>
      </c>
      <c r="G34" s="295">
        <v>11125.12</v>
      </c>
      <c r="H34" s="295">
        <v>10167.540000000001</v>
      </c>
      <c r="I34" s="295">
        <v>9121.42</v>
      </c>
      <c r="J34" s="295">
        <v>6876.97</v>
      </c>
      <c r="K34" s="295">
        <v>6851.88</v>
      </c>
      <c r="L34" s="295">
        <v>8855.58</v>
      </c>
      <c r="M34" s="295">
        <v>2841.68</v>
      </c>
      <c r="N34" s="291"/>
      <c r="O34" s="295">
        <v>0.63660000000000005</v>
      </c>
      <c r="P34" s="295">
        <v>0.63660000000000005</v>
      </c>
      <c r="Q34" s="295">
        <v>0.63660000000000005</v>
      </c>
      <c r="R34" s="295">
        <v>0.63660000000000005</v>
      </c>
      <c r="S34" s="295">
        <v>0.59219999999999995</v>
      </c>
      <c r="T34" s="295">
        <v>0.54379999999999995</v>
      </c>
      <c r="U34" s="295">
        <v>0.43980000000000002</v>
      </c>
      <c r="V34" s="295">
        <v>0.437</v>
      </c>
      <c r="W34" s="295">
        <v>0.52980000000000005</v>
      </c>
      <c r="X34" s="295">
        <v>0.25130000000000002</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826.56</v>
      </c>
      <c r="E35" s="295">
        <v>826.56</v>
      </c>
      <c r="F35" s="295">
        <v>826.56</v>
      </c>
      <c r="G35" s="295">
        <v>826.56</v>
      </c>
      <c r="H35" s="295">
        <v>826.56</v>
      </c>
      <c r="I35" s="295">
        <v>751.11</v>
      </c>
      <c r="J35" s="295">
        <v>405.51</v>
      </c>
      <c r="K35" s="295">
        <v>405.43</v>
      </c>
      <c r="L35" s="295">
        <v>405.43</v>
      </c>
      <c r="M35" s="295">
        <v>89.44</v>
      </c>
      <c r="N35" s="468"/>
      <c r="O35" s="295">
        <v>4.0800000000000003E-2</v>
      </c>
      <c r="P35" s="295">
        <v>4.0800000000000003E-2</v>
      </c>
      <c r="Q35" s="295">
        <v>4.0800000000000003E-2</v>
      </c>
      <c r="R35" s="295">
        <v>4.0800000000000003E-2</v>
      </c>
      <c r="S35" s="295">
        <v>3.73E-2</v>
      </c>
      <c r="T35" s="295">
        <v>2.1299999999999999E-2</v>
      </c>
      <c r="U35" s="295">
        <v>2.1299999999999999E-2</v>
      </c>
      <c r="V35" s="295">
        <v>2.1299999999999999E-2</v>
      </c>
      <c r="W35" s="295">
        <v>6.7000000000000002E-3</v>
      </c>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91918.74</v>
      </c>
      <c r="E53" s="295">
        <v>91918.74</v>
      </c>
      <c r="F53" s="295">
        <v>91918.74</v>
      </c>
      <c r="G53" s="295">
        <v>45559.22</v>
      </c>
      <c r="H53" s="295">
        <v>44964.74</v>
      </c>
      <c r="I53" s="295">
        <v>44382.400000000001</v>
      </c>
      <c r="J53" s="295">
        <v>11174.81</v>
      </c>
      <c r="K53" s="295">
        <v>11174.81</v>
      </c>
      <c r="L53" s="295">
        <v>11174.81</v>
      </c>
      <c r="M53" s="295">
        <v>11174.81</v>
      </c>
      <c r="N53" s="295">
        <v>12</v>
      </c>
      <c r="O53" s="295">
        <v>32.769599999999997</v>
      </c>
      <c r="P53" s="295">
        <v>32.769599999999997</v>
      </c>
      <c r="Q53" s="295">
        <v>32.769599999999997</v>
      </c>
      <c r="R53" s="295">
        <v>16.220099999999999</v>
      </c>
      <c r="S53" s="295">
        <v>16.007200000000001</v>
      </c>
      <c r="T53" s="295">
        <v>15.7987</v>
      </c>
      <c r="U53" s="295">
        <v>4.1055000000000001</v>
      </c>
      <c r="V53" s="295">
        <v>4.1055000000000001</v>
      </c>
      <c r="W53" s="295">
        <v>4.1055000000000001</v>
      </c>
      <c r="X53" s="295">
        <v>4.1055000000000001</v>
      </c>
      <c r="Y53" s="415"/>
      <c r="Z53" s="415">
        <v>1</v>
      </c>
      <c r="AA53" s="415">
        <v>0</v>
      </c>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56.65</v>
      </c>
      <c r="E105" s="295">
        <v>56.65</v>
      </c>
      <c r="F105" s="295">
        <v>56.65</v>
      </c>
      <c r="G105" s="295">
        <v>56.65</v>
      </c>
      <c r="H105" s="295">
        <v>56.65</v>
      </c>
      <c r="I105" s="295">
        <v>56.65</v>
      </c>
      <c r="J105" s="295">
        <v>56.65</v>
      </c>
      <c r="K105" s="295">
        <v>56.65</v>
      </c>
      <c r="L105" s="295">
        <v>56.65</v>
      </c>
      <c r="M105" s="295">
        <v>56.65</v>
      </c>
      <c r="N105" s="295">
        <v>12</v>
      </c>
      <c r="O105" s="295">
        <v>1.0999999999999999E-2</v>
      </c>
      <c r="P105" s="295">
        <v>1.0999999999999999E-2</v>
      </c>
      <c r="Q105" s="295">
        <v>1.0999999999999999E-2</v>
      </c>
      <c r="R105" s="295">
        <v>1.0999999999999999E-2</v>
      </c>
      <c r="S105" s="295">
        <v>1.0999999999999999E-2</v>
      </c>
      <c r="T105" s="295">
        <v>1.0999999999999999E-2</v>
      </c>
      <c r="U105" s="295">
        <v>1.0999999999999999E-2</v>
      </c>
      <c r="V105" s="295">
        <v>1.0999999999999999E-2</v>
      </c>
      <c r="W105" s="295">
        <v>1.0999999999999999E-2</v>
      </c>
      <c r="X105" s="295">
        <v>1.0999999999999999E-2</v>
      </c>
      <c r="Y105" s="410">
        <v>1</v>
      </c>
      <c r="Z105" s="410"/>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0</v>
      </c>
      <c r="E106" s="295">
        <v>41.44</v>
      </c>
      <c r="F106" s="295">
        <v>41.44</v>
      </c>
      <c r="G106" s="295">
        <v>41.44</v>
      </c>
      <c r="H106" s="295">
        <v>41.44</v>
      </c>
      <c r="I106" s="295">
        <v>41.44</v>
      </c>
      <c r="J106" s="295">
        <v>41.44</v>
      </c>
      <c r="K106" s="295">
        <v>41.44</v>
      </c>
      <c r="L106" s="295">
        <v>41.44</v>
      </c>
      <c r="M106" s="295">
        <v>41.44</v>
      </c>
      <c r="N106" s="295">
        <f>N105</f>
        <v>12</v>
      </c>
      <c r="O106" s="295">
        <v>0</v>
      </c>
      <c r="P106" s="295">
        <v>4.2799999999999998E-2</v>
      </c>
      <c r="Q106" s="295">
        <v>4.2799999999999998E-2</v>
      </c>
      <c r="R106" s="295">
        <v>4.2799999999999998E-2</v>
      </c>
      <c r="S106" s="295">
        <v>4.2799999999999998E-2</v>
      </c>
      <c r="T106" s="295">
        <v>4.2799999999999998E-2</v>
      </c>
      <c r="U106" s="295">
        <v>4.2799999999999998E-2</v>
      </c>
      <c r="V106" s="295">
        <v>4.2799999999999998E-2</v>
      </c>
      <c r="W106" s="295">
        <v>4.2799999999999998E-2</v>
      </c>
      <c r="X106" s="295">
        <v>4.2799999999999998E-2</v>
      </c>
      <c r="Y106" s="411">
        <f>Y105</f>
        <v>1</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121342.67</v>
      </c>
      <c r="E127" s="328">
        <f t="shared" ref="E127:M127" si="33">SUM(E22:E125)</f>
        <v>121384.11</v>
      </c>
      <c r="F127" s="328">
        <f t="shared" si="33"/>
        <v>121384.11</v>
      </c>
      <c r="G127" s="328">
        <f t="shared" si="33"/>
        <v>74006.64</v>
      </c>
      <c r="H127" s="328">
        <f t="shared" si="33"/>
        <v>69916.28</v>
      </c>
      <c r="I127" s="328">
        <f t="shared" si="33"/>
        <v>60531.48</v>
      </c>
      <c r="J127" s="328">
        <f t="shared" si="33"/>
        <v>23419.97</v>
      </c>
      <c r="K127" s="328">
        <f t="shared" si="33"/>
        <v>23365.01</v>
      </c>
      <c r="L127" s="328">
        <f t="shared" si="33"/>
        <v>26548.51</v>
      </c>
      <c r="M127" s="328">
        <f t="shared" si="33"/>
        <v>16639.849999999999</v>
      </c>
      <c r="N127" s="328"/>
      <c r="O127" s="328">
        <f>SUM(O22:O125)</f>
        <v>36.397399999999998</v>
      </c>
      <c r="P127" s="328">
        <f t="shared" ref="P127:X127" si="34">SUM(P22:P125)</f>
        <v>36.404800000000002</v>
      </c>
      <c r="Q127" s="328">
        <f t="shared" si="34"/>
        <v>36.404800000000002</v>
      </c>
      <c r="R127" s="328">
        <f t="shared" si="34"/>
        <v>18.717099999999999</v>
      </c>
      <c r="S127" s="328">
        <f t="shared" si="34"/>
        <v>18.1524</v>
      </c>
      <c r="T127" s="328">
        <f t="shared" si="34"/>
        <v>16.921599999999998</v>
      </c>
      <c r="U127" s="328">
        <f t="shared" si="34"/>
        <v>5.0651999999999999</v>
      </c>
      <c r="V127" s="328">
        <f t="shared" si="34"/>
        <v>5.0590999999999999</v>
      </c>
      <c r="W127" s="328">
        <f t="shared" si="34"/>
        <v>5.1901000000000002</v>
      </c>
      <c r="X127" s="328">
        <f t="shared" si="34"/>
        <v>4.7386999999999997</v>
      </c>
      <c r="Y127" s="329">
        <f>IF(Y21="kWh",SUMPRODUCT(D22:D125,Y22:Y125))</f>
        <v>29423.930000000004</v>
      </c>
      <c r="Z127" s="329">
        <f>IF(Z21="kWh",SUMPRODUCT(D22:D125,Z22:Z125))</f>
        <v>91918.74</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910343</v>
      </c>
      <c r="Z128" s="328">
        <f>HLOOKUP(Z20,'2. LRAMVA Threshold'!$B$42:$Q$53,3,FALSE)</f>
        <v>8804</v>
      </c>
      <c r="AA128" s="328">
        <f>HLOOKUP(AA20,'2. LRAMVA Threshold'!$B$42:$Q$53,3,FALSE)</f>
        <v>202</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1.0200000000000001E-2</v>
      </c>
      <c r="Z130" s="341">
        <f>HLOOKUP(Z$20,'3.  Distribution Rates'!$C$122:$P$133,3,FALSE)</f>
        <v>1.2200000000000001E-2</v>
      </c>
      <c r="AA130" s="341">
        <f>HLOOKUP(AA$20,'3.  Distribution Rates'!$C$122:$P$133,3,FALSE)</f>
        <v>2.6063999999999998</v>
      </c>
      <c r="AB130" s="341">
        <f>HLOOKUP(AB$20,'3.  Distribution Rates'!$C$122:$P$133,3,FALSE)</f>
        <v>1.2500000000000001E-2</v>
      </c>
      <c r="AC130" s="341">
        <f>HLOOKUP(AC$20,'3.  Distribution Rates'!$C$122:$P$133,3,FALSE)</f>
        <v>6.7270000000000003</v>
      </c>
      <c r="AD130" s="341">
        <f>HLOOKUP(AD$20,'3.  Distribution Rates'!$C$122:$P$133,3,FALSE)</f>
        <v>14.412000000000001</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300.12408600000003</v>
      </c>
      <c r="Z131" s="346">
        <f t="shared" si="35"/>
        <v>1121.4086280000001</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1421.5327140000002</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9285.4986000000008</v>
      </c>
      <c r="Z132" s="347">
        <f t="shared" si="37"/>
        <v>107.40880000000001</v>
      </c>
      <c r="AA132" s="347">
        <f t="shared" si="37"/>
        <v>526.49279999999999</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9919.4002</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-8497.8674859999992</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29465.370000000003</v>
      </c>
      <c r="Z135" s="291">
        <f>SUMPRODUCT(E22:E125,Z22:Z125)</f>
        <v>91918.74</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29465.370000000003</v>
      </c>
      <c r="Z136" s="291">
        <f>SUMPRODUCT(F22:F125,Z22:Z125)</f>
        <v>91918.74</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28447.42</v>
      </c>
      <c r="Z137" s="291">
        <f>SUMPRODUCT(G22:G125,Z22:Z125)</f>
        <v>45559.22</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24951.54</v>
      </c>
      <c r="Z138" s="291">
        <f>SUMPRODUCT(H22:H125,Z22:Z125)</f>
        <v>44964.74</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16149.080000000002</v>
      </c>
      <c r="Z139" s="291">
        <f>SUMPRODUCT(I22:I125,Z22:Z125)</f>
        <v>44382.400000000001</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12245.160000000002</v>
      </c>
      <c r="Z140" s="291">
        <f>SUMPRODUCT(J22:J125,Z22:Z125)</f>
        <v>11174.81</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12190.2</v>
      </c>
      <c r="Z141" s="291">
        <f>SUMPRODUCT(K22:K125,Z22:Z125)</f>
        <v>11174.81</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15373.7</v>
      </c>
      <c r="Z142" s="291">
        <f>SUMPRODUCT(L22:L125,Z22:Z125)</f>
        <v>11174.81</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5465.0399999999991</v>
      </c>
      <c r="Z143" s="326">
        <f>SUMPRODUCT(M22:M125,Z22:Z125)</f>
        <v>11174.81</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89" t="s">
        <v>529</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797" t="s">
        <v>211</v>
      </c>
      <c r="C147" s="799" t="s">
        <v>33</v>
      </c>
      <c r="D147" s="284" t="s">
        <v>423</v>
      </c>
      <c r="E147" s="801" t="s">
        <v>209</v>
      </c>
      <c r="F147" s="802"/>
      <c r="G147" s="802"/>
      <c r="H147" s="802"/>
      <c r="I147" s="802"/>
      <c r="J147" s="802"/>
      <c r="K147" s="802"/>
      <c r="L147" s="802"/>
      <c r="M147" s="803"/>
      <c r="N147" s="807" t="s">
        <v>213</v>
      </c>
      <c r="O147" s="284" t="s">
        <v>424</v>
      </c>
      <c r="P147" s="801" t="s">
        <v>212</v>
      </c>
      <c r="Q147" s="802"/>
      <c r="R147" s="802"/>
      <c r="S147" s="802"/>
      <c r="T147" s="802"/>
      <c r="U147" s="802"/>
      <c r="V147" s="802"/>
      <c r="W147" s="802"/>
      <c r="X147" s="803"/>
      <c r="Y147" s="804" t="s">
        <v>244</v>
      </c>
      <c r="Z147" s="805"/>
      <c r="AA147" s="805"/>
      <c r="AB147" s="805"/>
      <c r="AC147" s="805"/>
      <c r="AD147" s="805"/>
      <c r="AE147" s="805"/>
      <c r="AF147" s="805"/>
      <c r="AG147" s="805"/>
      <c r="AH147" s="805"/>
      <c r="AI147" s="805"/>
      <c r="AJ147" s="805"/>
      <c r="AK147" s="805"/>
      <c r="AL147" s="805"/>
      <c r="AM147" s="806"/>
    </row>
    <row r="148" spans="1:39" ht="60.75" customHeight="1">
      <c r="B148" s="798"/>
      <c r="C148" s="800"/>
      <c r="D148" s="285">
        <v>2012</v>
      </c>
      <c r="E148" s="285">
        <v>2013</v>
      </c>
      <c r="F148" s="285">
        <v>2014</v>
      </c>
      <c r="G148" s="285">
        <v>2015</v>
      </c>
      <c r="H148" s="285">
        <v>2016</v>
      </c>
      <c r="I148" s="285">
        <v>2017</v>
      </c>
      <c r="J148" s="285">
        <v>2018</v>
      </c>
      <c r="K148" s="285">
        <v>2019</v>
      </c>
      <c r="L148" s="285">
        <v>2020</v>
      </c>
      <c r="M148" s="285">
        <v>2021</v>
      </c>
      <c r="N148" s="80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50kW to 4999 kW</v>
      </c>
      <c r="AB148" s="285" t="str">
        <f>'1.  LRAMVA Summary'!G52</f>
        <v>Unmettered Scattered Load</v>
      </c>
      <c r="AC148" s="285" t="str">
        <f>'1.  LRAMVA Summary'!H52</f>
        <v>Sentinel Lighiting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2419.29</v>
      </c>
      <c r="E150" s="295">
        <v>2419.29</v>
      </c>
      <c r="F150" s="295">
        <v>2419.29</v>
      </c>
      <c r="G150" s="295">
        <v>2419.29</v>
      </c>
      <c r="H150" s="295">
        <v>1966.71</v>
      </c>
      <c r="I150" s="295">
        <v>0</v>
      </c>
      <c r="J150" s="295">
        <v>0</v>
      </c>
      <c r="K150" s="295">
        <v>0</v>
      </c>
      <c r="L150" s="295">
        <v>0</v>
      </c>
      <c r="M150" s="295">
        <v>0</v>
      </c>
      <c r="N150" s="291"/>
      <c r="O150" s="295">
        <v>0.32</v>
      </c>
      <c r="P150" s="295">
        <v>0.32</v>
      </c>
      <c r="Q150" s="295">
        <v>0.32</v>
      </c>
      <c r="R150" s="295">
        <v>0.32</v>
      </c>
      <c r="S150" s="295">
        <v>0.2586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163</v>
      </c>
      <c r="D151" s="295" t="s">
        <v>703</v>
      </c>
      <c r="E151" s="295">
        <v>3.14</v>
      </c>
      <c r="F151" s="295">
        <v>3.14</v>
      </c>
      <c r="G151" s="295">
        <v>3.14</v>
      </c>
      <c r="H151" s="295">
        <v>3.14</v>
      </c>
      <c r="I151" s="295">
        <v>3.14</v>
      </c>
      <c r="J151" s="295">
        <v>3.14</v>
      </c>
      <c r="K151" s="295">
        <v>3.14</v>
      </c>
      <c r="L151" s="295">
        <v>3.14</v>
      </c>
      <c r="M151" s="295">
        <v>3.14</v>
      </c>
      <c r="N151" s="468"/>
      <c r="O151" s="295"/>
      <c r="P151" s="295">
        <v>1.5E-3</v>
      </c>
      <c r="Q151" s="295">
        <v>1.5E-3</v>
      </c>
      <c r="R151" s="295">
        <v>1.5E-3</v>
      </c>
      <c r="S151" s="295">
        <v>1.5E-3</v>
      </c>
      <c r="T151" s="295">
        <v>1.5E-3</v>
      </c>
      <c r="U151" s="295">
        <v>1.5E-3</v>
      </c>
      <c r="V151" s="295">
        <v>1.5E-3</v>
      </c>
      <c r="W151" s="295">
        <v>1.5E-3</v>
      </c>
      <c r="X151" s="295">
        <v>1.5E-3</v>
      </c>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36.71</v>
      </c>
      <c r="E153" s="295">
        <v>36.71</v>
      </c>
      <c r="F153" s="295">
        <v>36.71</v>
      </c>
      <c r="G153" s="295">
        <v>35.99</v>
      </c>
      <c r="H153" s="295">
        <v>0</v>
      </c>
      <c r="I153" s="295">
        <v>0</v>
      </c>
      <c r="J153" s="295">
        <v>0</v>
      </c>
      <c r="K153" s="295">
        <v>0</v>
      </c>
      <c r="L153" s="295">
        <v>0</v>
      </c>
      <c r="M153" s="295">
        <v>0</v>
      </c>
      <c r="N153" s="291"/>
      <c r="O153" s="295">
        <v>2.1000000000000001E-2</v>
      </c>
      <c r="P153" s="295">
        <v>2.1000000000000001E-2</v>
      </c>
      <c r="Q153" s="295">
        <v>2.1000000000000001E-2</v>
      </c>
      <c r="R153" s="295">
        <v>2.0199999999999999E-2</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133.27000000000001</v>
      </c>
      <c r="E156" s="295">
        <v>133.27000000000001</v>
      </c>
      <c r="F156" s="295">
        <v>133.27000000000001</v>
      </c>
      <c r="G156" s="295">
        <v>133.27000000000001</v>
      </c>
      <c r="H156" s="295">
        <v>133.27000000000001</v>
      </c>
      <c r="I156" s="295">
        <v>133.27000000000001</v>
      </c>
      <c r="J156" s="295">
        <v>133.27000000000001</v>
      </c>
      <c r="K156" s="295">
        <v>133.27000000000001</v>
      </c>
      <c r="L156" s="295">
        <v>133.27000000000001</v>
      </c>
      <c r="M156" s="295">
        <v>133.27000000000001</v>
      </c>
      <c r="N156" s="291"/>
      <c r="O156" s="295">
        <v>7.7299999999999994E-2</v>
      </c>
      <c r="P156" s="295">
        <v>7.7299999999999994E-2</v>
      </c>
      <c r="Q156" s="295">
        <v>7.7299999999999994E-2</v>
      </c>
      <c r="R156" s="295">
        <v>7.7299999999999994E-2</v>
      </c>
      <c r="S156" s="295">
        <v>7.7299999999999994E-2</v>
      </c>
      <c r="T156" s="295">
        <v>7.7299999999999994E-2</v>
      </c>
      <c r="U156" s="295">
        <v>7.7299999999999994E-2</v>
      </c>
      <c r="V156" s="295">
        <v>7.7299999999999994E-2</v>
      </c>
      <c r="W156" s="295">
        <v>7.7299999999999994E-2</v>
      </c>
      <c r="X156" s="295">
        <v>7.7299999999999994E-2</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529.30999999999995</v>
      </c>
      <c r="E159" s="295">
        <v>529.30999999999995</v>
      </c>
      <c r="F159" s="295">
        <v>529.30999999999995</v>
      </c>
      <c r="G159" s="295">
        <v>529.30999999999995</v>
      </c>
      <c r="H159" s="295">
        <v>521.36</v>
      </c>
      <c r="I159" s="295">
        <v>521.36</v>
      </c>
      <c r="J159" s="295">
        <v>245.51</v>
      </c>
      <c r="K159" s="295">
        <v>244.15</v>
      </c>
      <c r="L159" s="295">
        <v>244.15</v>
      </c>
      <c r="M159" s="295">
        <v>244.15</v>
      </c>
      <c r="N159" s="291"/>
      <c r="O159" s="295">
        <v>8.72E-2</v>
      </c>
      <c r="P159" s="295">
        <v>8.72E-2</v>
      </c>
      <c r="Q159" s="295">
        <v>8.72E-2</v>
      </c>
      <c r="R159" s="295">
        <v>8.72E-2</v>
      </c>
      <c r="S159" s="295">
        <v>8.6900000000000005E-2</v>
      </c>
      <c r="T159" s="295">
        <v>8.6900000000000005E-2</v>
      </c>
      <c r="U159" s="295">
        <v>7.4099999999999999E-2</v>
      </c>
      <c r="V159" s="295">
        <v>7.3899999999999993E-2</v>
      </c>
      <c r="W159" s="295">
        <v>7.3899999999999993E-2</v>
      </c>
      <c r="X159" s="295">
        <v>7.3899999999999993E-2</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10138.65</v>
      </c>
      <c r="E162" s="295">
        <v>10138.65</v>
      </c>
      <c r="F162" s="295">
        <v>10138.65</v>
      </c>
      <c r="G162" s="295">
        <v>10138.65</v>
      </c>
      <c r="H162" s="295">
        <v>9114</v>
      </c>
      <c r="I162" s="295">
        <v>7410.98</v>
      </c>
      <c r="J162" s="295">
        <v>5055.05</v>
      </c>
      <c r="K162" s="295">
        <v>5044.54</v>
      </c>
      <c r="L162" s="295">
        <v>5044.54</v>
      </c>
      <c r="M162" s="295">
        <v>2562.2399999999998</v>
      </c>
      <c r="N162" s="291"/>
      <c r="O162" s="295">
        <v>0.56030000000000002</v>
      </c>
      <c r="P162" s="295">
        <v>0.56030000000000002</v>
      </c>
      <c r="Q162" s="295">
        <v>0.56030000000000002</v>
      </c>
      <c r="R162" s="295">
        <v>0.56030000000000002</v>
      </c>
      <c r="S162" s="295">
        <v>0.51280000000000003</v>
      </c>
      <c r="T162" s="295">
        <v>0.434</v>
      </c>
      <c r="U162" s="295">
        <v>0.32490000000000002</v>
      </c>
      <c r="V162" s="295">
        <v>0.32369999999999999</v>
      </c>
      <c r="W162" s="295">
        <v>0.32369999999999999</v>
      </c>
      <c r="X162" s="295">
        <v>0.2087</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3085.72</v>
      </c>
      <c r="E178" s="295">
        <v>3085.72</v>
      </c>
      <c r="F178" s="295">
        <v>3085.72</v>
      </c>
      <c r="G178" s="295">
        <v>3085.72</v>
      </c>
      <c r="H178" s="295">
        <v>3085.72</v>
      </c>
      <c r="I178" s="295">
        <v>3085.72</v>
      </c>
      <c r="J178" s="295">
        <v>2872.69</v>
      </c>
      <c r="K178" s="295">
        <v>2872.69</v>
      </c>
      <c r="L178" s="295">
        <v>2872.69</v>
      </c>
      <c r="M178" s="295">
        <v>0</v>
      </c>
      <c r="N178" s="295">
        <v>12</v>
      </c>
      <c r="O178" s="295">
        <v>1.3243</v>
      </c>
      <c r="P178" s="295">
        <v>1.3243</v>
      </c>
      <c r="Q178" s="295">
        <v>1.3243</v>
      </c>
      <c r="R178" s="295">
        <v>1.3243</v>
      </c>
      <c r="S178" s="295">
        <v>1.3243</v>
      </c>
      <c r="T178" s="295">
        <v>1.3243</v>
      </c>
      <c r="U178" s="295">
        <v>1.2329000000000001</v>
      </c>
      <c r="V178" s="295">
        <v>1.2329000000000001</v>
      </c>
      <c r="W178" s="295">
        <v>1.2329000000000001</v>
      </c>
      <c r="X178" s="295">
        <v>0</v>
      </c>
      <c r="Y178" s="467"/>
      <c r="Z178" s="469">
        <v>0.1</v>
      </c>
      <c r="AA178" s="469">
        <v>0.9</v>
      </c>
      <c r="AB178" s="415"/>
      <c r="AC178" s="415"/>
      <c r="AD178" s="415"/>
      <c r="AE178" s="415"/>
      <c r="AF178" s="415"/>
      <c r="AG178" s="415"/>
      <c r="AH178" s="415"/>
      <c r="AI178" s="415"/>
      <c r="AJ178" s="415"/>
      <c r="AK178" s="415"/>
      <c r="AL178" s="415"/>
      <c r="AM178" s="296">
        <f>SUM(Y178:AL178)</f>
        <v>1</v>
      </c>
    </row>
    <row r="179" spans="1:39" ht="15" outlineLevel="1">
      <c r="B179" s="294" t="s">
        <v>245</v>
      </c>
      <c r="C179" s="291" t="s">
        <v>163</v>
      </c>
      <c r="D179" s="295">
        <v>92542</v>
      </c>
      <c r="E179" s="295">
        <v>92542</v>
      </c>
      <c r="F179" s="295">
        <v>92542</v>
      </c>
      <c r="G179" s="295">
        <v>92542</v>
      </c>
      <c r="H179" s="295">
        <v>92542</v>
      </c>
      <c r="I179" s="295">
        <v>88386</v>
      </c>
      <c r="J179" s="295">
        <v>88386</v>
      </c>
      <c r="K179" s="295">
        <v>88386</v>
      </c>
      <c r="L179" s="295">
        <v>83988</v>
      </c>
      <c r="M179" s="295">
        <v>82315</v>
      </c>
      <c r="N179" s="295">
        <f>N178</f>
        <v>12</v>
      </c>
      <c r="O179" s="295">
        <v>29.92</v>
      </c>
      <c r="P179" s="295">
        <v>29.92</v>
      </c>
      <c r="Q179" s="295">
        <v>29.92</v>
      </c>
      <c r="R179" s="295">
        <v>28.77</v>
      </c>
      <c r="S179" s="295">
        <v>28.77</v>
      </c>
      <c r="T179" s="295">
        <v>28.77</v>
      </c>
      <c r="U179" s="295">
        <v>28.28</v>
      </c>
      <c r="V179" s="295">
        <v>28.1</v>
      </c>
      <c r="W179" s="295">
        <v>27.62</v>
      </c>
      <c r="X179" s="295">
        <v>27.62</v>
      </c>
      <c r="Y179" s="411">
        <f>Y178</f>
        <v>0</v>
      </c>
      <c r="Z179" s="411">
        <f>Z178</f>
        <v>0.1</v>
      </c>
      <c r="AA179" s="411">
        <f t="shared" ref="AA179:AL179" si="48">AA178</f>
        <v>0.9</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78132.34</v>
      </c>
      <c r="E181" s="295">
        <v>78132.34</v>
      </c>
      <c r="F181" s="295">
        <v>78132.34</v>
      </c>
      <c r="G181" s="295">
        <v>70120.649999999994</v>
      </c>
      <c r="H181" s="295">
        <v>70120.649999999994</v>
      </c>
      <c r="I181" s="295">
        <v>8554.24</v>
      </c>
      <c r="J181" s="295">
        <v>8554.24</v>
      </c>
      <c r="K181" s="295">
        <v>8554.24</v>
      </c>
      <c r="L181" s="295">
        <v>8554.24</v>
      </c>
      <c r="M181" s="295">
        <v>8554.24</v>
      </c>
      <c r="N181" s="295">
        <v>12</v>
      </c>
      <c r="O181" s="295">
        <v>22.913499999999999</v>
      </c>
      <c r="P181" s="295">
        <v>22.913499999999999</v>
      </c>
      <c r="Q181" s="295">
        <v>22.913499999999999</v>
      </c>
      <c r="R181" s="295">
        <v>20.882899999999999</v>
      </c>
      <c r="S181" s="295">
        <v>20.882899999999999</v>
      </c>
      <c r="T181" s="295">
        <v>2.5381</v>
      </c>
      <c r="U181" s="295">
        <v>2.5381</v>
      </c>
      <c r="V181" s="295">
        <v>2.5381</v>
      </c>
      <c r="W181" s="295">
        <v>2.5381</v>
      </c>
      <c r="X181" s="295">
        <v>2.5381</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245</v>
      </c>
      <c r="C182" s="291" t="s">
        <v>163</v>
      </c>
      <c r="D182" s="295">
        <v>11270.25</v>
      </c>
      <c r="E182" s="295">
        <v>11270.25</v>
      </c>
      <c r="F182" s="295">
        <v>10897.88</v>
      </c>
      <c r="G182" s="295">
        <v>10897.88</v>
      </c>
      <c r="H182" s="295">
        <v>1188.57</v>
      </c>
      <c r="I182" s="295">
        <v>1188.57</v>
      </c>
      <c r="J182" s="295">
        <v>1188.57</v>
      </c>
      <c r="K182" s="295">
        <v>1188.57</v>
      </c>
      <c r="L182" s="295">
        <v>1188.57</v>
      </c>
      <c r="M182" s="295">
        <v>1188.57</v>
      </c>
      <c r="N182" s="295">
        <f>N181</f>
        <v>12</v>
      </c>
      <c r="O182" s="295">
        <v>3.7059000000000002</v>
      </c>
      <c r="P182" s="295">
        <v>3.7059000000000002</v>
      </c>
      <c r="Q182" s="295">
        <v>3.6009000000000002</v>
      </c>
      <c r="R182" s="295">
        <v>3.6009000000000002</v>
      </c>
      <c r="S182" s="295">
        <v>0.38490000000000002</v>
      </c>
      <c r="T182" s="295">
        <v>0.38490000000000002</v>
      </c>
      <c r="U182" s="295">
        <v>0.38490000000000002</v>
      </c>
      <c r="V182" s="295">
        <v>0.38490000000000002</v>
      </c>
      <c r="W182" s="295">
        <v>0.38490000000000002</v>
      </c>
      <c r="X182" s="295">
        <v>0.38490000000000002</v>
      </c>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v>201410.04</v>
      </c>
      <c r="E190" s="295">
        <v>201410.04</v>
      </c>
      <c r="F190" s="295">
        <v>201410.04</v>
      </c>
      <c r="G190" s="295">
        <v>201410.04</v>
      </c>
      <c r="H190" s="295">
        <v>0</v>
      </c>
      <c r="I190" s="295">
        <v>0</v>
      </c>
      <c r="J190" s="295">
        <v>0</v>
      </c>
      <c r="K190" s="295">
        <v>0</v>
      </c>
      <c r="L190" s="295">
        <v>0</v>
      </c>
      <c r="M190" s="295">
        <v>0</v>
      </c>
      <c r="N190" s="295">
        <v>12</v>
      </c>
      <c r="O190" s="295">
        <v>41.417400000000001</v>
      </c>
      <c r="P190" s="295">
        <v>41.417400000000001</v>
      </c>
      <c r="Q190" s="295">
        <v>41.417400000000001</v>
      </c>
      <c r="R190" s="295">
        <v>41.417400000000001</v>
      </c>
      <c r="S190" s="295">
        <v>0</v>
      </c>
      <c r="T190" s="295">
        <v>0</v>
      </c>
      <c r="U190" s="295">
        <v>0</v>
      </c>
      <c r="V190" s="295">
        <v>0</v>
      </c>
      <c r="W190" s="295">
        <v>0</v>
      </c>
      <c r="X190" s="295">
        <v>0</v>
      </c>
      <c r="Y190" s="415"/>
      <c r="Z190" s="415">
        <v>0.5</v>
      </c>
      <c r="AA190" s="415">
        <v>0.5</v>
      </c>
      <c r="AB190" s="415"/>
      <c r="AC190" s="415"/>
      <c r="AD190" s="415"/>
      <c r="AE190" s="415"/>
      <c r="AF190" s="415"/>
      <c r="AG190" s="415"/>
      <c r="AH190" s="415"/>
      <c r="AI190" s="415"/>
      <c r="AJ190" s="415"/>
      <c r="AK190" s="415"/>
      <c r="AL190" s="415"/>
      <c r="AM190" s="296">
        <f>SUM(Y190:AL190)</f>
        <v>1</v>
      </c>
    </row>
    <row r="191" spans="1:39" ht="15" outlineLevel="1">
      <c r="B191" s="294" t="s">
        <v>245</v>
      </c>
      <c r="C191" s="291" t="s">
        <v>163</v>
      </c>
      <c r="D191" s="295">
        <v>58893.11</v>
      </c>
      <c r="E191" s="295">
        <v>58893.11</v>
      </c>
      <c r="F191" s="295">
        <v>58893.11</v>
      </c>
      <c r="G191" s="295"/>
      <c r="H191" s="295"/>
      <c r="I191" s="295"/>
      <c r="J191" s="295"/>
      <c r="K191" s="295"/>
      <c r="L191" s="295"/>
      <c r="M191" s="295"/>
      <c r="N191" s="295">
        <f>N190</f>
        <v>12</v>
      </c>
      <c r="O191" s="295">
        <v>10.3543</v>
      </c>
      <c r="P191" s="295">
        <v>12</v>
      </c>
      <c r="Q191" s="295">
        <v>12</v>
      </c>
      <c r="R191" s="295"/>
      <c r="S191" s="295"/>
      <c r="T191" s="295"/>
      <c r="U191" s="295"/>
      <c r="V191" s="295"/>
      <c r="W191" s="295"/>
      <c r="X191" s="295"/>
      <c r="Y191" s="411">
        <f>Y190</f>
        <v>0</v>
      </c>
      <c r="Z191" s="411">
        <f>Z190</f>
        <v>0.5</v>
      </c>
      <c r="AA191" s="411">
        <f t="shared" ref="AA191:AL191" si="52">AA190</f>
        <v>0.5</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458590.68999999994</v>
      </c>
      <c r="E255" s="329">
        <f t="shared" ref="E255:L255" si="72">SUM(E150:E253)</f>
        <v>458593.82999999996</v>
      </c>
      <c r="F255" s="329">
        <f t="shared" si="72"/>
        <v>458221.45999999996</v>
      </c>
      <c r="G255" s="329">
        <f t="shared" si="72"/>
        <v>391315.94</v>
      </c>
      <c r="H255" s="329">
        <f t="shared" si="72"/>
        <v>178675.41999999998</v>
      </c>
      <c r="I255" s="329">
        <f t="shared" si="72"/>
        <v>109283.28000000001</v>
      </c>
      <c r="J255" s="329">
        <f t="shared" si="72"/>
        <v>106438.47000000002</v>
      </c>
      <c r="K255" s="329">
        <f t="shared" si="72"/>
        <v>106426.60000000002</v>
      </c>
      <c r="L255" s="329">
        <f t="shared" si="72"/>
        <v>102028.60000000002</v>
      </c>
      <c r="M255" s="329"/>
      <c r="N255" s="329"/>
      <c r="O255" s="329">
        <f>SUM(O150:O253)</f>
        <v>110.7012</v>
      </c>
      <c r="P255" s="329">
        <f t="shared" ref="P255:X255" si="73">SUM(P150:P253)</f>
        <v>112.3484</v>
      </c>
      <c r="Q255" s="329">
        <f t="shared" si="73"/>
        <v>112.24340000000001</v>
      </c>
      <c r="R255" s="329">
        <f t="shared" si="73"/>
        <v>97.062000000000012</v>
      </c>
      <c r="S255" s="329">
        <f t="shared" si="73"/>
        <v>52.299199999999999</v>
      </c>
      <c r="T255" s="329">
        <f t="shared" si="73"/>
        <v>33.617000000000004</v>
      </c>
      <c r="U255" s="329">
        <f t="shared" si="73"/>
        <v>32.913700000000006</v>
      </c>
      <c r="V255" s="329">
        <f t="shared" si="73"/>
        <v>32.732300000000002</v>
      </c>
      <c r="W255" s="329">
        <f t="shared" si="73"/>
        <v>32.252299999999998</v>
      </c>
      <c r="X255" s="329">
        <f t="shared" si="73"/>
        <v>30.904400000000003</v>
      </c>
      <c r="Y255" s="329">
        <f>IF(Y149="kWh",SUMPRODUCT(D150:D253,Y150:Y253))</f>
        <v>13257.23</v>
      </c>
      <c r="Z255" s="329">
        <f>IF(Z149="kWh",SUMPRODUCT(D150:D253,Z150:Z253))</f>
        <v>229116.93699999998</v>
      </c>
      <c r="AA255" s="329">
        <f>IF(AA149="kW",SUMPRODUCT(N150:N253,O150:O253,AA150:AA253),SUMPRODUCT(D150:D253,AA150:AA253))</f>
        <v>648.06864000000007</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910343</v>
      </c>
      <c r="Z256" s="328">
        <f>HLOOKUP(Z148,'2. LRAMVA Threshold'!$B$42:$Q$53,4,FALSE)</f>
        <v>8804</v>
      </c>
      <c r="AA256" s="328">
        <f>HLOOKUP(AA148,'2. LRAMVA Threshold'!$B$42:$Q$53,4,FALSE)</f>
        <v>202</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1.35E-2</v>
      </c>
      <c r="Z258" s="341">
        <f>HLOOKUP(Z$20,'3.  Distribution Rates'!$C$122:$P$133,4,FALSE)</f>
        <v>1.7399999999999999E-2</v>
      </c>
      <c r="AA258" s="341">
        <f>HLOOKUP(AA$20,'3.  Distribution Rates'!$C$122:$P$133,4,FALSE)</f>
        <v>3.6404999999999998</v>
      </c>
      <c r="AB258" s="341">
        <f>HLOOKUP(AB$20,'3.  Distribution Rates'!$C$122:$P$133,4,FALSE)</f>
        <v>3.2599999999999997E-2</v>
      </c>
      <c r="AC258" s="341">
        <f>HLOOKUP(AC$20,'3.  Distribution Rates'!$C$122:$P$133,4,FALSE)</f>
        <v>8.6067</v>
      </c>
      <c r="AD258" s="341">
        <f>HLOOKUP(AD$20,'3.  Distribution Rates'!$C$122:$P$133,4,FALSE)</f>
        <v>14.412000000000001</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397.78249500000004</v>
      </c>
      <c r="Z259" s="378">
        <f t="shared" si="74"/>
        <v>1599.386076</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8">
        <f>SUM(Y259:AL259)</f>
        <v>1997.1685710000002</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178.97260499999999</v>
      </c>
      <c r="Z260" s="378">
        <f t="shared" si="75"/>
        <v>3986.6347037999994</v>
      </c>
      <c r="AA260" s="379">
        <f t="shared" si="75"/>
        <v>2359.2938839200001</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8">
        <f>SUM(Y260:AL260)</f>
        <v>6524.901192719999</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576.75510000000008</v>
      </c>
      <c r="Z261" s="346">
        <f t="shared" ref="Z261:AE261" si="77">SUM(Z259:Z260)</f>
        <v>5586.0207797999992</v>
      </c>
      <c r="AA261" s="346">
        <f t="shared" si="77"/>
        <v>2359.2938839200001</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8522.0697637199992</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12289.630499999999</v>
      </c>
      <c r="Z262" s="347">
        <f t="shared" si="79"/>
        <v>153.18959999999998</v>
      </c>
      <c r="AA262" s="347">
        <f t="shared" si="79"/>
        <v>735.38099999999997</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13178.201099999998</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-4656.1313362799992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13260.369999999999</v>
      </c>
      <c r="Z265" s="291">
        <f>SUMPRODUCT(E150:E253,Z150:Z253)</f>
        <v>229116.93699999998</v>
      </c>
      <c r="AA265" s="291">
        <f>IF(AA149="kW",SUMPRODUCT(N150:N253,P150:P253,AA150:AA253),SUMPRODUCT(E150:E253,AA150:AA253))</f>
        <v>657.94284000000005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13260.369999999999</v>
      </c>
      <c r="Z266" s="291">
        <f>SUMPRODUCT(F150:F253,Z150:Z253)</f>
        <v>228744.56699999998</v>
      </c>
      <c r="AA266" s="291">
        <f>IF(AA149="kW",SUMPRODUCT(N150:N253,Q150:Q253,AA150:AA253),SUMPRODUCT(F150:F253,AA150:AA253))</f>
        <v>657.94284000000005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13259.65</v>
      </c>
      <c r="Z267" s="291">
        <f>SUMPRODUCT(G150:G253,Z150:Z253)</f>
        <v>191286.32199999999</v>
      </c>
      <c r="AA267" s="291">
        <f>IF(AA149="kW",SUMPRODUCT(N150:N253,R150:R253,AA150:AA253),SUMPRODUCT(G150:G253,AA150:AA253))</f>
        <v>573.52283999999997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11738.48</v>
      </c>
      <c r="Z268" s="291">
        <f>SUMPRODUCT(H150:H253,Z150:Z253)</f>
        <v>80871.991999999998</v>
      </c>
      <c r="AA268" s="291">
        <f>IF(AA149="kW",SUMPRODUCT(N150:N253,S150:S253,AA150:AA253),SUMPRODUCT(H150:H253,AA150:AA253))</f>
        <v>325.01844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8068.75</v>
      </c>
      <c r="Z269" s="291">
        <f>SUMPRODUCT(I150:I253,Z150:Z253)</f>
        <v>18889.982</v>
      </c>
      <c r="AA269" s="291">
        <f>IF(AA149="kW",SUMPRODUCT(N150:N253,T150:T253,AA150:AA253),SUMPRODUCT(I150:I253,AA150:AA253))</f>
        <v>325.01844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5436.97</v>
      </c>
      <c r="Z270" s="291">
        <f>SUMPRODUCT(J150:J253,Z150:Z253)</f>
        <v>18868.679</v>
      </c>
      <c r="AA270" s="291">
        <f>IF(AA149="kW",SUMPRODUCT(N150:N253,U150:U253,AA150:AA253),SUMPRODUCT(J150:J253,AA150:AA253))</f>
        <v>318.73932000000002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5425.1</v>
      </c>
      <c r="Z271" s="291">
        <f>SUMPRODUCT(K150:K253,Z150:Z253)</f>
        <v>18868.679</v>
      </c>
      <c r="AA271" s="291">
        <f>IF(AA149="kW",SUMPRODUCT(N150:N253,V150:V253,AA150:AA253),SUMPRODUCT(K150:K253,AA150:AA253))</f>
        <v>316.79532000000006</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5425.1</v>
      </c>
      <c r="Z272" s="326">
        <f>SUMPRODUCT(L150:L253,Z150:Z253)</f>
        <v>18428.879000000001</v>
      </c>
      <c r="AA272" s="326">
        <f>IF(AA149="kW",SUMPRODUCT(N150:N253,W150:W253,AA150:AA253),SUMPRODUCT(L150:L253,AA150:AA253))</f>
        <v>311.61131999999998</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1" t="s">
        <v>529</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797" t="s">
        <v>211</v>
      </c>
      <c r="C276" s="799" t="s">
        <v>33</v>
      </c>
      <c r="D276" s="284" t="s">
        <v>423</v>
      </c>
      <c r="E276" s="801" t="s">
        <v>209</v>
      </c>
      <c r="F276" s="802"/>
      <c r="G276" s="802"/>
      <c r="H276" s="802"/>
      <c r="I276" s="802"/>
      <c r="J276" s="802"/>
      <c r="K276" s="802"/>
      <c r="L276" s="802"/>
      <c r="M276" s="803"/>
      <c r="N276" s="807" t="s">
        <v>213</v>
      </c>
      <c r="O276" s="284" t="s">
        <v>424</v>
      </c>
      <c r="P276" s="801" t="s">
        <v>212</v>
      </c>
      <c r="Q276" s="802"/>
      <c r="R276" s="802"/>
      <c r="S276" s="802"/>
      <c r="T276" s="802"/>
      <c r="U276" s="802"/>
      <c r="V276" s="802"/>
      <c r="W276" s="802"/>
      <c r="X276" s="803"/>
      <c r="Y276" s="804" t="s">
        <v>244</v>
      </c>
      <c r="Z276" s="805"/>
      <c r="AA276" s="805"/>
      <c r="AB276" s="805"/>
      <c r="AC276" s="805"/>
      <c r="AD276" s="805"/>
      <c r="AE276" s="805"/>
      <c r="AF276" s="805"/>
      <c r="AG276" s="805"/>
      <c r="AH276" s="805"/>
      <c r="AI276" s="805"/>
      <c r="AJ276" s="805"/>
      <c r="AK276" s="805"/>
      <c r="AL276" s="805"/>
      <c r="AM276" s="806"/>
    </row>
    <row r="277" spans="1:39" ht="60.75" customHeight="1">
      <c r="B277" s="798"/>
      <c r="C277" s="800"/>
      <c r="D277" s="285">
        <v>2013</v>
      </c>
      <c r="E277" s="285">
        <v>2014</v>
      </c>
      <c r="F277" s="285">
        <v>2015</v>
      </c>
      <c r="G277" s="285">
        <v>2016</v>
      </c>
      <c r="H277" s="285">
        <v>2017</v>
      </c>
      <c r="I277" s="285">
        <v>2018</v>
      </c>
      <c r="J277" s="285">
        <v>2019</v>
      </c>
      <c r="K277" s="285">
        <v>2020</v>
      </c>
      <c r="L277" s="285">
        <v>2021</v>
      </c>
      <c r="M277" s="285">
        <v>2022</v>
      </c>
      <c r="N277" s="80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50kW to 4999 kW</v>
      </c>
      <c r="AB277" s="285" t="str">
        <f>'1.  LRAMVA Summary'!G52</f>
        <v>Unmettered Scattered Load</v>
      </c>
      <c r="AC277" s="285" t="str">
        <f>'1.  LRAMVA Summary'!H52</f>
        <v>Sentinel Lighiting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2.3199999999999998</v>
      </c>
      <c r="E279" s="295">
        <v>2.3199999999999998</v>
      </c>
      <c r="F279" s="295">
        <v>2.3199999999999998</v>
      </c>
      <c r="G279" s="295">
        <v>2.3199999999999998</v>
      </c>
      <c r="H279" s="295">
        <v>1.25</v>
      </c>
      <c r="I279" s="295">
        <v>0</v>
      </c>
      <c r="J279" s="295">
        <v>0</v>
      </c>
      <c r="K279" s="295">
        <v>0</v>
      </c>
      <c r="L279" s="295">
        <v>0</v>
      </c>
      <c r="M279" s="295">
        <v>0</v>
      </c>
      <c r="N279" s="291"/>
      <c r="O279" s="295">
        <v>2.9999999999999997E-4</v>
      </c>
      <c r="P279" s="295">
        <v>2.9999999999999997E-4</v>
      </c>
      <c r="Q279" s="295">
        <v>2.9999999999999997E-4</v>
      </c>
      <c r="R279" s="295">
        <v>2.9999999999999997E-4</v>
      </c>
      <c r="S279" s="295">
        <v>2.0000000000000001E-4</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1021.1</v>
      </c>
      <c r="E285" s="295">
        <v>1021.1</v>
      </c>
      <c r="F285" s="295">
        <v>1021.1</v>
      </c>
      <c r="G285" s="295">
        <v>1021.1</v>
      </c>
      <c r="H285" s="295">
        <v>1021.1</v>
      </c>
      <c r="I285" s="295">
        <v>1021.1</v>
      </c>
      <c r="J285" s="295">
        <v>1021.1</v>
      </c>
      <c r="K285" s="295">
        <v>1021.1</v>
      </c>
      <c r="L285" s="295">
        <v>1021.1</v>
      </c>
      <c r="M285" s="295">
        <v>1021.1</v>
      </c>
      <c r="N285" s="291"/>
      <c r="O285" s="295">
        <v>0.52590000000000003</v>
      </c>
      <c r="P285" s="295">
        <v>0.52590000000000003</v>
      </c>
      <c r="Q285" s="295">
        <v>0.52590000000000003</v>
      </c>
      <c r="R285" s="295">
        <v>0.52590000000000003</v>
      </c>
      <c r="S285" s="295">
        <v>0.52590000000000003</v>
      </c>
      <c r="T285" s="295">
        <v>0.52590000000000003</v>
      </c>
      <c r="U285" s="295">
        <v>0.52590000000000003</v>
      </c>
      <c r="V285" s="295">
        <v>0.52590000000000003</v>
      </c>
      <c r="W285" s="295">
        <v>0.52590000000000003</v>
      </c>
      <c r="X285" s="295">
        <v>0.52590000000000003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2917.83</v>
      </c>
      <c r="E288" s="295">
        <v>2917.83</v>
      </c>
      <c r="F288" s="295">
        <v>2805.39</v>
      </c>
      <c r="G288" s="295">
        <v>2376.7399999999998</v>
      </c>
      <c r="H288" s="295">
        <v>2376.7399999999998</v>
      </c>
      <c r="I288" s="295">
        <v>2376.7399999999998</v>
      </c>
      <c r="J288" s="295">
        <v>2376.7399999999998</v>
      </c>
      <c r="K288" s="295">
        <v>2374.7600000000002</v>
      </c>
      <c r="L288" s="295">
        <v>1726.85</v>
      </c>
      <c r="M288" s="295">
        <v>1726.85</v>
      </c>
      <c r="N288" s="291"/>
      <c r="O288" s="295">
        <v>0.1956</v>
      </c>
      <c r="P288" s="295">
        <v>0.1956</v>
      </c>
      <c r="Q288" s="295">
        <v>0.1885</v>
      </c>
      <c r="R288" s="295">
        <v>0.16159999999999999</v>
      </c>
      <c r="S288" s="295">
        <v>0.16159999999999999</v>
      </c>
      <c r="T288" s="295">
        <v>0.16159999999999999</v>
      </c>
      <c r="U288" s="295">
        <v>0.16159999999999999</v>
      </c>
      <c r="V288" s="295">
        <v>0.16139999999999999</v>
      </c>
      <c r="W288" s="295">
        <v>0.1207</v>
      </c>
      <c r="X288" s="295">
        <v>0.1207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163</v>
      </c>
      <c r="D289" s="295">
        <v>9</v>
      </c>
      <c r="E289" s="295">
        <v>9</v>
      </c>
      <c r="F289" s="295">
        <v>8</v>
      </c>
      <c r="G289" s="295">
        <v>7</v>
      </c>
      <c r="H289" s="295">
        <v>7</v>
      </c>
      <c r="I289" s="295">
        <v>7</v>
      </c>
      <c r="J289" s="295">
        <v>7</v>
      </c>
      <c r="K289" s="295">
        <v>7</v>
      </c>
      <c r="L289" s="295">
        <v>6</v>
      </c>
      <c r="M289" s="295">
        <v>6</v>
      </c>
      <c r="N289" s="468"/>
      <c r="O289" s="295">
        <v>1E-3</v>
      </c>
      <c r="P289" s="295">
        <v>1E-3</v>
      </c>
      <c r="Q289" s="295">
        <v>1E-3</v>
      </c>
      <c r="R289" s="295">
        <v>1E-3</v>
      </c>
      <c r="S289" s="295">
        <v>1E-3</v>
      </c>
      <c r="T289" s="295">
        <v>1E-3</v>
      </c>
      <c r="U289" s="295">
        <v>1E-3</v>
      </c>
      <c r="V289" s="295">
        <v>0</v>
      </c>
      <c r="W289" s="295">
        <v>0</v>
      </c>
      <c r="X289" s="295"/>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6503.71</v>
      </c>
      <c r="E291" s="295">
        <v>6503.71</v>
      </c>
      <c r="F291" s="295">
        <v>6111.85</v>
      </c>
      <c r="G291" s="295">
        <v>4774.5200000000004</v>
      </c>
      <c r="H291" s="295">
        <v>4774.5200000000004</v>
      </c>
      <c r="I291" s="295">
        <v>4774.5200000000004</v>
      </c>
      <c r="J291" s="295">
        <v>4774.5200000000004</v>
      </c>
      <c r="K291" s="295">
        <v>4768.8900000000003</v>
      </c>
      <c r="L291" s="295">
        <v>4010.36</v>
      </c>
      <c r="M291" s="295">
        <v>4010.36</v>
      </c>
      <c r="N291" s="291"/>
      <c r="O291" s="295">
        <v>0.4481</v>
      </c>
      <c r="P291" s="295">
        <v>0.4481</v>
      </c>
      <c r="Q291" s="295">
        <v>0.42349999999999999</v>
      </c>
      <c r="R291" s="295">
        <v>0.33950000000000002</v>
      </c>
      <c r="S291" s="295">
        <v>0.33950000000000002</v>
      </c>
      <c r="T291" s="295">
        <v>0.33950000000000002</v>
      </c>
      <c r="U291" s="295">
        <v>0.33950000000000002</v>
      </c>
      <c r="V291" s="295">
        <v>0.33889999999999998</v>
      </c>
      <c r="W291" s="295">
        <v>0.2913</v>
      </c>
      <c r="X291" s="295">
        <v>0.2913</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2884.17</v>
      </c>
      <c r="E307" s="295">
        <v>2884.17</v>
      </c>
      <c r="F307" s="295">
        <v>2884.17</v>
      </c>
      <c r="G307" s="295">
        <v>2884.17</v>
      </c>
      <c r="H307" s="295">
        <v>2884.17</v>
      </c>
      <c r="I307" s="295">
        <v>2710.96</v>
      </c>
      <c r="J307" s="295">
        <v>2710.96</v>
      </c>
      <c r="K307" s="295">
        <v>2710.96</v>
      </c>
      <c r="L307" s="295">
        <v>2710.96</v>
      </c>
      <c r="M307" s="295">
        <v>1448.3</v>
      </c>
      <c r="N307" s="295">
        <v>12</v>
      </c>
      <c r="O307" s="295">
        <v>0.71460000000000001</v>
      </c>
      <c r="P307" s="295">
        <v>0.71460000000000001</v>
      </c>
      <c r="Q307" s="295">
        <v>0.71460000000000001</v>
      </c>
      <c r="R307" s="295">
        <v>0.71460000000000001</v>
      </c>
      <c r="S307" s="295">
        <v>0.71460000000000001</v>
      </c>
      <c r="T307" s="295">
        <v>0.67169999999999996</v>
      </c>
      <c r="U307" s="295">
        <v>0.67169999999999996</v>
      </c>
      <c r="V307" s="295">
        <v>0.67169999999999996</v>
      </c>
      <c r="W307" s="295">
        <v>0.67169999999999996</v>
      </c>
      <c r="X307" s="295">
        <v>0.35880000000000001</v>
      </c>
      <c r="Y307" s="415"/>
      <c r="Z307" s="469">
        <v>0.1</v>
      </c>
      <c r="AA307" s="469">
        <v>0.9</v>
      </c>
      <c r="AB307" s="503"/>
      <c r="AC307" s="415"/>
      <c r="AD307" s="415"/>
      <c r="AE307" s="415"/>
      <c r="AF307" s="415"/>
      <c r="AG307" s="415"/>
      <c r="AH307" s="415"/>
      <c r="AI307" s="415"/>
      <c r="AJ307" s="415"/>
      <c r="AK307" s="415"/>
      <c r="AL307" s="415"/>
      <c r="AM307" s="296">
        <f>SUM(Y307:AL307)</f>
        <v>1</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0.1</v>
      </c>
      <c r="AA308" s="411">
        <f t="shared" ref="AA308:AL308" si="90">AA307</f>
        <v>0.9</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60473.98</v>
      </c>
      <c r="E310" s="295">
        <v>60473.98</v>
      </c>
      <c r="F310" s="295">
        <v>60473.98</v>
      </c>
      <c r="G310" s="295">
        <v>47319.16</v>
      </c>
      <c r="H310" s="295">
        <v>5706.2</v>
      </c>
      <c r="I310" s="295">
        <v>5706.2</v>
      </c>
      <c r="J310" s="295">
        <v>5706.2</v>
      </c>
      <c r="K310" s="295">
        <v>5706.2</v>
      </c>
      <c r="L310" s="295">
        <v>5706.2</v>
      </c>
      <c r="M310" s="295">
        <v>5706.2</v>
      </c>
      <c r="N310" s="295">
        <v>12</v>
      </c>
      <c r="O310" s="295">
        <v>19.443300000000001</v>
      </c>
      <c r="P310" s="295">
        <v>19.443300000000001</v>
      </c>
      <c r="Q310" s="295">
        <v>19.443300000000001</v>
      </c>
      <c r="R310" s="295">
        <v>15.793699999999999</v>
      </c>
      <c r="S310" s="295">
        <v>1.9366000000000001</v>
      </c>
      <c r="T310" s="295">
        <v>1.9366000000000001</v>
      </c>
      <c r="U310" s="295">
        <v>1.9366000000000001</v>
      </c>
      <c r="V310" s="295">
        <v>1.9366000000000001</v>
      </c>
      <c r="W310" s="295">
        <v>1.9366000000000001</v>
      </c>
      <c r="X310" s="295">
        <v>1.9366000000000001</v>
      </c>
      <c r="Y310" s="415"/>
      <c r="Z310" s="410">
        <v>1</v>
      </c>
      <c r="AA310" s="415"/>
      <c r="AB310" s="415"/>
      <c r="AC310" s="415"/>
      <c r="AD310" s="415"/>
      <c r="AE310" s="415"/>
      <c r="AF310" s="415"/>
      <c r="AG310" s="415"/>
      <c r="AH310" s="415"/>
      <c r="AI310" s="415"/>
      <c r="AJ310" s="415"/>
      <c r="AK310" s="415"/>
      <c r="AL310" s="415"/>
      <c r="AM310" s="296">
        <f>SUM(Y310:AL310)</f>
        <v>1</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18412.900000000001</v>
      </c>
      <c r="E348" s="295">
        <v>15444.91</v>
      </c>
      <c r="F348" s="295">
        <v>15175.1</v>
      </c>
      <c r="G348" s="295">
        <v>13016.56</v>
      </c>
      <c r="H348" s="295">
        <v>13016.56</v>
      </c>
      <c r="I348" s="295">
        <v>13016.56</v>
      </c>
      <c r="J348" s="295">
        <v>13016.56</v>
      </c>
      <c r="K348" s="295">
        <v>13016.56</v>
      </c>
      <c r="L348" s="295">
        <v>4151.1400000000003</v>
      </c>
      <c r="M348" s="295">
        <v>4151.1400000000003</v>
      </c>
      <c r="N348" s="291"/>
      <c r="O348" s="295">
        <v>0.91859999999999997</v>
      </c>
      <c r="P348" s="295">
        <v>0.76449999999999996</v>
      </c>
      <c r="Q348" s="295">
        <v>0.75049999999999994</v>
      </c>
      <c r="R348" s="295">
        <v>0.63829999999999998</v>
      </c>
      <c r="S348" s="295">
        <v>0.63829999999999998</v>
      </c>
      <c r="T348" s="295">
        <v>0.63829999999999998</v>
      </c>
      <c r="U348" s="295">
        <v>0.63829999999999998</v>
      </c>
      <c r="V348" s="295">
        <v>0.63829999999999998</v>
      </c>
      <c r="W348" s="295">
        <v>0.17780000000000001</v>
      </c>
      <c r="X348" s="295">
        <v>0.17780000000000001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92225.010000000009</v>
      </c>
      <c r="E384" s="329">
        <f t="shared" ref="E384:M384" si="114">SUM(E279:E382)</f>
        <v>89257.02</v>
      </c>
      <c r="F384" s="329">
        <f t="shared" si="114"/>
        <v>88481.91</v>
      </c>
      <c r="G384" s="329">
        <f t="shared" si="114"/>
        <v>71401.570000000007</v>
      </c>
      <c r="H384" s="329">
        <f t="shared" si="114"/>
        <v>29787.54</v>
      </c>
      <c r="I384" s="329">
        <f t="shared" si="114"/>
        <v>29613.08</v>
      </c>
      <c r="J384" s="329">
        <f t="shared" si="114"/>
        <v>29613.08</v>
      </c>
      <c r="K384" s="329">
        <f t="shared" si="114"/>
        <v>29605.47</v>
      </c>
      <c r="L384" s="329">
        <f t="shared" si="114"/>
        <v>19332.61</v>
      </c>
      <c r="M384" s="329">
        <f t="shared" si="114"/>
        <v>18069.949999999997</v>
      </c>
      <c r="N384" s="329"/>
      <c r="O384" s="329">
        <f>SUM(O279:O382)</f>
        <v>22.247400000000003</v>
      </c>
      <c r="P384" s="329">
        <f t="shared" ref="P384:X384" si="115">SUM(P279:P382)</f>
        <v>22.093299999999999</v>
      </c>
      <c r="Q384" s="329">
        <f t="shared" si="115"/>
        <v>22.047599999999999</v>
      </c>
      <c r="R384" s="329">
        <f t="shared" si="115"/>
        <v>18.174900000000001</v>
      </c>
      <c r="S384" s="329">
        <f t="shared" si="115"/>
        <v>4.3177000000000003</v>
      </c>
      <c r="T384" s="329">
        <f t="shared" si="115"/>
        <v>4.2746000000000004</v>
      </c>
      <c r="U384" s="329">
        <f t="shared" si="115"/>
        <v>4.2746000000000004</v>
      </c>
      <c r="V384" s="329">
        <f t="shared" si="115"/>
        <v>4.2728000000000002</v>
      </c>
      <c r="W384" s="329">
        <f t="shared" si="115"/>
        <v>3.7239999999999998</v>
      </c>
      <c r="X384" s="329">
        <f t="shared" si="115"/>
        <v>3.4110999999999998</v>
      </c>
      <c r="Y384" s="329">
        <f>IF(Y278="kWh",SUMPRODUCT(D279:D382,Y279:Y382))</f>
        <v>28866.86</v>
      </c>
      <c r="Z384" s="329">
        <f>IF(Z278="kWh",SUMPRODUCT(D279:D382,Z279:Z382))</f>
        <v>60762.397000000004</v>
      </c>
      <c r="AA384" s="329">
        <f>IF(AA278="kW",SUMPRODUCT(N279:N382,O279:O382,AA279:AA382),SUMPRODUCT(D279:D382,AA279:AA382))</f>
        <v>7.7176800000000005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910343</v>
      </c>
      <c r="Z385" s="328">
        <f>HLOOKUP(Z277,'2. LRAMVA Threshold'!$B$42:$Q$53,5,FALSE)</f>
        <v>8804</v>
      </c>
      <c r="AA385" s="328">
        <f>HLOOKUP(AA277,'2. LRAMVA Threshold'!$B$42:$Q$53,5,FALSE)</f>
        <v>202</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1.3599999999999999E-2</v>
      </c>
      <c r="Z387" s="341">
        <f>HLOOKUP(Z$20,'3.  Distribution Rates'!$C$122:$P$133,5,FALSE)</f>
        <v>1.7500000000000002E-2</v>
      </c>
      <c r="AA387" s="341">
        <f>HLOOKUP(AA$20,'3.  Distribution Rates'!$C$122:$P$133,5,FALSE)</f>
        <v>3.6006</v>
      </c>
      <c r="AB387" s="341">
        <f>HLOOKUP(AB$20,'3.  Distribution Rates'!$C$122:$P$133,5,FALSE)</f>
        <v>3.2800000000000003E-2</v>
      </c>
      <c r="AC387" s="341">
        <f>HLOOKUP(AC$20,'3.  Distribution Rates'!$C$122:$P$133,5,FALSE)</f>
        <v>10.155200000000001</v>
      </c>
      <c r="AD387" s="341">
        <f>HLOOKUP(AD$20,'3.  Distribution Rates'!$C$122:$P$133,5,FALSE)</f>
        <v>18.3108</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400.72903200000002</v>
      </c>
      <c r="Z388" s="378">
        <f t="shared" si="116"/>
        <v>1608.5779500000003</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8">
        <f>SUM(Y388:AL388)</f>
        <v>2009.3069820000003</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180.34103199999998</v>
      </c>
      <c r="Z389" s="378">
        <f t="shared" si="117"/>
        <v>4009.5463974999998</v>
      </c>
      <c r="AA389" s="378">
        <f t="shared" si="117"/>
        <v>2368.9889897040002</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8">
        <f>SUM(Y389:AL389)</f>
        <v>6558.8764192039998</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392.58929599999999</v>
      </c>
      <c r="Z390" s="378">
        <f t="shared" ref="Z390:AE390" si="118">Z384*Z387</f>
        <v>1063.3419475000003</v>
      </c>
      <c r="AA390" s="378">
        <f t="shared" si="118"/>
        <v>27.788278608000002</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8">
        <f>SUM(Y390:AL390)</f>
        <v>1483.7195221080001</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973.65935999999999</v>
      </c>
      <c r="Z391" s="346">
        <f>SUM(Z388:Z390)</f>
        <v>6681.4662950000002</v>
      </c>
      <c r="AA391" s="346">
        <f t="shared" ref="AA391:AE391" si="120">SUM(AA388:AA390)</f>
        <v>2396.7772683120002</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10051.902923312</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12380.664799999999</v>
      </c>
      <c r="Z392" s="347">
        <f t="shared" si="122"/>
        <v>154.07000000000002</v>
      </c>
      <c r="AA392" s="347">
        <f t="shared" si="122"/>
        <v>727.32119999999998</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13262.055999999999</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-3210.1530766879987</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25898.87</v>
      </c>
      <c r="Z395" s="291">
        <f>SUMPRODUCT(E279:E382,Z279:Z382)</f>
        <v>60762.397000000004</v>
      </c>
      <c r="AA395" s="291">
        <f>IF(AA278="kW",SUMPRODUCT(N279:N382,P279:P382,AA279:AA382),SUMPRODUCT(E279:E382,AA279:AA382))</f>
        <v>7.7176800000000005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25123.760000000002</v>
      </c>
      <c r="Z396" s="291">
        <f>SUMPRODUCT(F279:F382,Z279:Z382)</f>
        <v>60762.397000000004</v>
      </c>
      <c r="AA396" s="291">
        <f>IF(AA278="kW",SUMPRODUCT(N279:N382,Q279:Q382,AA279:AA382),SUMPRODUCT(F279:F382,AA279:AA382))</f>
        <v>7.7176800000000005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21198.239999999998</v>
      </c>
      <c r="Z397" s="291">
        <f>SUMPRODUCT(G279:G382,Z279:Z382)</f>
        <v>47607.577000000005</v>
      </c>
      <c r="AA397" s="291">
        <f>IF(AA278="kW",SUMPRODUCT(N279:N382,R279:R382,AA279:AA382),SUMPRODUCT(G279:G382,AA279:AA382))</f>
        <v>7.7176800000000005</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21197.17</v>
      </c>
      <c r="Z398" s="291">
        <f>SUMPRODUCT(H279:H382,Z279:Z382)</f>
        <v>5994.6170000000002</v>
      </c>
      <c r="AA398" s="291">
        <f>IF(AA278="kW",SUMPRODUCT(N279:N382,S279:S382,AA279:AA382),SUMPRODUCT(H279:H382,AA279:AA382))</f>
        <v>7.7176800000000005</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21195.919999999998</v>
      </c>
      <c r="Z399" s="291">
        <f>SUMPRODUCT(I279:I382,Z279:Z382)</f>
        <v>5977.2960000000003</v>
      </c>
      <c r="AA399" s="291">
        <f>IF(AA278="kW",SUMPRODUCT(N279:N382,T279:T382,AA279:AA382),SUMPRODUCT(I279:I382,AA279:AA382))</f>
        <v>7.2543600000000001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21195.919999999998</v>
      </c>
      <c r="Z400" s="291">
        <f>SUMPRODUCT(J279:J382,Z279:Z382)</f>
        <v>5977.2960000000003</v>
      </c>
      <c r="AA400" s="291">
        <f>IF(AA278="kW",SUMPRODUCT(N279:N382,U279:U382,AA279:AA382),SUMPRODUCT(J279:J382,AA279:AA382))</f>
        <v>7.2543600000000001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21188.309999999998</v>
      </c>
      <c r="Z401" s="326">
        <f>SUMPRODUCT(K279:K382,Z279:Z382)</f>
        <v>5977.2960000000003</v>
      </c>
      <c r="AA401" s="326">
        <f>IF(AA278="kW",SUMPRODUCT(N279:N382,V279:V382,AA279:AA382),SUMPRODUCT(K279:K382,AA279:AA382))</f>
        <v>7.2543600000000001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89" t="s">
        <v>524</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797" t="s">
        <v>211</v>
      </c>
      <c r="C405" s="799" t="s">
        <v>33</v>
      </c>
      <c r="D405" s="284" t="s">
        <v>423</v>
      </c>
      <c r="E405" s="801" t="s">
        <v>209</v>
      </c>
      <c r="F405" s="802"/>
      <c r="G405" s="802"/>
      <c r="H405" s="802"/>
      <c r="I405" s="802"/>
      <c r="J405" s="802"/>
      <c r="K405" s="802"/>
      <c r="L405" s="802"/>
      <c r="M405" s="803"/>
      <c r="N405" s="807" t="s">
        <v>213</v>
      </c>
      <c r="O405" s="284" t="s">
        <v>424</v>
      </c>
      <c r="P405" s="801" t="s">
        <v>212</v>
      </c>
      <c r="Q405" s="802"/>
      <c r="R405" s="802"/>
      <c r="S405" s="802"/>
      <c r="T405" s="802"/>
      <c r="U405" s="802"/>
      <c r="V405" s="802"/>
      <c r="W405" s="802"/>
      <c r="X405" s="803"/>
      <c r="Y405" s="804" t="s">
        <v>244</v>
      </c>
      <c r="Z405" s="805"/>
      <c r="AA405" s="805"/>
      <c r="AB405" s="805"/>
      <c r="AC405" s="805"/>
      <c r="AD405" s="805"/>
      <c r="AE405" s="805"/>
      <c r="AF405" s="805"/>
      <c r="AG405" s="805"/>
      <c r="AH405" s="805"/>
      <c r="AI405" s="805"/>
      <c r="AJ405" s="805"/>
      <c r="AK405" s="805"/>
      <c r="AL405" s="805"/>
      <c r="AM405" s="806"/>
    </row>
    <row r="406" spans="1:40" ht="45.75" customHeight="1">
      <c r="B406" s="798"/>
      <c r="C406" s="800"/>
      <c r="D406" s="285">
        <v>2014</v>
      </c>
      <c r="E406" s="285">
        <v>2015</v>
      </c>
      <c r="F406" s="285">
        <v>2016</v>
      </c>
      <c r="G406" s="285">
        <v>2017</v>
      </c>
      <c r="H406" s="285">
        <v>2018</v>
      </c>
      <c r="I406" s="285">
        <v>2019</v>
      </c>
      <c r="J406" s="285">
        <v>2020</v>
      </c>
      <c r="K406" s="285">
        <v>2021</v>
      </c>
      <c r="L406" s="285">
        <v>2022</v>
      </c>
      <c r="M406" s="285">
        <v>2023</v>
      </c>
      <c r="N406" s="80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50kW to 4999 kW</v>
      </c>
      <c r="AB406" s="285" t="str">
        <f>'1.  LRAMVA Summary'!G52</f>
        <v>Unmettered Scattered Load</v>
      </c>
      <c r="AC406" s="285" t="str">
        <f>'1.  LRAMVA Summary'!H52</f>
        <v>Sentinel Lighiting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1.55</v>
      </c>
      <c r="E408" s="295">
        <v>1.55</v>
      </c>
      <c r="F408" s="295">
        <v>1.55</v>
      </c>
      <c r="G408" s="295">
        <v>1.55</v>
      </c>
      <c r="H408" s="295">
        <v>1.55</v>
      </c>
      <c r="I408" s="295">
        <v>0</v>
      </c>
      <c r="J408" s="295">
        <v>0</v>
      </c>
      <c r="K408" s="295">
        <v>0</v>
      </c>
      <c r="L408" s="295">
        <v>0</v>
      </c>
      <c r="M408" s="295">
        <v>0</v>
      </c>
      <c r="N408" s="291"/>
      <c r="O408" s="295">
        <v>2.0000000000000001E-4</v>
      </c>
      <c r="P408" s="295">
        <v>2.0000000000000001E-4</v>
      </c>
      <c r="Q408" s="295">
        <v>2.0000000000000001E-4</v>
      </c>
      <c r="R408" s="295">
        <v>2.0000000000000001E-4</v>
      </c>
      <c r="S408" s="295">
        <v>2.0000000000000001E-4</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369.44</v>
      </c>
      <c r="E411" s="295">
        <v>369.44</v>
      </c>
      <c r="F411" s="295">
        <v>369.44</v>
      </c>
      <c r="G411" s="295">
        <v>369.44</v>
      </c>
      <c r="H411" s="295">
        <v>0</v>
      </c>
      <c r="I411" s="295">
        <v>0</v>
      </c>
      <c r="J411" s="295">
        <v>0</v>
      </c>
      <c r="K411" s="295">
        <v>0</v>
      </c>
      <c r="L411" s="295">
        <v>0</v>
      </c>
      <c r="M411" s="295">
        <v>0</v>
      </c>
      <c r="N411" s="291"/>
      <c r="O411" s="295">
        <v>0.2072</v>
      </c>
      <c r="P411" s="295">
        <v>0.2072</v>
      </c>
      <c r="Q411" s="295">
        <v>0.2072</v>
      </c>
      <c r="R411" s="295">
        <v>0.2072</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628.66999999999996</v>
      </c>
      <c r="E414" s="295">
        <v>628.66999999999996</v>
      </c>
      <c r="F414" s="295">
        <v>628.66999999999996</v>
      </c>
      <c r="G414" s="295">
        <v>628.66999999999996</v>
      </c>
      <c r="H414" s="295">
        <v>628.66999999999996</v>
      </c>
      <c r="I414" s="295">
        <v>628.66999999999996</v>
      </c>
      <c r="J414" s="295">
        <v>628.66999999999996</v>
      </c>
      <c r="K414" s="295">
        <v>628.66999999999996</v>
      </c>
      <c r="L414" s="295">
        <v>628.66999999999996</v>
      </c>
      <c r="M414" s="295">
        <v>628.66999999999996</v>
      </c>
      <c r="N414" s="291"/>
      <c r="O414" s="295">
        <v>0.35020000000000001</v>
      </c>
      <c r="P414" s="295">
        <v>0.35020000000000001</v>
      </c>
      <c r="Q414" s="295">
        <v>0.35020000000000001</v>
      </c>
      <c r="R414" s="295">
        <v>0.35020000000000001</v>
      </c>
      <c r="S414" s="295">
        <v>0.35020000000000001</v>
      </c>
      <c r="T414" s="295">
        <v>0.35020000000000001</v>
      </c>
      <c r="U414" s="295">
        <v>0.35020000000000001</v>
      </c>
      <c r="V414" s="295">
        <v>0.35020000000000001</v>
      </c>
      <c r="W414" s="295">
        <v>0.35020000000000001</v>
      </c>
      <c r="X414" s="295">
        <v>0.35020000000000001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11383.71</v>
      </c>
      <c r="E417" s="295">
        <v>10641.67</v>
      </c>
      <c r="F417" s="295">
        <v>10283.540000000001</v>
      </c>
      <c r="G417" s="295">
        <v>10283.540000000001</v>
      </c>
      <c r="H417" s="295">
        <v>10283.540000000001</v>
      </c>
      <c r="I417" s="295">
        <v>10283.540000000001</v>
      </c>
      <c r="J417" s="295">
        <v>10283.540000000001</v>
      </c>
      <c r="K417" s="295">
        <v>10264.93</v>
      </c>
      <c r="L417" s="295">
        <v>10264.93</v>
      </c>
      <c r="M417" s="295">
        <v>8644.11</v>
      </c>
      <c r="N417" s="291"/>
      <c r="O417" s="295">
        <v>0.85540000000000005</v>
      </c>
      <c r="P417" s="295">
        <v>0.80879999999999996</v>
      </c>
      <c r="Q417" s="295">
        <v>0.7863</v>
      </c>
      <c r="R417" s="295">
        <v>0.7863</v>
      </c>
      <c r="S417" s="295">
        <v>0.7863</v>
      </c>
      <c r="T417" s="295">
        <v>0.7863</v>
      </c>
      <c r="U417" s="295">
        <v>0.7863</v>
      </c>
      <c r="V417" s="295">
        <v>0.78420000000000001</v>
      </c>
      <c r="W417" s="295">
        <v>0.78420000000000001</v>
      </c>
      <c r="X417" s="295">
        <v>0.67</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46526.89</v>
      </c>
      <c r="E420" s="295">
        <v>40361.58</v>
      </c>
      <c r="F420" s="295">
        <v>37148.57</v>
      </c>
      <c r="G420" s="295">
        <v>37148.57</v>
      </c>
      <c r="H420" s="295">
        <v>37148.57</v>
      </c>
      <c r="I420" s="295">
        <v>37148.57</v>
      </c>
      <c r="J420" s="295">
        <v>37148.57</v>
      </c>
      <c r="K420" s="295">
        <v>37132.480000000003</v>
      </c>
      <c r="L420" s="295">
        <v>37132.480000000003</v>
      </c>
      <c r="M420" s="295">
        <v>34535.269999999997</v>
      </c>
      <c r="N420" s="291"/>
      <c r="O420" s="295">
        <v>3.0449999999999999</v>
      </c>
      <c r="P420" s="295">
        <v>2.6579000000000002</v>
      </c>
      <c r="Q420" s="295">
        <v>2.4561999999999999</v>
      </c>
      <c r="R420" s="295">
        <v>2.4561999999999999</v>
      </c>
      <c r="S420" s="295">
        <v>2.4561999999999999</v>
      </c>
      <c r="T420" s="295">
        <v>2.4561999999999999</v>
      </c>
      <c r="U420" s="295">
        <v>2.4561999999999999</v>
      </c>
      <c r="V420" s="295">
        <v>2.4544000000000001</v>
      </c>
      <c r="W420" s="295">
        <v>2.4544000000000001</v>
      </c>
      <c r="X420" s="295">
        <v>2.2913000000000001</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92052.43</v>
      </c>
      <c r="E436" s="295">
        <v>92052.43</v>
      </c>
      <c r="F436" s="295">
        <v>92052.43</v>
      </c>
      <c r="G436" s="295">
        <v>89279.19</v>
      </c>
      <c r="H436" s="295">
        <v>89279.19</v>
      </c>
      <c r="I436" s="295">
        <v>89279.19</v>
      </c>
      <c r="J436" s="295">
        <v>89279.19</v>
      </c>
      <c r="K436" s="295">
        <v>89279.19</v>
      </c>
      <c r="L436" s="295">
        <v>89279.19</v>
      </c>
      <c r="M436" s="295">
        <v>89279.19</v>
      </c>
      <c r="N436" s="295">
        <v>12</v>
      </c>
      <c r="O436" s="295">
        <v>37.887099999999997</v>
      </c>
      <c r="P436" s="295">
        <v>37.887099999999997</v>
      </c>
      <c r="Q436" s="295">
        <v>37.887099999999997</v>
      </c>
      <c r="R436" s="295">
        <v>37.091000000000001</v>
      </c>
      <c r="S436" s="295">
        <v>37.091000000000001</v>
      </c>
      <c r="T436" s="295">
        <v>37.091000000000001</v>
      </c>
      <c r="U436" s="295">
        <v>37.091000000000001</v>
      </c>
      <c r="V436" s="295">
        <v>37.091000000000001</v>
      </c>
      <c r="W436" s="295">
        <v>37.091000000000001</v>
      </c>
      <c r="X436" s="295">
        <v>37.091000000000001</v>
      </c>
      <c r="Y436" s="415"/>
      <c r="Z436" s="469">
        <v>0.1</v>
      </c>
      <c r="AA436" s="469">
        <v>0.9</v>
      </c>
      <c r="AB436" s="469"/>
      <c r="AC436" s="415"/>
      <c r="AD436" s="415"/>
      <c r="AE436" s="415"/>
      <c r="AF436" s="415"/>
      <c r="AG436" s="415"/>
      <c r="AH436" s="415"/>
      <c r="AI436" s="415"/>
      <c r="AJ436" s="415"/>
      <c r="AK436" s="415"/>
      <c r="AL436" s="415"/>
      <c r="AM436" s="296">
        <f>SUM(Y436:AL436)</f>
        <v>1</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v>
      </c>
      <c r="AA437" s="411">
        <f t="shared" ref="AA437:AL437" si="133">AA436</f>
        <v>0.9</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22855.59</v>
      </c>
      <c r="E439" s="295">
        <v>22855.59</v>
      </c>
      <c r="F439" s="295">
        <v>19981.54</v>
      </c>
      <c r="G439" s="295">
        <v>7192.84</v>
      </c>
      <c r="H439" s="295">
        <v>7192.84</v>
      </c>
      <c r="I439" s="295">
        <v>7192.84</v>
      </c>
      <c r="J439" s="295">
        <v>7192.84</v>
      </c>
      <c r="K439" s="295">
        <v>7192.84</v>
      </c>
      <c r="L439" s="295">
        <v>7192.84</v>
      </c>
      <c r="M439" s="295">
        <v>7192.84</v>
      </c>
      <c r="N439" s="295">
        <v>12</v>
      </c>
      <c r="O439" s="295">
        <v>7.0911</v>
      </c>
      <c r="P439" s="295">
        <v>7.0911</v>
      </c>
      <c r="Q439" s="295">
        <v>6.3573000000000004</v>
      </c>
      <c r="R439" s="295">
        <v>2.1627999999999998</v>
      </c>
      <c r="S439" s="295">
        <v>2.1627999999999998</v>
      </c>
      <c r="T439" s="295">
        <v>2.1627999999999998</v>
      </c>
      <c r="U439" s="295">
        <v>2.1627999999999998</v>
      </c>
      <c r="V439" s="295">
        <v>2.1627999999999998</v>
      </c>
      <c r="W439" s="295">
        <v>2.1627999999999998</v>
      </c>
      <c r="X439" s="295">
        <v>2.1627999999999998</v>
      </c>
      <c r="Y439" s="415"/>
      <c r="Z439" s="470">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v>7.0037000000000003</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173818.28</v>
      </c>
      <c r="E513" s="329">
        <f t="shared" ref="E513:M513" si="157">SUM(E408:E511)</f>
        <v>166910.93</v>
      </c>
      <c r="F513" s="329">
        <f t="shared" si="157"/>
        <v>160465.74000000002</v>
      </c>
      <c r="G513" s="329">
        <f t="shared" si="157"/>
        <v>144903.80000000002</v>
      </c>
      <c r="H513" s="329">
        <f t="shared" si="157"/>
        <v>144534.36000000002</v>
      </c>
      <c r="I513" s="329">
        <f t="shared" si="157"/>
        <v>144532.81</v>
      </c>
      <c r="J513" s="329">
        <f t="shared" si="157"/>
        <v>144532.81</v>
      </c>
      <c r="K513" s="329">
        <f t="shared" si="157"/>
        <v>144498.11000000002</v>
      </c>
      <c r="L513" s="329">
        <f t="shared" si="157"/>
        <v>144498.11000000002</v>
      </c>
      <c r="M513" s="329">
        <f t="shared" si="157"/>
        <v>140280.07999999999</v>
      </c>
      <c r="N513" s="329"/>
      <c r="O513" s="329">
        <f>SUM(O408:O511)</f>
        <v>56.439899999999994</v>
      </c>
      <c r="P513" s="329">
        <f t="shared" ref="P513:X513" si="158">SUM(P408:P511)</f>
        <v>49.002499999999998</v>
      </c>
      <c r="Q513" s="329">
        <f t="shared" si="158"/>
        <v>48.044499999999999</v>
      </c>
      <c r="R513" s="329">
        <f t="shared" si="158"/>
        <v>43.053899999999999</v>
      </c>
      <c r="S513" s="329">
        <f t="shared" si="158"/>
        <v>42.846699999999998</v>
      </c>
      <c r="T513" s="329">
        <f t="shared" si="158"/>
        <v>42.846499999999999</v>
      </c>
      <c r="U513" s="329">
        <f t="shared" si="158"/>
        <v>42.846499999999999</v>
      </c>
      <c r="V513" s="329">
        <f t="shared" si="158"/>
        <v>42.842599999999997</v>
      </c>
      <c r="W513" s="329">
        <f t="shared" si="158"/>
        <v>42.842599999999997</v>
      </c>
      <c r="X513" s="329">
        <f t="shared" si="158"/>
        <v>42.565300000000001</v>
      </c>
      <c r="Y513" s="329">
        <f>IF(Y407="kWh",SUMPRODUCT(D408:D511,Y408:Y511))</f>
        <v>58910.259999999995</v>
      </c>
      <c r="Z513" s="329">
        <f>IF(Z407="kWh",SUMPRODUCT(D408:D511,Z408:Z511))</f>
        <v>32060.832999999999</v>
      </c>
      <c r="AA513" s="329">
        <f>IF(AA407="kW",SUMPRODUCT(N408:N511,O408:O511,AA408:AA511),SUMPRODUCT(D408:D511,AA408:AA511))</f>
        <v>409.18067999999994</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910343</v>
      </c>
      <c r="Z514" s="328">
        <f>HLOOKUP(Z406,'2. LRAMVA Threshold'!$B$42:$Q$53,6,FALSE)</f>
        <v>8804</v>
      </c>
      <c r="AA514" s="328">
        <f>HLOOKUP(AA406,'2. LRAMVA Threshold'!$B$42:$Q$53,6,FALSE)</f>
        <v>202</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1.38E-2</v>
      </c>
      <c r="Z516" s="341">
        <f>HLOOKUP(Z$20,'3.  Distribution Rates'!$C$122:$P$133,6,FALSE)</f>
        <v>1.77E-2</v>
      </c>
      <c r="AA516" s="341">
        <f>HLOOKUP(AA$20,'3.  Distribution Rates'!$C$122:$P$133,6,FALSE)</f>
        <v>3.5874999999999999</v>
      </c>
      <c r="AB516" s="341">
        <f>HLOOKUP(AB$20,'3.  Distribution Rates'!$C$122:$P$133,6,FALSE)</f>
        <v>3.32E-2</v>
      </c>
      <c r="AC516" s="341">
        <f>HLOOKUP(AC$20,'3.  Distribution Rates'!$C$122:$P$133,6,FALSE)</f>
        <v>13.6395</v>
      </c>
      <c r="AD516" s="341">
        <f>HLOOKUP(AD$20,'3.  Distribution Rates'!$C$122:$P$133,6,FALSE)</f>
        <v>20.3873</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392.57439599999998</v>
      </c>
      <c r="Z517" s="378">
        <f t="shared" ref="Z517:AL517" si="159">Z137*Z516</f>
        <v>806.39819399999999</v>
      </c>
      <c r="AA517" s="378">
        <f t="shared" si="159"/>
        <v>0</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8">
        <f>SUM(Y517:AL517)</f>
        <v>1198.9725899999999</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182.99310599999998</v>
      </c>
      <c r="Z518" s="378">
        <f t="shared" ref="Z518:AL518" si="160">Z266*Z516</f>
        <v>4048.7788358999996</v>
      </c>
      <c r="AA518" s="378">
        <f t="shared" si="160"/>
        <v>2360.3699385</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8">
        <f>SUM(Y518:AL518)</f>
        <v>6592.1418803999995</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357.40440599999999</v>
      </c>
      <c r="Z519" s="378">
        <f t="shared" ref="Z519:AL519" si="161">Z395*Z516</f>
        <v>1075.4944269</v>
      </c>
      <c r="AA519" s="378">
        <f t="shared" si="161"/>
        <v>27.687177000000002</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8">
        <f>SUM(Y519:AL519)</f>
        <v>1460.5860098999999</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812.96158799999989</v>
      </c>
      <c r="Z520" s="378">
        <f t="shared" ref="Z520:AK520" si="162">Z513*Z516</f>
        <v>567.47674410000002</v>
      </c>
      <c r="AA520" s="378">
        <f t="shared" si="162"/>
        <v>1467.9356894999999</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8">
        <f>SUM(Y520:AL520)</f>
        <v>2848.3740215999997</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1745.9334959999999</v>
      </c>
      <c r="Z521" s="346">
        <f t="shared" ref="Z521:AK521" si="163">SUM(Z517:Z520)</f>
        <v>6498.1482009000001</v>
      </c>
      <c r="AA521" s="346">
        <f t="shared" si="163"/>
        <v>3855.9928049999999</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12100.074501899999</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12562.733399999999</v>
      </c>
      <c r="Z522" s="347">
        <f t="shared" ref="Z522:AJ522" si="164">Z514*Z516</f>
        <v>155.83080000000001</v>
      </c>
      <c r="AA522" s="347">
        <f>AA514*AA516</f>
        <v>724.67499999999995</v>
      </c>
      <c r="AB522" s="347">
        <f t="shared" si="164"/>
        <v>0</v>
      </c>
      <c r="AC522" s="347">
        <f t="shared" si="164"/>
        <v>0</v>
      </c>
      <c r="AD522" s="347">
        <f>AD514*AD516</f>
        <v>0</v>
      </c>
      <c r="AE522" s="347">
        <f t="shared" si="164"/>
        <v>0</v>
      </c>
      <c r="AF522" s="347">
        <f t="shared" si="164"/>
        <v>0</v>
      </c>
      <c r="AG522" s="347">
        <f t="shared" si="164"/>
        <v>0</v>
      </c>
      <c r="AH522" s="347">
        <f t="shared" si="164"/>
        <v>0</v>
      </c>
      <c r="AI522" s="347">
        <f t="shared" si="164"/>
        <v>0</v>
      </c>
      <c r="AJ522" s="347">
        <f t="shared" si="164"/>
        <v>0</v>
      </c>
      <c r="AK522" s="347">
        <f>AK514*AK516</f>
        <v>0</v>
      </c>
      <c r="AL522" s="347">
        <f>AL514*AL516</f>
        <v>0</v>
      </c>
      <c r="AM522" s="407">
        <f>SUM(Y522:AL522)</f>
        <v>13443.239199999998</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-1343.1646980999994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52002.91</v>
      </c>
      <c r="Z526" s="291">
        <f>SUMPRODUCT(E408:E511,Z408:Z511)</f>
        <v>32060.832999999999</v>
      </c>
      <c r="AA526" s="291">
        <f>IF(AA407="kW",SUMPRODUCT(N408:N511,P408:P511,AA408:AA511),SUMPRODUCT(E408:E511,AA408:AA511))</f>
        <v>409.18067999999994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48431.770000000004</v>
      </c>
      <c r="Z527" s="291">
        <f>SUMPRODUCT(F408:F511,Z408:Z511)</f>
        <v>29186.783000000003</v>
      </c>
      <c r="AA527" s="291">
        <f>IF(AA407="kW",SUMPRODUCT(N408:N511,Q408:Q511,AA408:AA511),SUMPRODUCT(F408:F511,AA408:AA511))</f>
        <v>409.18067999999994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48431.770000000004</v>
      </c>
      <c r="Z528" s="291">
        <f>SUMPRODUCT(G408:G511,Z408:Z511)</f>
        <v>16120.759</v>
      </c>
      <c r="AA528" s="291">
        <f>IF(AA407="kW",SUMPRODUCT(N408:N511,R408:R511,AA408:AA511),SUMPRODUCT(G408:G511,AA408:AA511))</f>
        <v>400.58280000000002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48062.33</v>
      </c>
      <c r="Z529" s="291">
        <f>SUMPRODUCT(H408:H511,Z408:Z511)</f>
        <v>16120.759</v>
      </c>
      <c r="AA529" s="291">
        <f>IF(AA407="kW",SUMPRODUCT(N408:N511,S408:S511,AA408:AA511),SUMPRODUCT(H408:H511,AA408:AA511))</f>
        <v>400.58280000000002</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48060.78</v>
      </c>
      <c r="Z530" s="291">
        <f>SUMPRODUCT(I408:I511,Z408:Z511)</f>
        <v>16120.759</v>
      </c>
      <c r="AA530" s="291">
        <f>IF(AA407="kW",SUMPRODUCT(N408:N511,T408:T511,AA408:AA511),SUMPRODUCT(I408:I511,AA408:AA511))</f>
        <v>400.58280000000002</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48060.78</v>
      </c>
      <c r="Z531" s="326">
        <f>SUMPRODUCT(J408:J511,Z408:Z511)</f>
        <v>16120.759</v>
      </c>
      <c r="AA531" s="326">
        <f>IF(AA407="kW",SUMPRODUCT(N408:N511,U408:U511,AA408:AA511),SUMPRODUCT(J408:J511,AA408:AA511))</f>
        <v>400.58280000000002</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529</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73" zoomScale="80" zoomScaleNormal="80" workbookViewId="0">
      <pane xSplit="2" topLeftCell="C1" activePane="topRight" state="frozen"/>
      <selection pane="topRight" activeCell="AA385" sqref="AA385"/>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742" customWidth="1"/>
    <col min="26" max="26" width="15" style="742" customWidth="1"/>
    <col min="27" max="27" width="16.85546875" style="742" bestFit="1" customWidth="1"/>
    <col min="28" max="28" width="17.7109375" style="742" customWidth="1"/>
    <col min="29" max="29" width="19.7109375" style="742" customWidth="1"/>
    <col min="30" max="30" width="18.7109375" style="742" customWidth="1"/>
    <col min="31" max="35" width="14.85546875" style="742" customWidth="1"/>
    <col min="36" max="38" width="17.28515625" style="742" customWidth="1"/>
    <col min="39" max="39" width="14.5703125" style="742" customWidth="1"/>
    <col min="40" max="40" width="11.7109375" style="427" customWidth="1"/>
    <col min="41" max="16384" width="9.140625" style="427"/>
  </cols>
  <sheetData>
    <row r="13" spans="2:39" ht="15.75" thickBot="1"/>
    <row r="14" spans="2:39" ht="26.25" customHeight="1" thickBot="1">
      <c r="B14" s="795"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70"/>
      <c r="Z14" s="270"/>
      <c r="AA14" s="270"/>
      <c r="AB14" s="270"/>
      <c r="AC14" s="270"/>
      <c r="AD14" s="270"/>
      <c r="AE14" s="270"/>
      <c r="AF14" s="270"/>
      <c r="AG14" s="270"/>
      <c r="AH14" s="270"/>
      <c r="AI14" s="270"/>
      <c r="AJ14" s="270"/>
      <c r="AK14" s="270"/>
      <c r="AL14" s="270"/>
      <c r="AM14" s="270"/>
    </row>
    <row r="15" spans="2:39" ht="26.25" customHeight="1" thickBot="1">
      <c r="B15" s="79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70"/>
      <c r="Z15" s="270"/>
      <c r="AA15" s="270"/>
      <c r="AB15" s="270"/>
      <c r="AC15" s="270"/>
      <c r="AD15" s="270"/>
      <c r="AE15" s="270"/>
      <c r="AF15" s="270"/>
      <c r="AG15" s="270"/>
      <c r="AH15" s="270"/>
      <c r="AI15" s="270"/>
      <c r="AJ15" s="270"/>
      <c r="AK15" s="270"/>
      <c r="AL15" s="270"/>
      <c r="AM15" s="270"/>
    </row>
    <row r="16" spans="2:39" ht="28.5" customHeight="1" thickBot="1">
      <c r="B16" s="795"/>
      <c r="C16" s="792" t="s">
        <v>554</v>
      </c>
      <c r="D16" s="793"/>
      <c r="E16" s="265"/>
      <c r="F16" s="265"/>
      <c r="G16" s="265"/>
      <c r="H16" s="265"/>
      <c r="I16" s="265"/>
      <c r="J16" s="265"/>
      <c r="K16" s="265"/>
      <c r="L16" s="265"/>
      <c r="M16" s="265"/>
      <c r="N16" s="265"/>
      <c r="O16" s="265"/>
      <c r="P16" s="265"/>
      <c r="Q16" s="265"/>
      <c r="R16" s="265"/>
      <c r="S16" s="265"/>
      <c r="T16" s="265"/>
      <c r="U16" s="265"/>
      <c r="V16" s="265"/>
      <c r="W16" s="265"/>
      <c r="X16" s="265"/>
      <c r="Y16" s="270"/>
      <c r="Z16" s="270"/>
      <c r="AA16" s="270"/>
      <c r="AB16" s="270"/>
      <c r="AC16" s="270"/>
      <c r="AD16" s="270"/>
      <c r="AE16" s="270"/>
      <c r="AF16" s="270"/>
      <c r="AG16" s="270"/>
      <c r="AH16" s="270"/>
      <c r="AI16" s="270"/>
      <c r="AJ16" s="270"/>
      <c r="AK16" s="270"/>
      <c r="AL16" s="270"/>
      <c r="AM16" s="270"/>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70"/>
      <c r="Z17" s="270"/>
      <c r="AA17" s="270"/>
      <c r="AB17" s="270"/>
      <c r="AC17" s="270"/>
      <c r="AD17" s="270"/>
      <c r="AE17" s="270"/>
      <c r="AF17" s="270"/>
      <c r="AG17" s="270"/>
      <c r="AH17" s="270"/>
      <c r="AI17" s="270"/>
      <c r="AJ17" s="270"/>
      <c r="AK17" s="270"/>
      <c r="AL17" s="270"/>
      <c r="AM17" s="270"/>
    </row>
    <row r="18" spans="2:39" ht="71.25" customHeight="1">
      <c r="B18" s="795" t="s">
        <v>507</v>
      </c>
      <c r="C18" s="796" t="s">
        <v>677</v>
      </c>
      <c r="D18" s="796"/>
      <c r="E18" s="796"/>
      <c r="F18" s="796"/>
      <c r="G18" s="796"/>
      <c r="H18" s="796"/>
      <c r="I18" s="796"/>
      <c r="J18" s="796"/>
      <c r="K18" s="796"/>
      <c r="L18" s="796"/>
      <c r="M18" s="796"/>
      <c r="N18" s="796"/>
      <c r="O18" s="796"/>
      <c r="P18" s="796"/>
      <c r="Q18" s="796"/>
      <c r="R18" s="796"/>
      <c r="S18" s="796"/>
      <c r="T18" s="796"/>
      <c r="U18" s="796"/>
      <c r="V18" s="796"/>
      <c r="W18" s="796"/>
      <c r="X18" s="796"/>
      <c r="Y18" s="741"/>
      <c r="Z18" s="741"/>
      <c r="AA18" s="741"/>
      <c r="AB18" s="741"/>
      <c r="AC18" s="741"/>
      <c r="AD18" s="741"/>
      <c r="AE18" s="270"/>
      <c r="AF18" s="270"/>
      <c r="AG18" s="270"/>
      <c r="AH18" s="270"/>
      <c r="AI18" s="270"/>
      <c r="AJ18" s="270"/>
      <c r="AK18" s="270"/>
      <c r="AL18" s="270"/>
      <c r="AM18" s="270"/>
    </row>
    <row r="19" spans="2:39" ht="45.75" customHeight="1">
      <c r="B19" s="795"/>
      <c r="C19" s="796" t="s">
        <v>582</v>
      </c>
      <c r="D19" s="796"/>
      <c r="E19" s="796"/>
      <c r="F19" s="796"/>
      <c r="G19" s="796"/>
      <c r="H19" s="796"/>
      <c r="I19" s="796"/>
      <c r="J19" s="796"/>
      <c r="K19" s="796"/>
      <c r="L19" s="796"/>
      <c r="M19" s="796"/>
      <c r="N19" s="796"/>
      <c r="O19" s="796"/>
      <c r="P19" s="796"/>
      <c r="Q19" s="796"/>
      <c r="R19" s="796"/>
      <c r="S19" s="796"/>
      <c r="T19" s="796"/>
      <c r="U19" s="796"/>
      <c r="V19" s="796"/>
      <c r="W19" s="796"/>
      <c r="X19" s="796"/>
      <c r="Y19" s="741"/>
      <c r="Z19" s="741"/>
      <c r="AA19" s="741"/>
      <c r="AB19" s="741"/>
      <c r="AC19" s="741"/>
      <c r="AD19" s="741"/>
      <c r="AE19" s="270"/>
      <c r="AF19" s="270"/>
      <c r="AG19" s="270"/>
      <c r="AH19" s="270"/>
      <c r="AI19" s="270"/>
      <c r="AJ19" s="270"/>
      <c r="AK19" s="270"/>
      <c r="AL19" s="270"/>
      <c r="AM19" s="270"/>
    </row>
    <row r="20" spans="2:39" ht="62.25" customHeight="1">
      <c r="B20" s="273"/>
      <c r="C20" s="796" t="s">
        <v>580</v>
      </c>
      <c r="D20" s="796"/>
      <c r="E20" s="796"/>
      <c r="F20" s="796"/>
      <c r="G20" s="796"/>
      <c r="H20" s="796"/>
      <c r="I20" s="796"/>
      <c r="J20" s="796"/>
      <c r="K20" s="796"/>
      <c r="L20" s="796"/>
      <c r="M20" s="796"/>
      <c r="N20" s="796"/>
      <c r="O20" s="796"/>
      <c r="P20" s="796"/>
      <c r="Q20" s="796"/>
      <c r="R20" s="796"/>
      <c r="S20" s="796"/>
      <c r="T20" s="796"/>
      <c r="U20" s="796"/>
      <c r="V20" s="796"/>
      <c r="W20" s="796"/>
      <c r="X20" s="796"/>
      <c r="Y20" s="741"/>
      <c r="Z20" s="741"/>
      <c r="AA20" s="741"/>
      <c r="AB20" s="741"/>
      <c r="AC20" s="741"/>
      <c r="AD20" s="741"/>
      <c r="AE20" s="741"/>
      <c r="AF20" s="270"/>
      <c r="AG20" s="270"/>
      <c r="AH20" s="270"/>
      <c r="AI20" s="270"/>
      <c r="AJ20" s="270"/>
      <c r="AK20" s="270"/>
      <c r="AL20" s="270"/>
      <c r="AM20" s="270"/>
    </row>
    <row r="21" spans="2:39" ht="37.5" customHeight="1">
      <c r="B21" s="273"/>
      <c r="C21" s="796" t="s">
        <v>646</v>
      </c>
      <c r="D21" s="796"/>
      <c r="E21" s="796"/>
      <c r="F21" s="796"/>
      <c r="G21" s="796"/>
      <c r="H21" s="796"/>
      <c r="I21" s="796"/>
      <c r="J21" s="796"/>
      <c r="K21" s="796"/>
      <c r="L21" s="796"/>
      <c r="M21" s="796"/>
      <c r="N21" s="796"/>
      <c r="O21" s="796"/>
      <c r="P21" s="796"/>
      <c r="Q21" s="796"/>
      <c r="R21" s="796"/>
      <c r="S21" s="796"/>
      <c r="T21" s="796"/>
      <c r="U21" s="796"/>
      <c r="V21" s="796"/>
      <c r="W21" s="796"/>
      <c r="X21" s="796"/>
      <c r="Y21" s="741"/>
      <c r="Z21" s="741"/>
      <c r="AA21" s="741"/>
      <c r="AB21" s="741"/>
      <c r="AC21" s="741"/>
      <c r="AD21" s="741"/>
      <c r="AE21" s="741"/>
      <c r="AF21" s="270"/>
      <c r="AG21" s="270"/>
      <c r="AH21" s="270"/>
      <c r="AI21" s="270"/>
      <c r="AJ21" s="270"/>
      <c r="AK21" s="270"/>
      <c r="AL21" s="270"/>
      <c r="AM21" s="270"/>
    </row>
    <row r="22" spans="2:39" ht="54.75" customHeight="1">
      <c r="B22" s="273"/>
      <c r="C22" s="796" t="s">
        <v>630</v>
      </c>
      <c r="D22" s="796"/>
      <c r="E22" s="796"/>
      <c r="F22" s="796"/>
      <c r="G22" s="796"/>
      <c r="H22" s="796"/>
      <c r="I22" s="796"/>
      <c r="J22" s="796"/>
      <c r="K22" s="796"/>
      <c r="L22" s="796"/>
      <c r="M22" s="796"/>
      <c r="N22" s="796"/>
      <c r="O22" s="796"/>
      <c r="P22" s="796"/>
      <c r="Q22" s="796"/>
      <c r="R22" s="796"/>
      <c r="S22" s="796"/>
      <c r="T22" s="796"/>
      <c r="U22" s="796"/>
      <c r="V22" s="796"/>
      <c r="W22" s="796"/>
      <c r="X22" s="796"/>
      <c r="Y22" s="741"/>
      <c r="Z22" s="741"/>
      <c r="AA22" s="741"/>
      <c r="AB22" s="741"/>
      <c r="AC22" s="741"/>
      <c r="AD22" s="741"/>
      <c r="AE22" s="741"/>
      <c r="AF22" s="270"/>
      <c r="AG22" s="270"/>
      <c r="AH22" s="270"/>
      <c r="AI22" s="270"/>
      <c r="AJ22" s="270"/>
      <c r="AK22" s="270"/>
      <c r="AL22" s="270"/>
      <c r="AM22" s="270"/>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741"/>
      <c r="Z23" s="741"/>
      <c r="AA23" s="741"/>
      <c r="AB23" s="741"/>
      <c r="AC23" s="741"/>
      <c r="AD23" s="741"/>
      <c r="AE23" s="741"/>
      <c r="AF23" s="270"/>
      <c r="AG23" s="270"/>
      <c r="AH23" s="270"/>
      <c r="AI23" s="270"/>
      <c r="AJ23" s="270"/>
      <c r="AK23" s="270"/>
      <c r="AL23" s="270"/>
      <c r="AM23" s="270"/>
    </row>
    <row r="24" spans="2:39">
      <c r="B24" s="795" t="s">
        <v>530</v>
      </c>
      <c r="C24" s="595" t="s">
        <v>532</v>
      </c>
      <c r="D24" s="276"/>
      <c r="E24" s="276"/>
      <c r="F24" s="276"/>
      <c r="G24" s="276"/>
      <c r="H24" s="276"/>
      <c r="I24" s="276"/>
      <c r="J24" s="276"/>
      <c r="K24" s="276"/>
      <c r="L24" s="276"/>
      <c r="M24" s="276"/>
      <c r="N24" s="276"/>
      <c r="O24" s="276"/>
      <c r="P24" s="276"/>
      <c r="Q24" s="276"/>
      <c r="R24" s="276"/>
      <c r="S24" s="276"/>
      <c r="T24" s="276"/>
      <c r="U24" s="276"/>
      <c r="V24" s="276"/>
      <c r="W24" s="276"/>
      <c r="X24" s="276"/>
      <c r="Y24" s="741"/>
      <c r="Z24" s="741"/>
      <c r="AA24" s="741"/>
      <c r="AB24" s="741"/>
      <c r="AC24" s="741"/>
      <c r="AD24" s="741"/>
      <c r="AE24" s="741"/>
      <c r="AF24" s="270"/>
      <c r="AG24" s="270"/>
      <c r="AH24" s="270"/>
      <c r="AI24" s="270"/>
      <c r="AJ24" s="270"/>
      <c r="AK24" s="270"/>
      <c r="AL24" s="270"/>
      <c r="AM24" s="270"/>
    </row>
    <row r="25" spans="2:39">
      <c r="B25" s="795"/>
      <c r="C25" s="595" t="s">
        <v>533</v>
      </c>
      <c r="D25" s="276"/>
      <c r="E25" s="276"/>
      <c r="F25" s="276"/>
      <c r="G25" s="276"/>
      <c r="H25" s="276"/>
      <c r="I25" s="276"/>
      <c r="J25" s="276"/>
      <c r="K25" s="276"/>
      <c r="L25" s="276"/>
      <c r="M25" s="276"/>
      <c r="N25" s="276"/>
      <c r="O25" s="276"/>
      <c r="P25" s="276"/>
      <c r="Q25" s="276"/>
      <c r="R25" s="276"/>
      <c r="S25" s="276"/>
      <c r="T25" s="276"/>
      <c r="U25" s="276"/>
      <c r="V25" s="276"/>
      <c r="W25" s="276"/>
      <c r="X25" s="276"/>
      <c r="Y25" s="741"/>
      <c r="Z25" s="741"/>
      <c r="AA25" s="741"/>
      <c r="AB25" s="741"/>
      <c r="AC25" s="741"/>
      <c r="AD25" s="741"/>
      <c r="AE25" s="741"/>
      <c r="AF25" s="270"/>
      <c r="AG25" s="270"/>
      <c r="AH25" s="270"/>
      <c r="AI25" s="270"/>
      <c r="AJ25" s="270"/>
      <c r="AK25" s="270"/>
      <c r="AL25" s="270"/>
      <c r="AM25" s="270"/>
    </row>
    <row r="26" spans="2:39" ht="15.75">
      <c r="B26" s="538"/>
      <c r="C26" s="595" t="s">
        <v>534</v>
      </c>
      <c r="D26" s="276"/>
      <c r="E26" s="276"/>
      <c r="F26" s="276"/>
      <c r="G26" s="276"/>
      <c r="H26" s="276"/>
      <c r="I26" s="276"/>
      <c r="J26" s="276"/>
      <c r="K26" s="276"/>
      <c r="L26" s="276"/>
      <c r="M26" s="276"/>
      <c r="N26" s="276"/>
      <c r="O26" s="276"/>
      <c r="P26" s="276"/>
      <c r="Q26" s="276"/>
      <c r="R26" s="276"/>
      <c r="S26" s="276"/>
      <c r="T26" s="276"/>
      <c r="U26" s="276"/>
      <c r="V26" s="276"/>
      <c r="W26" s="276"/>
      <c r="X26" s="276"/>
      <c r="Y26" s="741"/>
      <c r="Z26" s="741"/>
      <c r="AA26" s="741"/>
      <c r="AB26" s="741"/>
      <c r="AC26" s="741"/>
      <c r="AD26" s="741"/>
      <c r="AE26" s="741"/>
      <c r="AF26" s="270"/>
      <c r="AG26" s="270"/>
      <c r="AH26" s="270"/>
      <c r="AI26" s="270"/>
      <c r="AJ26" s="270"/>
      <c r="AK26" s="270"/>
      <c r="AL26" s="270"/>
      <c r="AM26" s="270"/>
    </row>
    <row r="27" spans="2:39" ht="15.75">
      <c r="B27" s="538"/>
      <c r="C27" s="595" t="s">
        <v>535</v>
      </c>
      <c r="D27" s="276"/>
      <c r="E27" s="276"/>
      <c r="F27" s="276"/>
      <c r="G27" s="276"/>
      <c r="H27" s="276"/>
      <c r="I27" s="276"/>
      <c r="J27" s="276"/>
      <c r="K27" s="276"/>
      <c r="L27" s="276"/>
      <c r="M27" s="276"/>
      <c r="N27" s="276"/>
      <c r="O27" s="276"/>
      <c r="P27" s="276"/>
      <c r="Q27" s="276"/>
      <c r="R27" s="276"/>
      <c r="S27" s="276"/>
      <c r="T27" s="276"/>
      <c r="U27" s="276"/>
      <c r="V27" s="276"/>
      <c r="W27" s="276"/>
      <c r="X27" s="276"/>
      <c r="Y27" s="741"/>
      <c r="Z27" s="741"/>
      <c r="AA27" s="741"/>
      <c r="AB27" s="741"/>
      <c r="AC27" s="741"/>
      <c r="AD27" s="741"/>
      <c r="AE27" s="741"/>
      <c r="AF27" s="270"/>
      <c r="AG27" s="270"/>
      <c r="AH27" s="270"/>
      <c r="AI27" s="270"/>
      <c r="AJ27" s="270"/>
      <c r="AK27" s="270"/>
      <c r="AL27" s="270"/>
      <c r="AM27" s="270"/>
    </row>
    <row r="28" spans="2:39" ht="15.75">
      <c r="B28" s="538"/>
      <c r="C28" s="595" t="s">
        <v>536</v>
      </c>
      <c r="D28" s="276"/>
      <c r="E28" s="276"/>
      <c r="F28" s="276"/>
      <c r="G28" s="276"/>
      <c r="H28" s="276"/>
      <c r="I28" s="276"/>
      <c r="J28" s="276"/>
      <c r="K28" s="276"/>
      <c r="L28" s="276"/>
      <c r="M28" s="276"/>
      <c r="N28" s="276"/>
      <c r="O28" s="276"/>
      <c r="P28" s="276"/>
      <c r="Q28" s="276"/>
      <c r="R28" s="276"/>
      <c r="S28" s="276"/>
      <c r="T28" s="276"/>
      <c r="U28" s="276"/>
      <c r="V28" s="276"/>
      <c r="W28" s="276"/>
      <c r="X28" s="276"/>
      <c r="Y28" s="741"/>
      <c r="Z28" s="741"/>
      <c r="AA28" s="741"/>
      <c r="AB28" s="741"/>
      <c r="AC28" s="741"/>
      <c r="AD28" s="741"/>
      <c r="AE28" s="741"/>
      <c r="AF28" s="270"/>
      <c r="AG28" s="270"/>
      <c r="AH28" s="270"/>
      <c r="AI28" s="270"/>
      <c r="AJ28" s="270"/>
      <c r="AK28" s="270"/>
      <c r="AL28" s="270"/>
      <c r="AM28" s="270"/>
    </row>
    <row r="29" spans="2:39" ht="15.75">
      <c r="B29" s="538"/>
      <c r="C29" s="595" t="s">
        <v>537</v>
      </c>
      <c r="D29" s="276"/>
      <c r="E29" s="276"/>
      <c r="F29" s="276"/>
      <c r="G29" s="276"/>
      <c r="H29" s="276"/>
      <c r="I29" s="276"/>
      <c r="J29" s="276"/>
      <c r="K29" s="276"/>
      <c r="L29" s="276"/>
      <c r="M29" s="276"/>
      <c r="N29" s="276"/>
      <c r="O29" s="276"/>
      <c r="P29" s="276"/>
      <c r="Q29" s="276"/>
      <c r="R29" s="276"/>
      <c r="S29" s="276"/>
      <c r="T29" s="276"/>
      <c r="U29" s="276"/>
      <c r="V29" s="276"/>
      <c r="W29" s="276"/>
      <c r="X29" s="276"/>
      <c r="Y29" s="741"/>
      <c r="Z29" s="741"/>
      <c r="AA29" s="741"/>
      <c r="AB29" s="741"/>
      <c r="AC29" s="741"/>
      <c r="AD29" s="741"/>
      <c r="AE29" s="741"/>
      <c r="AF29" s="270"/>
      <c r="AG29" s="270"/>
      <c r="AH29" s="270"/>
      <c r="AI29" s="270"/>
      <c r="AJ29" s="270"/>
      <c r="AK29" s="270"/>
      <c r="AL29" s="270"/>
      <c r="AM29" s="270"/>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741"/>
      <c r="Z30" s="741"/>
      <c r="AA30" s="741"/>
      <c r="AB30" s="741"/>
      <c r="AC30" s="741"/>
      <c r="AD30" s="741"/>
      <c r="AE30" s="741"/>
      <c r="AF30" s="270"/>
      <c r="AG30" s="270"/>
      <c r="AH30" s="270"/>
      <c r="AI30" s="270"/>
      <c r="AJ30" s="270"/>
      <c r="AK30" s="270"/>
      <c r="AL30" s="270"/>
      <c r="AM30" s="270"/>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741"/>
      <c r="Z31" s="741"/>
      <c r="AA31" s="741"/>
      <c r="AB31" s="741"/>
      <c r="AC31" s="741"/>
      <c r="AD31" s="741"/>
      <c r="AE31" s="741"/>
      <c r="AF31" s="270"/>
      <c r="AG31" s="270"/>
      <c r="AH31" s="270"/>
      <c r="AI31" s="270"/>
      <c r="AJ31" s="270"/>
      <c r="AK31" s="270"/>
      <c r="AL31" s="270"/>
      <c r="AM31" s="270"/>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5"/>
      <c r="Z32" s="255"/>
      <c r="AA32" s="255"/>
      <c r="AB32" s="255"/>
      <c r="AC32" s="255"/>
      <c r="AD32" s="255"/>
      <c r="AE32" s="255"/>
      <c r="AF32" s="255"/>
      <c r="AG32" s="255"/>
      <c r="AH32" s="255"/>
      <c r="AI32" s="255"/>
      <c r="AJ32" s="255"/>
      <c r="AK32" s="255"/>
      <c r="AL32" s="255"/>
      <c r="AM32" s="255"/>
    </row>
    <row r="33" spans="1:39" ht="15.75">
      <c r="B33" s="280" t="s">
        <v>267</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797" t="s">
        <v>211</v>
      </c>
      <c r="C34" s="799" t="s">
        <v>33</v>
      </c>
      <c r="D34" s="284" t="s">
        <v>423</v>
      </c>
      <c r="E34" s="801" t="s">
        <v>209</v>
      </c>
      <c r="F34" s="802"/>
      <c r="G34" s="802"/>
      <c r="H34" s="802"/>
      <c r="I34" s="802"/>
      <c r="J34" s="802"/>
      <c r="K34" s="802"/>
      <c r="L34" s="802"/>
      <c r="M34" s="803"/>
      <c r="N34" s="807" t="s">
        <v>213</v>
      </c>
      <c r="O34" s="284" t="s">
        <v>424</v>
      </c>
      <c r="P34" s="801" t="s">
        <v>212</v>
      </c>
      <c r="Q34" s="802"/>
      <c r="R34" s="802"/>
      <c r="S34" s="802"/>
      <c r="T34" s="802"/>
      <c r="U34" s="802"/>
      <c r="V34" s="802"/>
      <c r="W34" s="802"/>
      <c r="X34" s="803"/>
      <c r="Y34" s="804" t="s">
        <v>244</v>
      </c>
      <c r="Z34" s="805"/>
      <c r="AA34" s="805"/>
      <c r="AB34" s="805"/>
      <c r="AC34" s="805"/>
      <c r="AD34" s="805"/>
      <c r="AE34" s="805"/>
      <c r="AF34" s="805"/>
      <c r="AG34" s="805"/>
      <c r="AH34" s="805"/>
      <c r="AI34" s="805"/>
      <c r="AJ34" s="805"/>
      <c r="AK34" s="805"/>
      <c r="AL34" s="805"/>
      <c r="AM34" s="806"/>
    </row>
    <row r="35" spans="1:39" ht="65.25" customHeight="1">
      <c r="B35" s="798"/>
      <c r="C35" s="800"/>
      <c r="D35" s="285">
        <v>2015</v>
      </c>
      <c r="E35" s="285">
        <v>2016</v>
      </c>
      <c r="F35" s="285">
        <v>2017</v>
      </c>
      <c r="G35" s="285">
        <v>2018</v>
      </c>
      <c r="H35" s="285">
        <v>2019</v>
      </c>
      <c r="I35" s="285">
        <v>2020</v>
      </c>
      <c r="J35" s="285">
        <v>2021</v>
      </c>
      <c r="K35" s="285">
        <v>2022</v>
      </c>
      <c r="L35" s="285">
        <v>2023</v>
      </c>
      <c r="M35" s="429">
        <v>2024</v>
      </c>
      <c r="N35" s="80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50kW to 4999 kW</v>
      </c>
      <c r="AB35" s="285" t="str">
        <f>'1.  LRAMVA Summary'!G52</f>
        <v>Unmettered Scattered Load</v>
      </c>
      <c r="AC35" s="285" t="str">
        <f>'1.  LRAMVA Summary'!H52</f>
        <v>Sentinel Lighiting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19091</v>
      </c>
      <c r="E38" s="295">
        <v>18918</v>
      </c>
      <c r="F38" s="295">
        <v>18918</v>
      </c>
      <c r="G38" s="295">
        <v>18918</v>
      </c>
      <c r="H38" s="295">
        <v>18918</v>
      </c>
      <c r="I38" s="295">
        <v>18918</v>
      </c>
      <c r="J38" s="295">
        <v>18918</v>
      </c>
      <c r="K38" s="295">
        <v>18914</v>
      </c>
      <c r="L38" s="295">
        <v>18914</v>
      </c>
      <c r="M38" s="295">
        <v>18914</v>
      </c>
      <c r="N38" s="291"/>
      <c r="O38" s="295">
        <v>1</v>
      </c>
      <c r="P38" s="295">
        <v>1</v>
      </c>
      <c r="Q38" s="295">
        <v>1</v>
      </c>
      <c r="R38" s="295">
        <v>1</v>
      </c>
      <c r="S38" s="295">
        <v>1</v>
      </c>
      <c r="T38" s="295">
        <v>1</v>
      </c>
      <c r="U38" s="295">
        <v>1</v>
      </c>
      <c r="V38" s="295">
        <v>1</v>
      </c>
      <c r="W38" s="295">
        <v>1</v>
      </c>
      <c r="X38" s="295">
        <v>1</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163</v>
      </c>
      <c r="D39" s="295">
        <v>3172</v>
      </c>
      <c r="E39" s="295">
        <v>3126</v>
      </c>
      <c r="F39" s="295">
        <v>3126</v>
      </c>
      <c r="G39" s="295">
        <v>3126</v>
      </c>
      <c r="H39" s="295">
        <v>3126</v>
      </c>
      <c r="I39" s="295">
        <v>3126</v>
      </c>
      <c r="J39" s="295">
        <v>3126</v>
      </c>
      <c r="K39" s="295">
        <v>3125</v>
      </c>
      <c r="L39" s="295">
        <v>3125</v>
      </c>
      <c r="M39" s="295">
        <v>3125</v>
      </c>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35086</v>
      </c>
      <c r="E41" s="295">
        <v>34463</v>
      </c>
      <c r="F41" s="295">
        <v>34463</v>
      </c>
      <c r="G41" s="295">
        <v>34463</v>
      </c>
      <c r="H41" s="295">
        <v>34463</v>
      </c>
      <c r="I41" s="295">
        <v>34463</v>
      </c>
      <c r="J41" s="295">
        <v>34463</v>
      </c>
      <c r="K41" s="295">
        <v>34444</v>
      </c>
      <c r="L41" s="295">
        <v>34444</v>
      </c>
      <c r="M41" s="295">
        <v>34444</v>
      </c>
      <c r="N41" s="291"/>
      <c r="O41" s="295">
        <v>2</v>
      </c>
      <c r="P41" s="295">
        <v>2</v>
      </c>
      <c r="Q41" s="295">
        <v>2</v>
      </c>
      <c r="R41" s="295">
        <v>2</v>
      </c>
      <c r="S41" s="295">
        <v>2</v>
      </c>
      <c r="T41" s="295">
        <v>2</v>
      </c>
      <c r="U41" s="295">
        <v>2</v>
      </c>
      <c r="V41" s="295">
        <v>2</v>
      </c>
      <c r="W41" s="295">
        <v>2</v>
      </c>
      <c r="X41" s="295">
        <v>2</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163</v>
      </c>
      <c r="D42" s="295">
        <v>363</v>
      </c>
      <c r="E42" s="295">
        <v>359</v>
      </c>
      <c r="F42" s="295">
        <v>359</v>
      </c>
      <c r="G42" s="295">
        <v>359</v>
      </c>
      <c r="H42" s="295">
        <v>359</v>
      </c>
      <c r="I42" s="295">
        <v>359</v>
      </c>
      <c r="J42" s="295">
        <v>359</v>
      </c>
      <c r="K42" s="295">
        <v>358</v>
      </c>
      <c r="L42" s="295">
        <v>358</v>
      </c>
      <c r="M42" s="295">
        <v>358</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407</v>
      </c>
      <c r="E44" s="295">
        <v>407</v>
      </c>
      <c r="F44" s="295">
        <v>407</v>
      </c>
      <c r="G44" s="295">
        <v>407</v>
      </c>
      <c r="H44" s="295">
        <v>407</v>
      </c>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692</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268</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268</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218877</v>
      </c>
      <c r="E57" s="295">
        <v>218877</v>
      </c>
      <c r="F57" s="295">
        <v>218877</v>
      </c>
      <c r="G57" s="295">
        <v>218877</v>
      </c>
      <c r="H57" s="295">
        <v>218877</v>
      </c>
      <c r="I57" s="295">
        <v>218877</v>
      </c>
      <c r="J57" s="295">
        <v>202369</v>
      </c>
      <c r="K57" s="295">
        <v>202369</v>
      </c>
      <c r="L57" s="295">
        <v>202369</v>
      </c>
      <c r="M57" s="295">
        <v>148560</v>
      </c>
      <c r="N57" s="295">
        <v>12</v>
      </c>
      <c r="O57" s="295">
        <v>24</v>
      </c>
      <c r="P57" s="295">
        <v>24</v>
      </c>
      <c r="Q57" s="295">
        <v>24</v>
      </c>
      <c r="R57" s="295">
        <v>24</v>
      </c>
      <c r="S57" s="295">
        <v>24</v>
      </c>
      <c r="T57" s="295">
        <v>24</v>
      </c>
      <c r="U57" s="295">
        <v>22</v>
      </c>
      <c r="V57" s="295">
        <v>22</v>
      </c>
      <c r="W57" s="295">
        <v>22</v>
      </c>
      <c r="X57" s="295">
        <v>16</v>
      </c>
      <c r="Y57" s="743"/>
      <c r="Z57" s="743">
        <v>1</v>
      </c>
      <c r="AA57" s="743">
        <v>0</v>
      </c>
      <c r="AB57" s="410"/>
      <c r="AC57" s="743"/>
      <c r="AD57" s="410"/>
      <c r="AE57" s="410"/>
      <c r="AF57" s="415"/>
      <c r="AG57" s="415"/>
      <c r="AH57" s="415"/>
      <c r="AI57" s="415"/>
      <c r="AJ57" s="415"/>
      <c r="AK57" s="415"/>
      <c r="AL57" s="415"/>
      <c r="AM57" s="296">
        <f>SUM(Y57:AL57)</f>
        <v>1</v>
      </c>
    </row>
    <row r="58" spans="1:39" outlineLevel="1">
      <c r="B58" s="294" t="s">
        <v>268</v>
      </c>
      <c r="C58" s="291" t="s">
        <v>163</v>
      </c>
      <c r="D58" s="295">
        <v>-97</v>
      </c>
      <c r="E58" s="295">
        <v>-97</v>
      </c>
      <c r="F58" s="295">
        <v>-97</v>
      </c>
      <c r="G58" s="295">
        <v>106</v>
      </c>
      <c r="H58" s="295">
        <v>106</v>
      </c>
      <c r="I58" s="295">
        <v>106</v>
      </c>
      <c r="J58" s="295">
        <v>16614</v>
      </c>
      <c r="K58" s="295">
        <v>16614</v>
      </c>
      <c r="L58" s="295">
        <v>16614</v>
      </c>
      <c r="M58" s="295">
        <v>11741</v>
      </c>
      <c r="N58" s="295">
        <f>N57</f>
        <v>12</v>
      </c>
      <c r="O58" s="295" t="s">
        <v>699</v>
      </c>
      <c r="P58" s="295" t="s">
        <v>699</v>
      </c>
      <c r="Q58" s="295" t="s">
        <v>699</v>
      </c>
      <c r="R58" s="295" t="s">
        <v>699</v>
      </c>
      <c r="S58" s="295" t="s">
        <v>699</v>
      </c>
      <c r="T58" s="295" t="s">
        <v>699</v>
      </c>
      <c r="U58" s="295">
        <v>2</v>
      </c>
      <c r="V58" s="295">
        <v>2</v>
      </c>
      <c r="W58" s="295">
        <v>2</v>
      </c>
      <c r="X58" s="295">
        <v>1</v>
      </c>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3075</v>
      </c>
      <c r="E60" s="295">
        <v>3075</v>
      </c>
      <c r="F60" s="295">
        <v>3075</v>
      </c>
      <c r="G60" s="295">
        <v>3075</v>
      </c>
      <c r="H60" s="295">
        <v>3075</v>
      </c>
      <c r="I60" s="295">
        <v>3075</v>
      </c>
      <c r="J60" s="295">
        <v>3075</v>
      </c>
      <c r="K60" s="295">
        <v>3075</v>
      </c>
      <c r="L60" s="295">
        <v>3075</v>
      </c>
      <c r="M60" s="295">
        <v>3075</v>
      </c>
      <c r="N60" s="295">
        <v>12</v>
      </c>
      <c r="O60" s="295">
        <v>1</v>
      </c>
      <c r="P60" s="295">
        <v>1</v>
      </c>
      <c r="Q60" s="295">
        <v>1</v>
      </c>
      <c r="R60" s="295">
        <v>1</v>
      </c>
      <c r="S60" s="295">
        <v>1</v>
      </c>
      <c r="T60" s="295">
        <v>1</v>
      </c>
      <c r="U60" s="295">
        <v>1</v>
      </c>
      <c r="V60" s="295">
        <v>1</v>
      </c>
      <c r="W60" s="295">
        <v>1</v>
      </c>
      <c r="X60" s="295">
        <v>1</v>
      </c>
      <c r="Y60" s="415"/>
      <c r="Z60" s="410">
        <v>1</v>
      </c>
      <c r="AA60" s="410">
        <v>0</v>
      </c>
      <c r="AB60" s="410"/>
      <c r="AC60" s="410"/>
      <c r="AD60" s="410"/>
      <c r="AE60" s="410"/>
      <c r="AF60" s="415"/>
      <c r="AG60" s="415"/>
      <c r="AH60" s="415"/>
      <c r="AI60" s="415"/>
      <c r="AJ60" s="415"/>
      <c r="AK60" s="415"/>
      <c r="AL60" s="415"/>
      <c r="AM60" s="296">
        <f>SUM(Y60:AL60)</f>
        <v>1</v>
      </c>
    </row>
    <row r="61" spans="1:39"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3"/>
      <c r="AA72" s="423"/>
      <c r="AB72" s="423"/>
      <c r="AC72" s="423"/>
      <c r="AD72" s="423"/>
      <c r="AE72" s="423"/>
      <c r="AF72" s="423"/>
      <c r="AG72" s="423"/>
      <c r="AH72" s="423"/>
      <c r="AI72" s="423"/>
      <c r="AJ72" s="423"/>
      <c r="AK72" s="423"/>
      <c r="AL72" s="423"/>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743"/>
      <c r="Z80" s="410"/>
      <c r="AA80" s="410"/>
      <c r="AB80" s="410"/>
      <c r="AC80" s="410"/>
      <c r="AD80" s="410"/>
      <c r="AE80" s="410"/>
      <c r="AF80" s="410"/>
      <c r="AG80" s="410"/>
      <c r="AH80" s="410"/>
      <c r="AI80" s="410"/>
      <c r="AJ80" s="410"/>
      <c r="AK80" s="410"/>
      <c r="AL80" s="410"/>
      <c r="AM80" s="296">
        <f>SUM(Y80:AL80)</f>
        <v>0</v>
      </c>
    </row>
    <row r="81" spans="1:40"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4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4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743"/>
      <c r="AA121" s="743"/>
      <c r="AB121" s="410"/>
      <c r="AC121" s="743"/>
      <c r="AD121" s="410"/>
      <c r="AE121" s="410"/>
      <c r="AF121" s="415"/>
      <c r="AG121" s="415"/>
      <c r="AH121" s="415"/>
      <c r="AI121" s="415"/>
      <c r="AJ121" s="415"/>
      <c r="AK121" s="415"/>
      <c r="AL121" s="415"/>
      <c r="AM121" s="296">
        <f>SUM(Y121:AL121)</f>
        <v>0</v>
      </c>
    </row>
    <row r="122" spans="1:39" outlineLevel="1">
      <c r="B122" s="294" t="s">
        <v>268</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279974</v>
      </c>
      <c r="E195" s="329"/>
      <c r="F195" s="329"/>
      <c r="G195" s="329"/>
      <c r="H195" s="329"/>
      <c r="I195" s="329"/>
      <c r="J195" s="329"/>
      <c r="K195" s="329"/>
      <c r="L195" s="329"/>
      <c r="M195" s="329"/>
      <c r="N195" s="329"/>
      <c r="O195" s="329">
        <f>SUM(O38:O193)</f>
        <v>28</v>
      </c>
      <c r="P195" s="329"/>
      <c r="Q195" s="329"/>
      <c r="R195" s="329"/>
      <c r="S195" s="329"/>
      <c r="T195" s="329"/>
      <c r="U195" s="329"/>
      <c r="V195" s="329"/>
      <c r="W195" s="329"/>
      <c r="X195" s="329"/>
      <c r="Y195" s="329">
        <f>IF(Y36="kWh",SUMPRODUCT(D38:D193,Y38:Y193))</f>
        <v>57712</v>
      </c>
      <c r="Z195" s="329">
        <f>IF(Z36="kWh",SUMPRODUCT(D38:D193,Z38:Z193))</f>
        <v>221855</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910343</v>
      </c>
      <c r="Z196" s="392">
        <f>HLOOKUP(Z35,'2. LRAMVA Threshold'!$B$42:$Q$53,7,FALSE)</f>
        <v>8804</v>
      </c>
      <c r="AA196" s="392">
        <f>HLOOKUP(AA35,'2. LRAMVA Threshold'!$B$42:$Q$53,7,FALSE)</f>
        <v>202</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1.4E-2</v>
      </c>
      <c r="Z198" s="341">
        <f>HLOOKUP(Z$35,'3.  Distribution Rates'!$C$122:$P$133,7,FALSE)</f>
        <v>1.7899999999999999E-2</v>
      </c>
      <c r="AA198" s="341">
        <f>HLOOKUP(AA$35,'3.  Distribution Rates'!$C$122:$P$133,7,FALSE)</f>
        <v>3.6185</v>
      </c>
      <c r="AB198" s="341">
        <f>HLOOKUP(AB$35,'3.  Distribution Rates'!$C$122:$P$133,7,FALSE)</f>
        <v>3.3599999999999998E-2</v>
      </c>
      <c r="AC198" s="341">
        <f>HLOOKUP(AC$35,'3.  Distribution Rates'!$C$122:$P$133,7,FALSE)</f>
        <v>15.043699999999999</v>
      </c>
      <c r="AD198" s="341">
        <f>HLOOKUP(AD$35,'3.  Distribution Rates'!$C$122:$P$133,7,FALSE)</f>
        <v>20.6218</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349.32156000000003</v>
      </c>
      <c r="Z199" s="378">
        <f>'4.  2011-2014 LRAM'!Z138*Z198</f>
        <v>804.86884599999996</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1154.1904059999999</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185.63509999999999</v>
      </c>
      <c r="Z200" s="378">
        <f>'4.  2011-2014 LRAM'!Z267*Z198</f>
        <v>3424.0251637999995</v>
      </c>
      <c r="AA200" s="378">
        <f>'4.  2011-2014 LRAM'!AA267*AA198</f>
        <v>2075.29239654</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5684.9526603399991</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351.73264000000006</v>
      </c>
      <c r="Z201" s="378">
        <f>'4.  2011-2014 LRAM'!Z396*Z198</f>
        <v>1087.6469063</v>
      </c>
      <c r="AA201" s="378">
        <f>'4.  2011-2014 LRAM'!AA396*AA198</f>
        <v>27.926425080000001</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1467.3059713800001</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728.04074000000003</v>
      </c>
      <c r="Z202" s="378">
        <f>'4.  2011-2014 LRAM'!Z526*Z198</f>
        <v>573.8889107</v>
      </c>
      <c r="AA202" s="378">
        <f>'4.  2011-2014 LRAM'!AA526*AA198</f>
        <v>1480.6202905799998</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2782.54994128</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807.96799999999996</v>
      </c>
      <c r="Z203" s="378">
        <f>Z195*Z198</f>
        <v>3971.2044999999998</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4779.1724999999997</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2422.6980400000002</v>
      </c>
      <c r="Z204" s="346">
        <f>SUM(Z199:Z203)</f>
        <v>9861.6343267999982</v>
      </c>
      <c r="AA204" s="346">
        <f t="shared" ref="AA204:AE204" si="554">SUM(AA199:AA203)</f>
        <v>3583.8391122000003</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15868.171478999997</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12744.802</v>
      </c>
      <c r="Z205" s="347">
        <f t="shared" ref="Z205:AE205" si="556">Z196*Z198</f>
        <v>157.5916</v>
      </c>
      <c r="AA205" s="347">
        <f t="shared" si="556"/>
        <v>730.93700000000001</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13633.330599999999</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2234.8408789999976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56866</v>
      </c>
      <c r="Z208" s="291">
        <f>SUMPRODUCT(E38:E193,Z38:Z193)</f>
        <v>221855</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56866</v>
      </c>
      <c r="Z209" s="291">
        <f>SUMPRODUCT(F38:F193,Z38:Z193)</f>
        <v>221855</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56866</v>
      </c>
      <c r="Z210" s="291">
        <f>SUMPRODUCT(G38:G193,Z38:Z193)</f>
        <v>222058</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56866</v>
      </c>
      <c r="Z211" s="291">
        <f>SUMPRODUCT(H38:H193,Z38:Z193)</f>
        <v>222058</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56866</v>
      </c>
      <c r="Z212" s="326">
        <f>SUMPRODUCT(I38:I193,Z38:Z193)</f>
        <v>222058</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89" t="s">
        <v>529</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797" t="s">
        <v>211</v>
      </c>
      <c r="C217" s="799" t="s">
        <v>33</v>
      </c>
      <c r="D217" s="284" t="s">
        <v>423</v>
      </c>
      <c r="E217" s="801" t="s">
        <v>209</v>
      </c>
      <c r="F217" s="802"/>
      <c r="G217" s="802"/>
      <c r="H217" s="802"/>
      <c r="I217" s="802"/>
      <c r="J217" s="802"/>
      <c r="K217" s="802"/>
      <c r="L217" s="802"/>
      <c r="M217" s="803"/>
      <c r="N217" s="807" t="s">
        <v>213</v>
      </c>
      <c r="O217" s="284" t="s">
        <v>424</v>
      </c>
      <c r="P217" s="801" t="s">
        <v>212</v>
      </c>
      <c r="Q217" s="802"/>
      <c r="R217" s="802"/>
      <c r="S217" s="802"/>
      <c r="T217" s="802"/>
      <c r="U217" s="802"/>
      <c r="V217" s="802"/>
      <c r="W217" s="802"/>
      <c r="X217" s="803"/>
      <c r="Y217" s="804" t="s">
        <v>244</v>
      </c>
      <c r="Z217" s="805"/>
      <c r="AA217" s="805"/>
      <c r="AB217" s="805"/>
      <c r="AC217" s="805"/>
      <c r="AD217" s="805"/>
      <c r="AE217" s="805"/>
      <c r="AF217" s="805"/>
      <c r="AG217" s="805"/>
      <c r="AH217" s="805"/>
      <c r="AI217" s="805"/>
      <c r="AJ217" s="805"/>
      <c r="AK217" s="805"/>
      <c r="AL217" s="805"/>
      <c r="AM217" s="806"/>
    </row>
    <row r="218" spans="1:39" ht="60.75" customHeight="1">
      <c r="B218" s="798"/>
      <c r="C218" s="800"/>
      <c r="D218" s="285">
        <v>2016</v>
      </c>
      <c r="E218" s="285">
        <v>2017</v>
      </c>
      <c r="F218" s="285">
        <v>2018</v>
      </c>
      <c r="G218" s="285">
        <v>2019</v>
      </c>
      <c r="H218" s="285">
        <v>2020</v>
      </c>
      <c r="I218" s="285">
        <v>2021</v>
      </c>
      <c r="J218" s="285">
        <v>2022</v>
      </c>
      <c r="K218" s="285">
        <v>2023</v>
      </c>
      <c r="L218" s="285">
        <v>2024</v>
      </c>
      <c r="M218" s="285">
        <v>2025</v>
      </c>
      <c r="N218" s="80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50kW to 4999 kW</v>
      </c>
      <c r="AB218" s="285" t="str">
        <f>'1.  LRAMVA Summary'!G52</f>
        <v>Unmettered Scattered Load</v>
      </c>
      <c r="AC218" s="285" t="str">
        <f>'1.  LRAMVA Summary'!H52</f>
        <v>Sentinel Lighiting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692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3"/>
      <c r="AA255" s="423"/>
      <c r="AB255" s="423"/>
      <c r="AC255" s="423"/>
      <c r="AD255" s="423"/>
      <c r="AE255" s="423"/>
      <c r="AF255" s="423"/>
      <c r="AG255" s="423"/>
      <c r="AH255" s="423"/>
      <c r="AI255" s="423"/>
      <c r="AJ255" s="423"/>
      <c r="AK255" s="423"/>
      <c r="AL255" s="423"/>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134576</v>
      </c>
      <c r="E288" s="295">
        <v>134576</v>
      </c>
      <c r="F288" s="295">
        <v>134576</v>
      </c>
      <c r="G288" s="295">
        <v>134576</v>
      </c>
      <c r="H288" s="295">
        <v>134576</v>
      </c>
      <c r="I288" s="295">
        <v>134576</v>
      </c>
      <c r="J288" s="295">
        <v>134576</v>
      </c>
      <c r="K288" s="295">
        <v>134556</v>
      </c>
      <c r="L288" s="295">
        <v>134556</v>
      </c>
      <c r="M288" s="295">
        <v>133937</v>
      </c>
      <c r="N288" s="291"/>
      <c r="O288" s="295">
        <v>9</v>
      </c>
      <c r="P288" s="295">
        <v>9</v>
      </c>
      <c r="Q288" s="295">
        <v>9</v>
      </c>
      <c r="R288" s="295">
        <v>9</v>
      </c>
      <c r="S288" s="295">
        <v>9</v>
      </c>
      <c r="T288" s="295">
        <v>9</v>
      </c>
      <c r="U288" s="295">
        <v>9</v>
      </c>
      <c r="V288" s="295">
        <v>9</v>
      </c>
      <c r="W288" s="295">
        <v>9</v>
      </c>
      <c r="X288" s="295">
        <v>9</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290</v>
      </c>
      <c r="C289" s="291" t="s">
        <v>163</v>
      </c>
      <c r="D289" s="295">
        <v>14812</v>
      </c>
      <c r="E289" s="295">
        <v>14812</v>
      </c>
      <c r="F289" s="295">
        <v>14812</v>
      </c>
      <c r="G289" s="295">
        <v>14812</v>
      </c>
      <c r="H289" s="295">
        <v>14812</v>
      </c>
      <c r="I289" s="295">
        <v>14812</v>
      </c>
      <c r="J289" s="295">
        <v>14812</v>
      </c>
      <c r="K289" s="295">
        <v>14812</v>
      </c>
      <c r="L289" s="295">
        <v>14812</v>
      </c>
      <c r="M289" s="295">
        <v>14834</v>
      </c>
      <c r="N289" s="291"/>
      <c r="O289" s="295">
        <v>1</v>
      </c>
      <c r="P289" s="295">
        <v>1</v>
      </c>
      <c r="Q289" s="295">
        <v>1</v>
      </c>
      <c r="R289" s="295">
        <v>1</v>
      </c>
      <c r="S289" s="295">
        <v>1</v>
      </c>
      <c r="T289" s="295">
        <v>1</v>
      </c>
      <c r="U289" s="295">
        <v>1</v>
      </c>
      <c r="V289" s="295">
        <v>1</v>
      </c>
      <c r="W289" s="295">
        <v>1</v>
      </c>
      <c r="X289" s="295">
        <v>1</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290</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59743</v>
      </c>
      <c r="E304" s="295">
        <v>57135</v>
      </c>
      <c r="F304" s="295">
        <v>57135</v>
      </c>
      <c r="G304" s="295">
        <v>57135</v>
      </c>
      <c r="H304" s="295">
        <v>57135</v>
      </c>
      <c r="I304" s="295">
        <v>57135</v>
      </c>
      <c r="J304" s="295">
        <v>57135</v>
      </c>
      <c r="K304" s="295">
        <v>57135</v>
      </c>
      <c r="L304" s="295">
        <v>57135</v>
      </c>
      <c r="M304" s="295">
        <v>57135</v>
      </c>
      <c r="N304" s="295">
        <v>12</v>
      </c>
      <c r="O304" s="295">
        <v>12</v>
      </c>
      <c r="P304" s="295">
        <v>11</v>
      </c>
      <c r="Q304" s="295">
        <v>11</v>
      </c>
      <c r="R304" s="295">
        <v>11</v>
      </c>
      <c r="S304" s="295">
        <v>11</v>
      </c>
      <c r="T304" s="295">
        <v>11</v>
      </c>
      <c r="U304" s="295">
        <v>11</v>
      </c>
      <c r="V304" s="295">
        <v>11</v>
      </c>
      <c r="W304" s="295">
        <v>11</v>
      </c>
      <c r="X304" s="295">
        <v>11</v>
      </c>
      <c r="Y304" s="426"/>
      <c r="Z304" s="410"/>
      <c r="AA304" s="410"/>
      <c r="AB304" s="410"/>
      <c r="AC304" s="410"/>
      <c r="AD304" s="410">
        <v>1</v>
      </c>
      <c r="AE304" s="410"/>
      <c r="AF304" s="410"/>
      <c r="AG304" s="415"/>
      <c r="AH304" s="415"/>
      <c r="AI304" s="415"/>
      <c r="AJ304" s="415"/>
      <c r="AK304" s="415"/>
      <c r="AL304" s="415"/>
      <c r="AM304" s="296">
        <f>SUM(Y304:AL304)</f>
        <v>1</v>
      </c>
    </row>
    <row r="305" spans="1:39" outlineLevel="1">
      <c r="B305" s="294" t="s">
        <v>290</v>
      </c>
      <c r="C305" s="291" t="s">
        <v>163</v>
      </c>
      <c r="D305" s="295">
        <v>2733</v>
      </c>
      <c r="E305" s="295">
        <v>5341</v>
      </c>
      <c r="F305" s="295">
        <v>5341</v>
      </c>
      <c r="G305" s="295">
        <v>5341</v>
      </c>
      <c r="H305" s="295">
        <v>5341</v>
      </c>
      <c r="I305" s="295">
        <v>5341</v>
      </c>
      <c r="J305" s="295">
        <v>5341</v>
      </c>
      <c r="K305" s="295">
        <v>5341</v>
      </c>
      <c r="L305" s="295">
        <v>5341</v>
      </c>
      <c r="M305" s="295">
        <v>5341</v>
      </c>
      <c r="N305" s="295">
        <f>N304</f>
        <v>12</v>
      </c>
      <c r="O305" s="295">
        <v>1</v>
      </c>
      <c r="P305" s="295">
        <v>1</v>
      </c>
      <c r="Q305" s="295">
        <v>1</v>
      </c>
      <c r="R305" s="295">
        <v>1</v>
      </c>
      <c r="S305" s="295">
        <v>1</v>
      </c>
      <c r="T305" s="295">
        <v>1</v>
      </c>
      <c r="U305" s="295">
        <v>1</v>
      </c>
      <c r="V305" s="295">
        <v>1</v>
      </c>
      <c r="W305" s="295">
        <v>1</v>
      </c>
      <c r="X305" s="295">
        <v>1</v>
      </c>
      <c r="Y305" s="411">
        <f>Y304</f>
        <v>0</v>
      </c>
      <c r="Z305" s="411">
        <f t="shared" ref="Z305" si="811">Z304</f>
        <v>0</v>
      </c>
      <c r="AA305" s="411">
        <f t="shared" ref="AA305" si="812">AA304</f>
        <v>0</v>
      </c>
      <c r="AB305" s="411">
        <f t="shared" ref="AB305" si="813">AB304</f>
        <v>0</v>
      </c>
      <c r="AC305" s="411">
        <f t="shared" ref="AC305" si="814">AC304</f>
        <v>0</v>
      </c>
      <c r="AD305" s="411">
        <f t="shared" ref="AD305" si="815">AD304</f>
        <v>1</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211864</v>
      </c>
      <c r="E378" s="329"/>
      <c r="F378" s="329"/>
      <c r="G378" s="329"/>
      <c r="H378" s="329"/>
      <c r="I378" s="329"/>
      <c r="J378" s="329"/>
      <c r="K378" s="329"/>
      <c r="L378" s="329"/>
      <c r="M378" s="329"/>
      <c r="N378" s="329"/>
      <c r="O378" s="329">
        <f>SUM(O221:O376)</f>
        <v>23</v>
      </c>
      <c r="P378" s="329"/>
      <c r="Q378" s="329"/>
      <c r="R378" s="329"/>
      <c r="S378" s="329"/>
      <c r="T378" s="329"/>
      <c r="U378" s="329"/>
      <c r="V378" s="329"/>
      <c r="W378" s="329"/>
      <c r="X378" s="329"/>
      <c r="Y378" s="329">
        <f>IF(Y219="kWh",SUMPRODUCT(D221:D376,Y221:Y376))</f>
        <v>149388</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156</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910343</v>
      </c>
      <c r="Z379" s="392">
        <f>HLOOKUP(Z218,'2. LRAMVA Threshold'!$B$42:$Q$53,8,FALSE)</f>
        <v>8804</v>
      </c>
      <c r="AA379" s="392">
        <f>HLOOKUP(AA218,'2. LRAMVA Threshold'!$B$42:$Q$53,8,FALSE)</f>
        <v>202</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1.4E-2</v>
      </c>
      <c r="Z381" s="341">
        <f>HLOOKUP(Z$35,'3.  Distribution Rates'!$C$122:$P$133,8,FALSE)</f>
        <v>1.7899999999999999E-2</v>
      </c>
      <c r="AA381" s="341">
        <f>HLOOKUP(AA$35,'3.  Distribution Rates'!$C$122:$P$133,8,FALSE)</f>
        <v>3.6185</v>
      </c>
      <c r="AB381" s="341">
        <f>HLOOKUP(AB$35,'3.  Distribution Rates'!$C$122:$P$133,8,FALSE)</f>
        <v>3.3599999999999998E-2</v>
      </c>
      <c r="AC381" s="341">
        <f>HLOOKUP(AC$35,'3.  Distribution Rates'!$C$122:$P$133,8,FALSE)</f>
        <v>15.043699999999999</v>
      </c>
      <c r="AD381" s="341">
        <f>HLOOKUP(AD$35,'3.  Distribution Rates'!$C$122:$P$133,8,FALSE)</f>
        <v>20.6218</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226.08712000000003</v>
      </c>
      <c r="Z382" s="378">
        <f>'4.  2011-2014 LRAM'!Z139*Z381</f>
        <v>794.44496000000004</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 t="shared" ref="AM382:AM387" si="1123">SUM(Y382:AL382)</f>
        <v>1020.5320800000001</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164.33872</v>
      </c>
      <c r="Z383" s="378">
        <f>'4.  2011-2014 LRAM'!Z268*Z381</f>
        <v>1447.6086567999998</v>
      </c>
      <c r="AA383" s="378">
        <f>'4.  2011-2014 LRAM'!AA268*AA381</f>
        <v>1176.0792251400001</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 t="shared" si="1123"/>
        <v>2788.0266019399996</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296.77535999999998</v>
      </c>
      <c r="Z384" s="378">
        <f>'4.  2011-2014 LRAM'!Z397*Z381</f>
        <v>852.17562830000008</v>
      </c>
      <c r="AA384" s="378">
        <f>'4.  2011-2014 LRAM'!AA397*AA381</f>
        <v>27.926425080000001</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 t="shared" si="1123"/>
        <v>1176.87741338</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678.04478000000006</v>
      </c>
      <c r="Z385" s="378">
        <f>'4.  2011-2014 LRAM'!Z527*Z381</f>
        <v>522.44341570000006</v>
      </c>
      <c r="AA385" s="378">
        <f>'4.  2011-2014 LRAM'!AA527*AA381</f>
        <v>1480.6202905799998</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si="1123"/>
        <v>2681.1084862799999</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796.12400000000002</v>
      </c>
      <c r="Z386" s="378">
        <f t="shared" si="1124"/>
        <v>3971.2044999999998</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4767.3284999999996</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2091.4320000000002</v>
      </c>
      <c r="Z387" s="378">
        <f t="shared" ref="Z387:AL387" si="1125">Z378*Z381</f>
        <v>0</v>
      </c>
      <c r="AA387" s="378">
        <f t="shared" si="1125"/>
        <v>0</v>
      </c>
      <c r="AB387" s="378">
        <f t="shared" si="1125"/>
        <v>0</v>
      </c>
      <c r="AC387" s="378">
        <f t="shared" si="1125"/>
        <v>0</v>
      </c>
      <c r="AD387" s="378">
        <f t="shared" si="1125"/>
        <v>3217.0008000000003</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5308.4328000000005</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4252.8019800000002</v>
      </c>
      <c r="Z388" s="346">
        <f t="shared" ref="Z388:AE388" si="1126">SUM(Z382:Z387)</f>
        <v>7587.8771607999997</v>
      </c>
      <c r="AA388" s="346">
        <f t="shared" si="1126"/>
        <v>2684.6259407999996</v>
      </c>
      <c r="AB388" s="346">
        <f t="shared" si="1126"/>
        <v>0</v>
      </c>
      <c r="AC388" s="346">
        <f t="shared" si="1126"/>
        <v>0</v>
      </c>
      <c r="AD388" s="346">
        <f t="shared" si="1126"/>
        <v>3217.0008000000003</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17742.305881599998</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12744.802</v>
      </c>
      <c r="Z389" s="347">
        <f t="shared" ref="Z389:AE389" si="1128">Z379*Z381</f>
        <v>157.5916</v>
      </c>
      <c r="AA389" s="347">
        <f t="shared" si="1128"/>
        <v>730.93700000000001</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13633.330599999999</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4108.9752815999982</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149388</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144</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149388</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144</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149388</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144</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149388</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144</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89" t="s">
        <v>529</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797" t="s">
        <v>211</v>
      </c>
      <c r="C400" s="799" t="s">
        <v>33</v>
      </c>
      <c r="D400" s="284" t="s">
        <v>423</v>
      </c>
      <c r="E400" s="801" t="s">
        <v>209</v>
      </c>
      <c r="F400" s="802"/>
      <c r="G400" s="802"/>
      <c r="H400" s="802"/>
      <c r="I400" s="802"/>
      <c r="J400" s="802"/>
      <c r="K400" s="802"/>
      <c r="L400" s="802"/>
      <c r="M400" s="803"/>
      <c r="N400" s="807" t="s">
        <v>213</v>
      </c>
      <c r="O400" s="284" t="s">
        <v>424</v>
      </c>
      <c r="P400" s="801" t="s">
        <v>212</v>
      </c>
      <c r="Q400" s="802"/>
      <c r="R400" s="802"/>
      <c r="S400" s="802"/>
      <c r="T400" s="802"/>
      <c r="U400" s="802"/>
      <c r="V400" s="802"/>
      <c r="W400" s="802"/>
      <c r="X400" s="803"/>
      <c r="Y400" s="804" t="s">
        <v>244</v>
      </c>
      <c r="Z400" s="805"/>
      <c r="AA400" s="805"/>
      <c r="AB400" s="805"/>
      <c r="AC400" s="805"/>
      <c r="AD400" s="805"/>
      <c r="AE400" s="805"/>
      <c r="AF400" s="805"/>
      <c r="AG400" s="805"/>
      <c r="AH400" s="805"/>
      <c r="AI400" s="805"/>
      <c r="AJ400" s="805"/>
      <c r="AK400" s="805"/>
      <c r="AL400" s="805"/>
      <c r="AM400" s="806"/>
    </row>
    <row r="401" spans="1:39" ht="61.5" customHeight="1">
      <c r="B401" s="798"/>
      <c r="C401" s="800"/>
      <c r="D401" s="285">
        <v>2017</v>
      </c>
      <c r="E401" s="285">
        <v>2018</v>
      </c>
      <c r="F401" s="285">
        <v>2019</v>
      </c>
      <c r="G401" s="285">
        <v>2020</v>
      </c>
      <c r="H401" s="285">
        <v>2021</v>
      </c>
      <c r="I401" s="285">
        <v>2022</v>
      </c>
      <c r="J401" s="285">
        <v>2023</v>
      </c>
      <c r="K401" s="285">
        <v>2024</v>
      </c>
      <c r="L401" s="285">
        <v>2025</v>
      </c>
      <c r="M401" s="285">
        <v>2026</v>
      </c>
      <c r="N401" s="80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50kW to 4999 kW</v>
      </c>
      <c r="AB401" s="285" t="str">
        <f>'1.  LRAMVA Summary'!G52</f>
        <v>Unmettered Scattered Load</v>
      </c>
      <c r="AC401" s="285" t="str">
        <f>'1.  LRAMVA Summary'!H52</f>
        <v>Sentinel Lighiting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692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3"/>
      <c r="AA438" s="423"/>
      <c r="AB438" s="423"/>
      <c r="AC438" s="423"/>
      <c r="AD438" s="423"/>
      <c r="AE438" s="423"/>
      <c r="AF438" s="423"/>
      <c r="AG438" s="423"/>
      <c r="AH438" s="423"/>
      <c r="AI438" s="423"/>
      <c r="AJ438" s="423"/>
      <c r="AK438" s="423"/>
      <c r="AL438" s="423"/>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309</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132476</v>
      </c>
      <c r="E471" s="295">
        <v>106623</v>
      </c>
      <c r="F471" s="295">
        <v>106623</v>
      </c>
      <c r="G471" s="295">
        <v>106623</v>
      </c>
      <c r="H471" s="295">
        <v>106623</v>
      </c>
      <c r="I471" s="295">
        <v>106623</v>
      </c>
      <c r="J471" s="295">
        <v>106623</v>
      </c>
      <c r="K471" s="295">
        <v>106622</v>
      </c>
      <c r="L471" s="295">
        <v>106622</v>
      </c>
      <c r="M471" s="295">
        <v>106357</v>
      </c>
      <c r="N471" s="291"/>
      <c r="O471" s="295">
        <v>9</v>
      </c>
      <c r="P471" s="295">
        <v>7</v>
      </c>
      <c r="Q471" s="295">
        <v>7</v>
      </c>
      <c r="R471" s="295">
        <v>7</v>
      </c>
      <c r="S471" s="295">
        <v>7</v>
      </c>
      <c r="T471" s="295">
        <v>7</v>
      </c>
      <c r="U471" s="295">
        <v>7</v>
      </c>
      <c r="V471" s="295">
        <v>7</v>
      </c>
      <c r="W471" s="295">
        <v>7</v>
      </c>
      <c r="X471" s="295">
        <v>7</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1056</v>
      </c>
      <c r="E474" s="295">
        <v>1056</v>
      </c>
      <c r="F474" s="295">
        <v>1056</v>
      </c>
      <c r="G474" s="295">
        <v>1056</v>
      </c>
      <c r="H474" s="295">
        <v>1056</v>
      </c>
      <c r="I474" s="295">
        <v>1056</v>
      </c>
      <c r="J474" s="295">
        <v>1056</v>
      </c>
      <c r="K474" s="295">
        <v>1056</v>
      </c>
      <c r="L474" s="295">
        <v>1056</v>
      </c>
      <c r="M474" s="295">
        <v>1056</v>
      </c>
      <c r="N474" s="291"/>
      <c r="O474" s="295"/>
      <c r="P474" s="295"/>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40" t="s">
        <v>701</v>
      </c>
      <c r="C477" s="291" t="s">
        <v>25</v>
      </c>
      <c r="D477" s="295">
        <v>3593</v>
      </c>
      <c r="E477" s="295">
        <v>3593</v>
      </c>
      <c r="F477" s="295">
        <v>3593</v>
      </c>
      <c r="G477" s="295">
        <v>3593</v>
      </c>
      <c r="H477" s="295">
        <v>3593</v>
      </c>
      <c r="I477" s="295">
        <v>3593</v>
      </c>
      <c r="J477" s="295">
        <v>3593</v>
      </c>
      <c r="K477" s="295">
        <v>3593</v>
      </c>
      <c r="L477" s="295">
        <v>3593</v>
      </c>
      <c r="M477" s="295">
        <v>3593</v>
      </c>
      <c r="N477" s="291"/>
      <c r="O477" s="295">
        <v>2</v>
      </c>
      <c r="P477" s="295">
        <v>2</v>
      </c>
      <c r="Q477" s="295">
        <v>2</v>
      </c>
      <c r="R477" s="295">
        <v>2</v>
      </c>
      <c r="S477" s="295">
        <v>2</v>
      </c>
      <c r="T477" s="295">
        <v>2</v>
      </c>
      <c r="U477" s="295">
        <v>2</v>
      </c>
      <c r="V477" s="295">
        <v>2</v>
      </c>
      <c r="W477" s="295">
        <v>2</v>
      </c>
      <c r="X477" s="295">
        <v>2</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outlineLevel="1">
      <c r="A480" s="532">
        <v>24</v>
      </c>
      <c r="B480" s="740" t="s">
        <v>700</v>
      </c>
      <c r="C480" s="291" t="s">
        <v>25</v>
      </c>
      <c r="D480" s="295">
        <v>124735</v>
      </c>
      <c r="E480" s="295">
        <v>90332</v>
      </c>
      <c r="F480" s="295">
        <v>90332</v>
      </c>
      <c r="G480" s="295">
        <v>90332</v>
      </c>
      <c r="H480" s="295">
        <v>90332</v>
      </c>
      <c r="I480" s="295">
        <v>90332</v>
      </c>
      <c r="J480" s="295">
        <v>90332</v>
      </c>
      <c r="K480" s="295">
        <v>90330</v>
      </c>
      <c r="L480" s="295">
        <v>90330</v>
      </c>
      <c r="M480" s="295">
        <v>90330</v>
      </c>
      <c r="N480" s="291"/>
      <c r="O480" s="295">
        <v>9</v>
      </c>
      <c r="P480" s="295">
        <v>6</v>
      </c>
      <c r="Q480" s="295">
        <v>6</v>
      </c>
      <c r="R480" s="295">
        <v>6</v>
      </c>
      <c r="S480" s="295">
        <v>6</v>
      </c>
      <c r="T480" s="295">
        <v>6</v>
      </c>
      <c r="U480" s="295">
        <v>6</v>
      </c>
      <c r="V480" s="295">
        <v>6</v>
      </c>
      <c r="W480" s="295">
        <v>6</v>
      </c>
      <c r="X480" s="295">
        <v>6</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6537</v>
      </c>
      <c r="E487" s="295">
        <v>6537</v>
      </c>
      <c r="F487" s="295">
        <v>6537</v>
      </c>
      <c r="G487" s="295">
        <v>6537</v>
      </c>
      <c r="H487" s="295">
        <v>6537</v>
      </c>
      <c r="I487" s="295">
        <v>6537</v>
      </c>
      <c r="J487" s="295">
        <v>6537</v>
      </c>
      <c r="K487" s="295">
        <v>6537</v>
      </c>
      <c r="L487" s="295">
        <v>6537</v>
      </c>
      <c r="M487" s="295">
        <v>6537</v>
      </c>
      <c r="N487" s="295">
        <v>12</v>
      </c>
      <c r="O487" s="295"/>
      <c r="P487" s="295"/>
      <c r="Q487" s="295"/>
      <c r="R487" s="295"/>
      <c r="S487" s="295"/>
      <c r="T487" s="295"/>
      <c r="U487" s="295"/>
      <c r="V487" s="295"/>
      <c r="W487" s="295"/>
      <c r="X487" s="295"/>
      <c r="Y487" s="426"/>
      <c r="Z487" s="410"/>
      <c r="AA487" s="410"/>
      <c r="AB487" s="410"/>
      <c r="AC487" s="410"/>
      <c r="AD487" s="410">
        <v>1</v>
      </c>
      <c r="AE487" s="410"/>
      <c r="AF487" s="415"/>
      <c r="AG487" s="415"/>
      <c r="AH487" s="415"/>
      <c r="AI487" s="415"/>
      <c r="AJ487" s="415"/>
      <c r="AK487" s="415"/>
      <c r="AL487" s="415"/>
      <c r="AM487" s="296">
        <f>SUM(Y487:AL487)</f>
        <v>1</v>
      </c>
    </row>
    <row r="488" spans="1:39"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1</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309</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293</v>
      </c>
      <c r="C561" s="329"/>
      <c r="D561" s="329">
        <f>SUM(D404:D559)</f>
        <v>268397</v>
      </c>
      <c r="E561" s="329"/>
      <c r="F561" s="329"/>
      <c r="G561" s="329"/>
      <c r="H561" s="329"/>
      <c r="I561" s="329"/>
      <c r="J561" s="329"/>
      <c r="K561" s="329"/>
      <c r="L561" s="329"/>
      <c r="M561" s="329"/>
      <c r="N561" s="329"/>
      <c r="O561" s="329">
        <f>SUM(O404:O559)</f>
        <v>20</v>
      </c>
      <c r="P561" s="329"/>
      <c r="Q561" s="329"/>
      <c r="R561" s="329"/>
      <c r="S561" s="329"/>
      <c r="T561" s="329"/>
      <c r="U561" s="329"/>
      <c r="V561" s="329"/>
      <c r="W561" s="329"/>
      <c r="X561" s="329"/>
      <c r="Y561" s="329">
        <f>IF(Y402="kWh",SUMPRODUCT(D404:D559,Y404:Y559))</f>
        <v>261860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910343</v>
      </c>
      <c r="Z562" s="392">
        <f>HLOOKUP(Z218,'2. LRAMVA Threshold'!$B$42:$Q$53,9,FALSE)</f>
        <v>8804</v>
      </c>
      <c r="AA562" s="392">
        <f>HLOOKUP(AA218,'2. LRAMVA Threshold'!$B$42:$Q$53,9,FALSE)</f>
        <v>202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1.4E-2</v>
      </c>
      <c r="Z564" s="341">
        <f>HLOOKUP(Z$35,'3.  Distribution Rates'!$C$122:$P$133,9,FALSE)</f>
        <v>1.7899999999999999E-2</v>
      </c>
      <c r="AA564" s="341">
        <f>HLOOKUP(AA$35,'3.  Distribution Rates'!$C$122:$P$133,9,FALSE)</f>
        <v>3.6185</v>
      </c>
      <c r="AB564" s="341">
        <f>HLOOKUP(AB$35,'3.  Distribution Rates'!$C$122:$P$133,9,FALSE)</f>
        <v>3.3599999999999998E-2</v>
      </c>
      <c r="AC564" s="341">
        <f>HLOOKUP(AC$35,'3.  Distribution Rates'!$C$122:$P$133,9,FALSE)</f>
        <v>15.043699999999999</v>
      </c>
      <c r="AD564" s="341">
        <f>HLOOKUP(AD$35,'3.  Distribution Rates'!$C$122:$P$133,9,FALSE)</f>
        <v>20.6218</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171.43224000000004</v>
      </c>
      <c r="Z565" s="378">
        <f>'4.  2011-2014 LRAM'!Z140*Z564</f>
        <v>200.02909899999997</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371.46133900000001</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112.96250000000001</v>
      </c>
      <c r="Z566" s="378">
        <f>'4.  2011-2014 LRAM'!Z269*Z564</f>
        <v>338.1306778</v>
      </c>
      <c r="AA566" s="378">
        <f>'4.  2011-2014 LRAM'!AA269*AA564</f>
        <v>1176.0792251400001</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1627.1724029400002</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296.76038</v>
      </c>
      <c r="Z567" s="378">
        <f>'4.  2011-2014 LRAM'!Z398*Z564</f>
        <v>107.3036443</v>
      </c>
      <c r="AA567" s="378">
        <f>'4.  2011-2014 LRAM'!AA398*AA564</f>
        <v>27.926425080000001</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431.99044938000003</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678.04478000000006</v>
      </c>
      <c r="Z568" s="378">
        <f>'4.  2011-2014 LRAM'!Z528*Z564</f>
        <v>288.5615861</v>
      </c>
      <c r="AA568" s="378">
        <f>'4.  2011-2014 LRAM'!AA528*AA564</f>
        <v>1449.5088618000002</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2416.1152279000003</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796.12400000000002</v>
      </c>
      <c r="Z569" s="378">
        <f t="shared" si="1700"/>
        <v>3971.2044999999998</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4767.3284999999996</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2091.4320000000002</v>
      </c>
      <c r="Z570" s="378">
        <f>Z392*Z564</f>
        <v>0</v>
      </c>
      <c r="AA570" s="378">
        <f t="shared" ref="AA570:AL570" si="1701">AA392*AA564</f>
        <v>0</v>
      </c>
      <c r="AB570" s="378">
        <f>AB392*AB564</f>
        <v>0</v>
      </c>
      <c r="AC570" s="378">
        <f t="shared" si="1701"/>
        <v>0</v>
      </c>
      <c r="AD570" s="378">
        <f t="shared" si="1701"/>
        <v>2969.5392000000002</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5060.9712</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3666.04</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3666.04</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7812.7959000000001</v>
      </c>
      <c r="Z572" s="346">
        <f>SUM(Z565:Z571)</f>
        <v>4905.2295071999997</v>
      </c>
      <c r="AA572" s="346">
        <f t="shared" ref="AA572:AE572" si="1703">SUM(AA565:AA571)</f>
        <v>2653.5145120200004</v>
      </c>
      <c r="AB572" s="346">
        <f t="shared" si="1703"/>
        <v>0</v>
      </c>
      <c r="AC572" s="346">
        <f t="shared" si="1703"/>
        <v>0</v>
      </c>
      <c r="AD572" s="346">
        <f>SUM(AD565:AD571)</f>
        <v>2969.5392000000002</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18341.079119220001</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12744.802</v>
      </c>
      <c r="Z573" s="347">
        <f t="shared" ref="Z573:AE573" si="1705">Z562*Z564</f>
        <v>157.5916</v>
      </c>
      <c r="AA573" s="347">
        <f t="shared" si="1705"/>
        <v>730.93700000000001</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13633.330599999999</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4707.748519220002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201604</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201604</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201604</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89" t="s">
        <v>529</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797" t="s">
        <v>211</v>
      </c>
      <c r="C583" s="799" t="s">
        <v>33</v>
      </c>
      <c r="D583" s="284" t="s">
        <v>423</v>
      </c>
      <c r="E583" s="801" t="s">
        <v>209</v>
      </c>
      <c r="F583" s="802"/>
      <c r="G583" s="802"/>
      <c r="H583" s="802"/>
      <c r="I583" s="802"/>
      <c r="J583" s="802"/>
      <c r="K583" s="802"/>
      <c r="L583" s="802"/>
      <c r="M583" s="803"/>
      <c r="N583" s="807" t="s">
        <v>213</v>
      </c>
      <c r="O583" s="284" t="s">
        <v>424</v>
      </c>
      <c r="P583" s="801" t="s">
        <v>212</v>
      </c>
      <c r="Q583" s="802"/>
      <c r="R583" s="802"/>
      <c r="S583" s="802"/>
      <c r="T583" s="802"/>
      <c r="U583" s="802"/>
      <c r="V583" s="802"/>
      <c r="W583" s="802"/>
      <c r="X583" s="803"/>
      <c r="Y583" s="804" t="s">
        <v>244</v>
      </c>
      <c r="Z583" s="805"/>
      <c r="AA583" s="805"/>
      <c r="AB583" s="805"/>
      <c r="AC583" s="805"/>
      <c r="AD583" s="805"/>
      <c r="AE583" s="805"/>
      <c r="AF583" s="805"/>
      <c r="AG583" s="805"/>
      <c r="AH583" s="805"/>
      <c r="AI583" s="805"/>
      <c r="AJ583" s="805"/>
      <c r="AK583" s="805"/>
      <c r="AL583" s="805"/>
      <c r="AM583" s="806"/>
    </row>
    <row r="584" spans="1:39" ht="68.25" customHeight="1">
      <c r="B584" s="798"/>
      <c r="C584" s="800"/>
      <c r="D584" s="285">
        <v>2018</v>
      </c>
      <c r="E584" s="285">
        <v>2019</v>
      </c>
      <c r="F584" s="285">
        <v>2020</v>
      </c>
      <c r="G584" s="285">
        <v>2021</v>
      </c>
      <c r="H584" s="285">
        <v>2022</v>
      </c>
      <c r="I584" s="285">
        <v>2023</v>
      </c>
      <c r="J584" s="285">
        <v>2024</v>
      </c>
      <c r="K584" s="285">
        <v>2025</v>
      </c>
      <c r="L584" s="285">
        <v>2026</v>
      </c>
      <c r="M584" s="285">
        <v>2027</v>
      </c>
      <c r="N584" s="80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50kW to 4999 kW</v>
      </c>
      <c r="AB584" s="285" t="str">
        <f>'1.  LRAMVA Summary'!G52</f>
        <v>Unmettered Scattered Load</v>
      </c>
      <c r="AC584" s="285" t="str">
        <f>'1.  LRAMVA Summary'!H52</f>
        <v>Sentinel Lighiting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692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3"/>
      <c r="AA621" s="423"/>
      <c r="AB621" s="423"/>
      <c r="AC621" s="423"/>
      <c r="AD621" s="423"/>
      <c r="AE621" s="423"/>
      <c r="AF621" s="423"/>
      <c r="AG621" s="423"/>
      <c r="AH621" s="423"/>
      <c r="AI621" s="423"/>
      <c r="AJ621" s="423"/>
      <c r="AK621" s="423"/>
      <c r="AL621" s="423"/>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29"/>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75"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0</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0</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89" t="s">
        <v>529</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797" t="s">
        <v>211</v>
      </c>
      <c r="C766" s="799" t="s">
        <v>33</v>
      </c>
      <c r="D766" s="284" t="s">
        <v>423</v>
      </c>
      <c r="E766" s="801" t="s">
        <v>209</v>
      </c>
      <c r="F766" s="802"/>
      <c r="G766" s="802"/>
      <c r="H766" s="802"/>
      <c r="I766" s="802"/>
      <c r="J766" s="802"/>
      <c r="K766" s="802"/>
      <c r="L766" s="802"/>
      <c r="M766" s="803"/>
      <c r="N766" s="807" t="s">
        <v>213</v>
      </c>
      <c r="O766" s="284" t="s">
        <v>424</v>
      </c>
      <c r="P766" s="801" t="s">
        <v>212</v>
      </c>
      <c r="Q766" s="802"/>
      <c r="R766" s="802"/>
      <c r="S766" s="802"/>
      <c r="T766" s="802"/>
      <c r="U766" s="802"/>
      <c r="V766" s="802"/>
      <c r="W766" s="802"/>
      <c r="X766" s="803"/>
      <c r="Y766" s="804" t="s">
        <v>244</v>
      </c>
      <c r="Z766" s="805"/>
      <c r="AA766" s="805"/>
      <c r="AB766" s="805"/>
      <c r="AC766" s="805"/>
      <c r="AD766" s="805"/>
      <c r="AE766" s="805"/>
      <c r="AF766" s="805"/>
      <c r="AG766" s="805"/>
      <c r="AH766" s="805"/>
      <c r="AI766" s="805"/>
      <c r="AJ766" s="805"/>
      <c r="AK766" s="805"/>
      <c r="AL766" s="805"/>
      <c r="AM766" s="806"/>
    </row>
    <row r="767" spans="1:40" ht="65.25" customHeight="1">
      <c r="B767" s="798"/>
      <c r="C767" s="800"/>
      <c r="D767" s="285">
        <v>2019</v>
      </c>
      <c r="E767" s="285">
        <v>2020</v>
      </c>
      <c r="F767" s="285">
        <v>2021</v>
      </c>
      <c r="G767" s="285">
        <v>2022</v>
      </c>
      <c r="H767" s="285">
        <v>2023</v>
      </c>
      <c r="I767" s="285">
        <v>2024</v>
      </c>
      <c r="J767" s="285">
        <v>2025</v>
      </c>
      <c r="K767" s="285">
        <v>2026</v>
      </c>
      <c r="L767" s="285">
        <v>2027</v>
      </c>
      <c r="M767" s="285">
        <v>2028</v>
      </c>
      <c r="N767" s="80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50kW to 4999 kW</v>
      </c>
      <c r="AB767" s="285" t="str">
        <f>'1.  LRAMVA Summary'!G52</f>
        <v>Unmettered Scattered Load</v>
      </c>
      <c r="AC767" s="285" t="str">
        <f>'1.  LRAMVA Summary'!H52</f>
        <v>Sentinel Lighiting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692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3"/>
      <c r="AA804" s="423"/>
      <c r="AB804" s="423"/>
      <c r="AC804" s="423"/>
      <c r="AD804" s="423"/>
      <c r="AE804" s="423"/>
      <c r="AF804" s="423"/>
      <c r="AG804" s="423"/>
      <c r="AH804" s="423"/>
      <c r="AI804" s="423"/>
      <c r="AJ804" s="423"/>
      <c r="AK804" s="423"/>
      <c r="AL804" s="423"/>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89" t="s">
        <v>529</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797" t="s">
        <v>211</v>
      </c>
      <c r="C949" s="799" t="s">
        <v>33</v>
      </c>
      <c r="D949" s="284" t="s">
        <v>423</v>
      </c>
      <c r="E949" s="801" t="s">
        <v>209</v>
      </c>
      <c r="F949" s="802"/>
      <c r="G949" s="802"/>
      <c r="H949" s="802"/>
      <c r="I949" s="802"/>
      <c r="J949" s="802"/>
      <c r="K949" s="802"/>
      <c r="L949" s="802"/>
      <c r="M949" s="803"/>
      <c r="N949" s="807" t="s">
        <v>213</v>
      </c>
      <c r="O949" s="284" t="s">
        <v>424</v>
      </c>
      <c r="P949" s="801" t="s">
        <v>212</v>
      </c>
      <c r="Q949" s="802"/>
      <c r="R949" s="802"/>
      <c r="S949" s="802"/>
      <c r="T949" s="802"/>
      <c r="U949" s="802"/>
      <c r="V949" s="802"/>
      <c r="W949" s="802"/>
      <c r="X949" s="803"/>
      <c r="Y949" s="804" t="s">
        <v>244</v>
      </c>
      <c r="Z949" s="805"/>
      <c r="AA949" s="805"/>
      <c r="AB949" s="805"/>
      <c r="AC949" s="805"/>
      <c r="AD949" s="805"/>
      <c r="AE949" s="805"/>
      <c r="AF949" s="805"/>
      <c r="AG949" s="805"/>
      <c r="AH949" s="805"/>
      <c r="AI949" s="805"/>
      <c r="AJ949" s="805"/>
      <c r="AK949" s="805"/>
      <c r="AL949" s="805"/>
      <c r="AM949" s="806"/>
    </row>
    <row r="950" spans="1:39" ht="65.25" customHeight="1">
      <c r="B950" s="798"/>
      <c r="C950" s="800"/>
      <c r="D950" s="285">
        <v>2020</v>
      </c>
      <c r="E950" s="285">
        <v>2021</v>
      </c>
      <c r="F950" s="285">
        <v>2022</v>
      </c>
      <c r="G950" s="285">
        <v>2023</v>
      </c>
      <c r="H950" s="285">
        <v>2024</v>
      </c>
      <c r="I950" s="285">
        <v>2025</v>
      </c>
      <c r="J950" s="285">
        <v>2026</v>
      </c>
      <c r="K950" s="285">
        <v>2027</v>
      </c>
      <c r="L950" s="285">
        <v>2028</v>
      </c>
      <c r="M950" s="285">
        <v>2029</v>
      </c>
      <c r="N950" s="80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50kW to 4999 kW</v>
      </c>
      <c r="AB950" s="285" t="str">
        <f>'1.  LRAMVA Summary'!G52</f>
        <v>Unmettered Scattered Load</v>
      </c>
      <c r="AC950" s="285" t="str">
        <f>'1.  LRAMVA Summary'!H52</f>
        <v>Sentinel Lighiting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692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3"/>
      <c r="AA987" s="423"/>
      <c r="AB987" s="423"/>
      <c r="AC987" s="423"/>
      <c r="AD987" s="423"/>
      <c r="AE987" s="423"/>
      <c r="AF987" s="423"/>
      <c r="AG987" s="423"/>
      <c r="AH987" s="423"/>
      <c r="AI987" s="423"/>
      <c r="AJ987" s="423"/>
      <c r="AK987" s="423"/>
      <c r="AL987" s="423"/>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529</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election activeCell="A10" sqref="A10"/>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10" t="s">
        <v>678</v>
      </c>
      <c r="D8" s="810"/>
      <c r="E8" s="810"/>
      <c r="F8" s="810"/>
      <c r="G8" s="810"/>
      <c r="H8" s="810"/>
      <c r="I8" s="810"/>
      <c r="J8" s="810"/>
      <c r="K8" s="810"/>
      <c r="L8" s="810"/>
      <c r="M8" s="810"/>
      <c r="N8" s="810"/>
      <c r="O8" s="810"/>
      <c r="P8" s="810"/>
      <c r="Q8" s="810"/>
      <c r="R8" s="810"/>
      <c r="S8" s="810"/>
      <c r="T8" s="105"/>
      <c r="U8" s="105"/>
      <c r="V8" s="105"/>
      <c r="W8" s="105"/>
    </row>
    <row r="9" spans="1:28" s="9" customFormat="1" ht="46.9" customHeight="1">
      <c r="B9" s="55"/>
      <c r="C9" s="772" t="s">
        <v>690</v>
      </c>
      <c r="D9" s="772"/>
      <c r="E9" s="772"/>
      <c r="F9" s="772"/>
      <c r="G9" s="772"/>
      <c r="H9" s="772"/>
      <c r="I9" s="772"/>
      <c r="J9" s="772"/>
      <c r="K9" s="772"/>
      <c r="L9" s="772"/>
      <c r="M9" s="772"/>
      <c r="N9" s="772"/>
      <c r="O9" s="772"/>
      <c r="P9" s="772"/>
      <c r="Q9" s="772"/>
      <c r="R9" s="772"/>
      <c r="S9" s="772"/>
      <c r="T9" s="105"/>
      <c r="U9" s="105"/>
      <c r="V9" s="105"/>
      <c r="W9" s="105"/>
    </row>
    <row r="10" spans="1:28" s="9" customFormat="1" ht="37.9" customHeight="1">
      <c r="B10" s="88"/>
      <c r="C10" s="788" t="s">
        <v>691</v>
      </c>
      <c r="D10" s="772"/>
      <c r="E10" s="772"/>
      <c r="F10" s="772"/>
      <c r="G10" s="772"/>
      <c r="H10" s="772"/>
      <c r="I10" s="772"/>
      <c r="J10" s="772"/>
      <c r="K10" s="772"/>
      <c r="L10" s="772"/>
      <c r="M10" s="772"/>
      <c r="N10" s="772"/>
      <c r="O10" s="772"/>
      <c r="P10" s="772"/>
      <c r="Q10" s="772"/>
      <c r="R10" s="772"/>
      <c r="S10" s="77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09" t="s">
        <v>235</v>
      </c>
      <c r="C12" s="809"/>
      <c r="D12" s="181"/>
      <c r="E12" s="182" t="s">
        <v>236</v>
      </c>
      <c r="F12" s="51"/>
      <c r="G12" s="51"/>
      <c r="H12" s="44"/>
      <c r="I12" s="51"/>
      <c r="K12" s="591"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50kW to 4999 kW</v>
      </c>
      <c r="L14" s="204" t="str">
        <f>'1.  LRAMVA Summary'!G52</f>
        <v>Unmettered Scattered Load</v>
      </c>
      <c r="M14" s="204" t="str">
        <f>'1.  LRAMVA Summary'!H52</f>
        <v>Sentinel Lighiting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-0.91725698163750002</v>
      </c>
      <c r="J16" s="211">
        <f>SUM('1.  LRAMVA Summary'!E$54:E$55)*(MONTH($E16)-1)/12*$H16</f>
        <v>0.10351248244166668</v>
      </c>
      <c r="K16" s="211">
        <f>SUM('1.  LRAMVA Summary'!F$54:F$55)*(MONTH($E16)-1)/12*$H16</f>
        <v>-5.3746139999999998E-2</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-0.86749063919583336</v>
      </c>
    </row>
    <row r="17" spans="2:23" s="9" customFormat="1">
      <c r="B17" s="213" t="s">
        <v>46</v>
      </c>
      <c r="C17" s="213">
        <v>1.47E-2</v>
      </c>
      <c r="D17" s="206"/>
      <c r="E17" s="207">
        <v>40603</v>
      </c>
      <c r="F17" s="208">
        <v>2011</v>
      </c>
      <c r="G17" s="209" t="s">
        <v>65</v>
      </c>
      <c r="H17" s="210">
        <f>C$15/12</f>
        <v>1.225E-3</v>
      </c>
      <c r="I17" s="211">
        <f>SUM('1.  LRAMVA Summary'!D$54:D$55)*(MONTH($E17)-1)/12*$H17</f>
        <v>-1.834513963275</v>
      </c>
      <c r="J17" s="211">
        <f>SUM('1.  LRAMVA Summary'!E$54:E$55)*(MONTH($E17)-1)/12*$H17</f>
        <v>0.20702496488333336</v>
      </c>
      <c r="K17" s="211">
        <f>SUM('1.  LRAMVA Summary'!F$54:F$55)*(MONTH($E17)-1)/12*$H17</f>
        <v>-0.10749228</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-1.7349812783916667</v>
      </c>
    </row>
    <row r="18" spans="2:23" s="9" customFormat="1">
      <c r="B18" s="213" t="s">
        <v>47</v>
      </c>
      <c r="C18" s="213">
        <v>1.47E-2</v>
      </c>
      <c r="D18" s="206"/>
      <c r="E18" s="214">
        <v>40634</v>
      </c>
      <c r="F18" s="208">
        <v>2011</v>
      </c>
      <c r="G18" s="215" t="s">
        <v>66</v>
      </c>
      <c r="H18" s="210">
        <f>C$16/12</f>
        <v>1.225E-3</v>
      </c>
      <c r="I18" s="211">
        <f>SUM('1.  LRAMVA Summary'!D$54:D$55)*(MONTH($E18)-1)/12*$H18</f>
        <v>-2.7517709449125003</v>
      </c>
      <c r="J18" s="211">
        <f>SUM('1.  LRAMVA Summary'!E$54:E$55)*(MONTH($E18)-1)/12*$H18</f>
        <v>0.31053744732499999</v>
      </c>
      <c r="K18" s="211">
        <f>SUM('1.  LRAMVA Summary'!F$54:F$55)*(MONTH($E18)-1)/12*$H18</f>
        <v>-0.16123841999999999</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-2.6024719175875006</v>
      </c>
    </row>
    <row r="19" spans="2:23" s="9" customFormat="1">
      <c r="B19" s="213" t="s">
        <v>48</v>
      </c>
      <c r="C19" s="213">
        <v>1.47E-2</v>
      </c>
      <c r="D19" s="206"/>
      <c r="E19" s="214">
        <v>40664</v>
      </c>
      <c r="F19" s="208">
        <v>2011</v>
      </c>
      <c r="G19" s="215" t="s">
        <v>66</v>
      </c>
      <c r="H19" s="210">
        <f>C$16/12</f>
        <v>1.225E-3</v>
      </c>
      <c r="I19" s="211">
        <f>SUM('1.  LRAMVA Summary'!D$54:D$55)*(MONTH($E19)-1)/12*$H19</f>
        <v>-3.6690279265500001</v>
      </c>
      <c r="J19" s="211">
        <f>SUM('1.  LRAMVA Summary'!E$54:E$55)*(MONTH($E19)-1)/12*$H19</f>
        <v>0.41404992976666671</v>
      </c>
      <c r="K19" s="211">
        <f>SUM('1.  LRAMVA Summary'!F$54:F$55)*(MONTH($E19)-1)/12*$H19</f>
        <v>-0.21498455999999999</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-3.4699625567833334</v>
      </c>
    </row>
    <row r="20" spans="2:23" s="9" customFormat="1">
      <c r="B20" s="213" t="s">
        <v>49</v>
      </c>
      <c r="C20" s="213">
        <v>1.47E-2</v>
      </c>
      <c r="D20" s="206"/>
      <c r="E20" s="214">
        <v>40695</v>
      </c>
      <c r="F20" s="208">
        <v>2011</v>
      </c>
      <c r="G20" s="215" t="s">
        <v>66</v>
      </c>
      <c r="H20" s="210">
        <f>C$16/12</f>
        <v>1.225E-3</v>
      </c>
      <c r="I20" s="211">
        <f>SUM('1.  LRAMVA Summary'!D$54:D$55)*(MONTH($E20)-1)/12*$H20</f>
        <v>-4.5862849081875003</v>
      </c>
      <c r="J20" s="211">
        <f>SUM('1.  LRAMVA Summary'!E$54:E$55)*(MONTH($E20)-1)/12*$H20</f>
        <v>0.51756241220833343</v>
      </c>
      <c r="K20" s="211">
        <f>SUM('1.  LRAMVA Summary'!F$54:F$55)*(MONTH($E20)-1)/12*$H20</f>
        <v>-0.26873069999999999</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-4.3374531959791671</v>
      </c>
    </row>
    <row r="21" spans="2:23" s="9" customFormat="1">
      <c r="B21" s="213" t="s">
        <v>50</v>
      </c>
      <c r="C21" s="213">
        <v>1.47E-2</v>
      </c>
      <c r="D21" s="206"/>
      <c r="E21" s="214">
        <v>40725</v>
      </c>
      <c r="F21" s="208">
        <v>2011</v>
      </c>
      <c r="G21" s="215" t="s">
        <v>68</v>
      </c>
      <c r="H21" s="210">
        <f>C$17/12</f>
        <v>1.225E-3</v>
      </c>
      <c r="I21" s="211">
        <f>SUM('1.  LRAMVA Summary'!D$54:D$55)*(MONTH($E21)-1)/12*$H21</f>
        <v>-5.5035418898250006</v>
      </c>
      <c r="J21" s="211">
        <f>SUM('1.  LRAMVA Summary'!E$54:E$55)*(MONTH($E21)-1)/12*$H21</f>
        <v>0.62107489464999999</v>
      </c>
      <c r="K21" s="211">
        <f>SUM('1.  LRAMVA Summary'!F$54:F$55)*(MONTH($E21)-1)/12*$H21</f>
        <v>-0.32247683999999999</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-5.2049438351750013</v>
      </c>
    </row>
    <row r="22" spans="2:23" s="9" customFormat="1">
      <c r="B22" s="213" t="s">
        <v>51</v>
      </c>
      <c r="C22" s="213">
        <v>1.47E-2</v>
      </c>
      <c r="D22" s="206"/>
      <c r="E22" s="214">
        <v>40756</v>
      </c>
      <c r="F22" s="208">
        <v>2011</v>
      </c>
      <c r="G22" s="215" t="s">
        <v>68</v>
      </c>
      <c r="H22" s="210">
        <f>C$17/12</f>
        <v>1.225E-3</v>
      </c>
      <c r="I22" s="211">
        <f>SUM('1.  LRAMVA Summary'!D$54:D$55)*(MONTH($E22)-1)/12*$H22</f>
        <v>-6.4207988714624999</v>
      </c>
      <c r="J22" s="211">
        <f>SUM('1.  LRAMVA Summary'!E$54:E$55)*(MONTH($E22)-1)/12*$H22</f>
        <v>0.72458737709166665</v>
      </c>
      <c r="K22" s="211">
        <f>SUM('1.  LRAMVA Summary'!F$54:F$55)*(MONTH($E22)-1)/12*$H22</f>
        <v>-0.37622297999999993</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-6.0724344743708327</v>
      </c>
    </row>
    <row r="23" spans="2:23" s="9" customFormat="1">
      <c r="B23" s="213" t="s">
        <v>52</v>
      </c>
      <c r="C23" s="213">
        <v>1.47E-2</v>
      </c>
      <c r="D23" s="206"/>
      <c r="E23" s="214">
        <v>40787</v>
      </c>
      <c r="F23" s="208">
        <v>2011</v>
      </c>
      <c r="G23" s="215" t="s">
        <v>68</v>
      </c>
      <c r="H23" s="210">
        <f>C$17/12</f>
        <v>1.225E-3</v>
      </c>
      <c r="I23" s="211">
        <f>SUM('1.  LRAMVA Summary'!D$54:D$55)*(MONTH($E23)-1)/12*$H23</f>
        <v>-7.3380558531000002</v>
      </c>
      <c r="J23" s="211">
        <f>SUM('1.  LRAMVA Summary'!E$54:E$55)*(MONTH($E23)-1)/12*$H23</f>
        <v>0.82809985953333343</v>
      </c>
      <c r="K23" s="211">
        <f>SUM('1.  LRAMVA Summary'!F$54:F$55)*(MONTH($E23)-1)/12*$H23</f>
        <v>-0.42996911999999998</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-6.9399251135666669</v>
      </c>
    </row>
    <row r="24" spans="2:23" s="9" customFormat="1">
      <c r="B24" s="213" t="s">
        <v>53</v>
      </c>
      <c r="C24" s="213">
        <v>1.47E-2</v>
      </c>
      <c r="D24" s="206"/>
      <c r="E24" s="214">
        <v>40817</v>
      </c>
      <c r="F24" s="208">
        <v>2011</v>
      </c>
      <c r="G24" s="215" t="s">
        <v>69</v>
      </c>
      <c r="H24" s="210">
        <f>C$18/12</f>
        <v>1.225E-3</v>
      </c>
      <c r="I24" s="211">
        <f>SUM('1.  LRAMVA Summary'!D$54:D$55)*(MONTH($E24)-1)/12*$H24</f>
        <v>-8.2553128347375004</v>
      </c>
      <c r="J24" s="211">
        <f>SUM('1.  LRAMVA Summary'!E$54:E$55)*(MONTH($E24)-1)/12*$H24</f>
        <v>0.93161234197500009</v>
      </c>
      <c r="K24" s="211">
        <f>SUM('1.  LRAMVA Summary'!F$54:F$55)*(MONTH($E24)-1)/12*$H24</f>
        <v>-0.48371525999999998</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-7.807415752762501</v>
      </c>
    </row>
    <row r="25" spans="2:23" s="9" customFormat="1">
      <c r="B25" s="213" t="s">
        <v>54</v>
      </c>
      <c r="C25" s="213">
        <v>1.47E-2</v>
      </c>
      <c r="D25" s="206"/>
      <c r="E25" s="214">
        <v>40848</v>
      </c>
      <c r="F25" s="208">
        <v>2011</v>
      </c>
      <c r="G25" s="215" t="s">
        <v>69</v>
      </c>
      <c r="H25" s="210">
        <f>C$18/12</f>
        <v>1.225E-3</v>
      </c>
      <c r="I25" s="211">
        <f>SUM('1.  LRAMVA Summary'!D$54:D$55)*(MONTH($E25)-1)/12*$H25</f>
        <v>-9.1725698163750007</v>
      </c>
      <c r="J25" s="211">
        <f>SUM('1.  LRAMVA Summary'!E$54:E$55)*(MONTH($E25)-1)/12*$H25</f>
        <v>1.0351248244166669</v>
      </c>
      <c r="K25" s="211">
        <f>SUM('1.  LRAMVA Summary'!F$54:F$55)*(MONTH($E25)-1)/12*$H25</f>
        <v>-0.53746139999999998</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-8.6749063919583342</v>
      </c>
    </row>
    <row r="26" spans="2:23" s="9" customFormat="1">
      <c r="B26" s="213" t="s">
        <v>55</v>
      </c>
      <c r="C26" s="213">
        <v>1.47E-2</v>
      </c>
      <c r="D26" s="206"/>
      <c r="E26" s="214">
        <v>40878</v>
      </c>
      <c r="F26" s="208">
        <v>2011</v>
      </c>
      <c r="G26" s="215" t="s">
        <v>69</v>
      </c>
      <c r="H26" s="210">
        <f>C$18/12</f>
        <v>1.225E-3</v>
      </c>
      <c r="I26" s="211">
        <f>SUM('1.  LRAMVA Summary'!D$54:D$55)*(MONTH($E26)-1)/12*$H26</f>
        <v>-10.089826798012499</v>
      </c>
      <c r="J26" s="211">
        <f>SUM('1.  LRAMVA Summary'!E$54:E$55)*(MONTH($E26)-1)/12*$H26</f>
        <v>1.1386373068583335</v>
      </c>
      <c r="K26" s="211">
        <f>SUM('1.  LRAMVA Summary'!F$54:F$55)*(MONTH($E26)-1)/12*$H26</f>
        <v>-0.59120753999999998</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-9.5423970311541648</v>
      </c>
    </row>
    <row r="27" spans="2:23" s="9" customFormat="1" ht="15.75" thickBot="1">
      <c r="B27" s="213" t="s">
        <v>56</v>
      </c>
      <c r="C27" s="213">
        <v>1.47E-2</v>
      </c>
      <c r="D27" s="206"/>
      <c r="E27" s="216" t="s">
        <v>462</v>
      </c>
      <c r="F27" s="216"/>
      <c r="G27" s="217"/>
      <c r="H27" s="218"/>
      <c r="I27" s="219">
        <f>SUM(I15:I26)</f>
        <v>-60.538960788075002</v>
      </c>
      <c r="J27" s="219">
        <f t="shared" ref="J27:O27" si="1">SUM(J15:J26)</f>
        <v>6.8318238411500003</v>
      </c>
      <c r="K27" s="219">
        <f t="shared" si="1"/>
        <v>-3.5472452399999996</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-57.254382186925</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-60.538960788075002</v>
      </c>
      <c r="J29" s="228">
        <f t="shared" ref="J29:M29" si="3">J27+J28</f>
        <v>6.8318238411500003</v>
      </c>
      <c r="K29" s="228">
        <f t="shared" si="3"/>
        <v>-3.5472452399999996</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-57.254382186925</v>
      </c>
    </row>
    <row r="30" spans="2:23" s="9" customFormat="1">
      <c r="B30" s="213" t="s">
        <v>59</v>
      </c>
      <c r="C30" s="213">
        <v>1.47E-2</v>
      </c>
      <c r="D30" s="206"/>
      <c r="E30" s="214">
        <v>40909</v>
      </c>
      <c r="F30" s="214" t="s">
        <v>178</v>
      </c>
      <c r="G30" s="215" t="s">
        <v>65</v>
      </c>
      <c r="H30" s="229">
        <f>C$19/12</f>
        <v>1.225E-3</v>
      </c>
      <c r="I30" s="230">
        <f>(SUM('1.  LRAMVA Summary'!D$54:D$56)+SUM('1.  LRAMVA Summary'!D$57:D$58)*(MONTH($E30)-1)/12)*$H30</f>
        <v>-11.007083779650001</v>
      </c>
      <c r="J30" s="230">
        <f>(SUM('1.  LRAMVA Summary'!E$54:E$56)+SUM('1.  LRAMVA Summary'!E$57:E$58)*(MONTH($E30)-1)/12)*$H30</f>
        <v>1.2421497893</v>
      </c>
      <c r="K30" s="230">
        <f>(SUM('1.  LRAMVA Summary'!F$54:F$56)+SUM('1.  LRAMVA Summary'!F$57:F$58)*(MONTH($E30)-1)/12)*$H30</f>
        <v>-0.64495367999999997</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-10.409887670350003</v>
      </c>
    </row>
    <row r="31" spans="2:23" s="9" customFormat="1">
      <c r="B31" s="213" t="s">
        <v>60</v>
      </c>
      <c r="C31" s="213">
        <v>1.47E-2</v>
      </c>
      <c r="D31" s="206"/>
      <c r="E31" s="214">
        <v>40940</v>
      </c>
      <c r="F31" s="214" t="s">
        <v>178</v>
      </c>
      <c r="G31" s="215" t="s">
        <v>65</v>
      </c>
      <c r="H31" s="229">
        <f>C$19/12</f>
        <v>1.225E-3</v>
      </c>
      <c r="I31" s="230">
        <f>(SUM('1.  LRAMVA Summary'!D$54:D$56)+SUM('1.  LRAMVA Summary'!D$57:D$58)*(MONTH($E31)-1)/12)*$H31</f>
        <v>-12.2027731434</v>
      </c>
      <c r="J31" s="230">
        <f>(SUM('1.  LRAMVA Summary'!E$54:E$56)+SUM('1.  LRAMVA Summary'!E$57:E$58)*(MONTH($E31)-1)/12)*$H31</f>
        <v>1.7967513055712501</v>
      </c>
      <c r="K31" s="230">
        <f>(SUM('1.  LRAMVA Summary'!F$54:F$56)+SUM('1.  LRAMVA Summary'!F$57:F$58)*(MONTH($E31)-1)/12)*$H31</f>
        <v>-0.47917923976649995</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-10.88520107759525</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-13.398462507150001</v>
      </c>
      <c r="J32" s="230">
        <f>(SUM('1.  LRAMVA Summary'!E$54:E$56)+SUM('1.  LRAMVA Summary'!E$57:E$58)*(MONTH($E32)-1)/12)*$H32</f>
        <v>2.3513528218424997</v>
      </c>
      <c r="K32" s="230">
        <f>(SUM('1.  LRAMVA Summary'!F$54:F$56)+SUM('1.  LRAMVA Summary'!F$57:F$58)*(MONTH($E32)-1)/12)*$H32</f>
        <v>-0.31340479953299993</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-11.3605144848405</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-14.594151870899999</v>
      </c>
      <c r="J33" s="230">
        <f>(SUM('1.  LRAMVA Summary'!E$54:E$56)+SUM('1.  LRAMVA Summary'!E$57:E$58)*(MONTH($E33)-1)/12)*$H33</f>
        <v>2.9059543381137498</v>
      </c>
      <c r="K33" s="230">
        <f>(SUM('1.  LRAMVA Summary'!F$54:F$56)+SUM('1.  LRAMVA Summary'!F$57:F$58)*(MONTH($E33)-1)/12)*$H33</f>
        <v>-0.14763035929949991</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-11.835827892085749</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-15.78984123465</v>
      </c>
      <c r="J34" s="230">
        <f>(SUM('1.  LRAMVA Summary'!E$54:E$56)+SUM('1.  LRAMVA Summary'!E$57:E$58)*(MONTH($E34)-1)/12)*$H34</f>
        <v>3.4605558543849999</v>
      </c>
      <c r="K34" s="230">
        <f>(SUM('1.  LRAMVA Summary'!F$54:F$56)+SUM('1.  LRAMVA Summary'!F$57:F$58)*(MONTH($E34)-1)/12)*$H34</f>
        <v>1.8144080934000113E-2</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-12.311141299331</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-16.9855305984</v>
      </c>
      <c r="J35" s="230">
        <f>(SUM('1.  LRAMVA Summary'!E$54:E$56)+SUM('1.  LRAMVA Summary'!E$57:E$58)*(MONTH($E35)-1)/12)*$H35</f>
        <v>4.0151573706562491</v>
      </c>
      <c r="K35" s="230">
        <f>(SUM('1.  LRAMVA Summary'!F$54:F$56)+SUM('1.  LRAMVA Summary'!F$57:F$58)*(MONTH($E35)-1)/12)*$H35</f>
        <v>0.18391852116750013</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-12.786454706576251</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-18.181219962150003</v>
      </c>
      <c r="J36" s="230">
        <f>(SUM('1.  LRAMVA Summary'!E$54:E$56)+SUM('1.  LRAMVA Summary'!E$57:E$58)*(MONTH($E36)-1)/12)*$H36</f>
        <v>4.5697588869274997</v>
      </c>
      <c r="K36" s="230">
        <f>(SUM('1.  LRAMVA Summary'!F$54:F$56)+SUM('1.  LRAMVA Summary'!F$57:F$58)*(MONTH($E36)-1)/12)*$H36</f>
        <v>0.34969296140100015</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-13.261768113821503</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-19.376909325899998</v>
      </c>
      <c r="J37" s="230">
        <f>(SUM('1.  LRAMVA Summary'!E$54:E$56)+SUM('1.  LRAMVA Summary'!E$57:E$58)*(MONTH($E37)-1)/12)*$H37</f>
        <v>5.1243604031987502</v>
      </c>
      <c r="K37" s="230">
        <f>(SUM('1.  LRAMVA Summary'!F$54:F$56)+SUM('1.  LRAMVA Summary'!F$57:F$58)*(MONTH($E37)-1)/12)*$H37</f>
        <v>0.51546740163450022</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-13.737081521066747</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-20.57259868965</v>
      </c>
      <c r="J38" s="230">
        <f>(SUM('1.  LRAMVA Summary'!E$54:E$56)+SUM('1.  LRAMVA Summary'!E$57:E$58)*(MONTH($E38)-1)/12)*$H38</f>
        <v>5.6789619194699998</v>
      </c>
      <c r="K38" s="230">
        <f>(SUM('1.  LRAMVA Summary'!F$54:F$56)+SUM('1.  LRAMVA Summary'!F$57:F$58)*(MONTH($E38)-1)/12)*$H38</f>
        <v>0.68124184186800019</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-14.212394928312001</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-21.768288053400003</v>
      </c>
      <c r="J39" s="230">
        <f>(SUM('1.  LRAMVA Summary'!E$54:E$56)+SUM('1.  LRAMVA Summary'!E$57:E$58)*(MONTH($E39)-1)/12)*$H39</f>
        <v>6.2335634357412495</v>
      </c>
      <c r="K39" s="230">
        <f>(SUM('1.  LRAMVA Summary'!F$54:F$56)+SUM('1.  LRAMVA Summary'!F$57:F$58)*(MONTH($E39)-1)/12)*$H39</f>
        <v>0.84701628210150026</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-14.687708335557254</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-22.963977417150002</v>
      </c>
      <c r="J40" s="230">
        <f>(SUM('1.  LRAMVA Summary'!E$54:E$56)+SUM('1.  LRAMVA Summary'!E$57:E$58)*(MONTH($E40)-1)/12)*$H40</f>
        <v>6.7881649520124991</v>
      </c>
      <c r="K40" s="230">
        <f>(SUM('1.  LRAMVA Summary'!F$54:F$56)+SUM('1.  LRAMVA Summary'!F$57:F$58)*(MONTH($E40)-1)/12)*$H40</f>
        <v>1.0127907223350003</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-15.163021742802504</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-24.159666780899997</v>
      </c>
      <c r="J41" s="230">
        <f>(SUM('1.  LRAMVA Summary'!E$54:E$56)+SUM('1.  LRAMVA Summary'!E$57:E$58)*(MONTH($E41)-1)/12)*$H41</f>
        <v>7.3427664682837497</v>
      </c>
      <c r="K41" s="230">
        <f>(SUM('1.  LRAMVA Summary'!F$54:F$56)+SUM('1.  LRAMVA Summary'!F$57:F$58)*(MONTH($E41)-1)/12)*$H41</f>
        <v>1.1785651625685005</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-15.638335150047748</v>
      </c>
    </row>
    <row r="42" spans="2:23" s="9" customFormat="1" ht="15.75" thickBot="1">
      <c r="B42" s="213" t="s">
        <v>80</v>
      </c>
      <c r="C42" s="729">
        <v>1.4999999999999999E-2</v>
      </c>
      <c r="D42" s="206"/>
      <c r="E42" s="216" t="s">
        <v>463</v>
      </c>
      <c r="F42" s="216"/>
      <c r="G42" s="217"/>
      <c r="H42" s="234"/>
      <c r="I42" s="219">
        <f>SUM(I29:I41)</f>
        <v>-271.539464151375</v>
      </c>
      <c r="J42" s="219">
        <f t="shared" ref="J42:O42" si="6">SUM(J29:J41)</f>
        <v>58.341321386652496</v>
      </c>
      <c r="K42" s="219">
        <f t="shared" si="6"/>
        <v>-0.34557634458899722</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-213.5437191093115</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427</v>
      </c>
      <c r="F44" s="225"/>
      <c r="G44" s="226"/>
      <c r="H44" s="227"/>
      <c r="I44" s="228">
        <f t="shared" ref="I44:O44" si="8">I42+I43</f>
        <v>-271.539464151375</v>
      </c>
      <c r="J44" s="228">
        <f t="shared" si="8"/>
        <v>58.341321386652496</v>
      </c>
      <c r="K44" s="228">
        <f t="shared" si="8"/>
        <v>-0.34557634458899722</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-213.5437191093115</v>
      </c>
    </row>
    <row r="45" spans="2:23" s="9" customFormat="1">
      <c r="B45" s="213" t="s">
        <v>83</v>
      </c>
      <c r="C45" s="729">
        <v>1.89E-2</v>
      </c>
      <c r="D45" s="206"/>
      <c r="E45" s="214">
        <v>41275</v>
      </c>
      <c r="F45" s="214" t="s">
        <v>179</v>
      </c>
      <c r="G45" s="215" t="s">
        <v>65</v>
      </c>
      <c r="H45" s="232">
        <f>C$23/12</f>
        <v>1.225E-3</v>
      </c>
      <c r="I45" s="230">
        <f>(SUM('1.  LRAMVA Summary'!D$54:D$59)+SUM('1.  LRAMVA Summary'!D$60:D$61)*(MONTH($E45)-1)/12)*$H45</f>
        <v>-25.355356144649999</v>
      </c>
      <c r="J45" s="230">
        <f>(SUM('1.  LRAMVA Summary'!E$54:E$59)+SUM('1.  LRAMVA Summary'!E$60:E$61)*(MONTH($E45)-1)/12)*$H45</f>
        <v>7.8973679845549993</v>
      </c>
      <c r="K45" s="230">
        <f>(SUM('1.  LRAMVA Summary'!F$54:F$59)+SUM('1.  LRAMVA Summary'!F$60:F$61)*(MONTH($E45)-1)/12)*$H45</f>
        <v>1.3443396028020003</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-16.113648557292997</v>
      </c>
    </row>
    <row r="46" spans="2:23" s="9" customFormat="1">
      <c r="B46" s="213" t="s">
        <v>84</v>
      </c>
      <c r="C46" s="233"/>
      <c r="D46" s="206"/>
      <c r="E46" s="214">
        <v>41306</v>
      </c>
      <c r="F46" s="214" t="s">
        <v>179</v>
      </c>
      <c r="G46" s="215" t="s">
        <v>65</v>
      </c>
      <c r="H46" s="229">
        <f>C$23/12</f>
        <v>1.225E-3</v>
      </c>
      <c r="I46" s="230">
        <f>(SUM('1.  LRAMVA Summary'!D$54:D$59)+SUM('1.  LRAMVA Summary'!D$60:D$61)*(MONTH($E46)-1)/12)*$H46</f>
        <v>-26.519821283316666</v>
      </c>
      <c r="J46" s="230">
        <f>(SUM('1.  LRAMVA Summary'!E$54:E$59)+SUM('1.  LRAMVA Summary'!E$60:E$61)*(MONTH($E46)-1)/12)*$H46</f>
        <v>8.5637063563362492</v>
      </c>
      <c r="K46" s="230">
        <f>(SUM('1.  LRAMVA Summary'!F$54:F$59)+SUM('1.  LRAMVA Summary'!F$60:F$61)*(MONTH($E46)-1)/12)*$H46</f>
        <v>1.5147632431088502</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-16.44135168387157</v>
      </c>
    </row>
    <row r="47" spans="2:23" s="9" customFormat="1">
      <c r="B47" s="213" t="s">
        <v>85</v>
      </c>
      <c r="C47" s="233"/>
      <c r="D47" s="206"/>
      <c r="E47" s="214">
        <v>41334</v>
      </c>
      <c r="F47" s="214" t="s">
        <v>179</v>
      </c>
      <c r="G47" s="215" t="s">
        <v>65</v>
      </c>
      <c r="H47" s="229">
        <f>C$23/12</f>
        <v>1.225E-3</v>
      </c>
      <c r="I47" s="230">
        <f>(SUM('1.  LRAMVA Summary'!D$54:D$59)+SUM('1.  LRAMVA Summary'!D$60:D$61)*(MONTH($E47)-1)/12)*$H47</f>
        <v>-27.68428642198333</v>
      </c>
      <c r="J47" s="230">
        <f>(SUM('1.  LRAMVA Summary'!E$54:E$59)+SUM('1.  LRAMVA Summary'!E$60:E$61)*(MONTH($E47)-1)/12)*$H47</f>
        <v>9.2300447281174982</v>
      </c>
      <c r="K47" s="230">
        <f>(SUM('1.  LRAMVA Summary'!F$54:F$59)+SUM('1.  LRAMVA Summary'!F$60:F$61)*(MONTH($E47)-1)/12)*$H47</f>
        <v>1.6851868834157002</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-16.769054810450132</v>
      </c>
    </row>
    <row r="48" spans="2:23" s="9" customFormat="1">
      <c r="B48" s="213" t="s">
        <v>86</v>
      </c>
      <c r="C48" s="233"/>
      <c r="D48" s="206"/>
      <c r="E48" s="214">
        <v>41365</v>
      </c>
      <c r="F48" s="214" t="s">
        <v>179</v>
      </c>
      <c r="G48" s="215" t="s">
        <v>66</v>
      </c>
      <c r="H48" s="232">
        <f>C$24/12</f>
        <v>1.225E-3</v>
      </c>
      <c r="I48" s="230">
        <f>(SUM('1.  LRAMVA Summary'!D$54:D$59)+SUM('1.  LRAMVA Summary'!D$60:D$61)*(MONTH($E48)-1)/12)*$H48</f>
        <v>-28.848751560649998</v>
      </c>
      <c r="J48" s="230">
        <f>(SUM('1.  LRAMVA Summary'!E$54:E$59)+SUM('1.  LRAMVA Summary'!E$60:E$61)*(MONTH($E48)-1)/12)*$H48</f>
        <v>9.896383099898749</v>
      </c>
      <c r="K48" s="230">
        <f>(SUM('1.  LRAMVA Summary'!F$54:F$59)+SUM('1.  LRAMVA Summary'!F$60:F$61)*(MONTH($E48)-1)/12)*$H48</f>
        <v>1.8556105237225504</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-17.096757937028698</v>
      </c>
    </row>
    <row r="49" spans="1:23" s="9" customFormat="1">
      <c r="B49" s="213" t="s">
        <v>87</v>
      </c>
      <c r="C49" s="233"/>
      <c r="D49" s="206"/>
      <c r="E49" s="214">
        <v>41395</v>
      </c>
      <c r="F49" s="214" t="s">
        <v>179</v>
      </c>
      <c r="G49" s="215" t="s">
        <v>66</v>
      </c>
      <c r="H49" s="229">
        <f>C$24/12</f>
        <v>1.225E-3</v>
      </c>
      <c r="I49" s="230">
        <f>(SUM('1.  LRAMVA Summary'!D$54:D$59)+SUM('1.  LRAMVA Summary'!D$60:D$61)*(MONTH($E49)-1)/12)*$H49</f>
        <v>-30.013216699316661</v>
      </c>
      <c r="J49" s="230">
        <f>(SUM('1.  LRAMVA Summary'!E$54:E$59)+SUM('1.  LRAMVA Summary'!E$60:E$61)*(MONTH($E49)-1)/12)*$H49</f>
        <v>10.562721471679998</v>
      </c>
      <c r="K49" s="230">
        <f>(SUM('1.  LRAMVA Summary'!F$54:F$59)+SUM('1.  LRAMVA Summary'!F$60:F$61)*(MONTH($E49)-1)/12)*$H49</f>
        <v>2.0260341640294004</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-17.424461063607264</v>
      </c>
    </row>
    <row r="50" spans="1:23" s="9" customFormat="1">
      <c r="B50" s="213" t="s">
        <v>88</v>
      </c>
      <c r="C50" s="233"/>
      <c r="D50" s="206"/>
      <c r="E50" s="214">
        <v>41426</v>
      </c>
      <c r="F50" s="214" t="s">
        <v>179</v>
      </c>
      <c r="G50" s="215" t="s">
        <v>66</v>
      </c>
      <c r="H50" s="229">
        <f>C$24/12</f>
        <v>1.225E-3</v>
      </c>
      <c r="I50" s="230">
        <f>(SUM('1.  LRAMVA Summary'!D$54:D$59)+SUM('1.  LRAMVA Summary'!D$60:D$61)*(MONTH($E50)-1)/12)*$H50</f>
        <v>-31.177681837983332</v>
      </c>
      <c r="J50" s="230">
        <f>(SUM('1.  LRAMVA Summary'!E$54:E$59)+SUM('1.  LRAMVA Summary'!E$60:E$61)*(MONTH($E50)-1)/12)*$H50</f>
        <v>11.229059843461249</v>
      </c>
      <c r="K50" s="230">
        <f>(SUM('1.  LRAMVA Summary'!F$54:F$59)+SUM('1.  LRAMVA Summary'!F$60:F$61)*(MONTH($E50)-1)/12)*$H50</f>
        <v>2.1964578043362502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-17.752164190185834</v>
      </c>
    </row>
    <row r="51" spans="1:23" s="9" customFormat="1">
      <c r="B51" s="213" t="s">
        <v>89</v>
      </c>
      <c r="C51" s="233"/>
      <c r="D51" s="206"/>
      <c r="E51" s="214">
        <v>41456</v>
      </c>
      <c r="F51" s="214" t="s">
        <v>179</v>
      </c>
      <c r="G51" s="215" t="s">
        <v>68</v>
      </c>
      <c r="H51" s="232">
        <f>C$25/12</f>
        <v>1.225E-3</v>
      </c>
      <c r="I51" s="230">
        <f>(SUM('1.  LRAMVA Summary'!D$54:D$59)+SUM('1.  LRAMVA Summary'!D$60:D$61)*(MONTH($E51)-1)/12)*$H51</f>
        <v>-32.34214697665</v>
      </c>
      <c r="J51" s="230">
        <f>(SUM('1.  LRAMVA Summary'!E$54:E$59)+SUM('1.  LRAMVA Summary'!E$60:E$61)*(MONTH($E51)-1)/12)*$H51</f>
        <v>11.8953982152425</v>
      </c>
      <c r="K51" s="230">
        <f>(SUM('1.  LRAMVA Summary'!F$54:F$59)+SUM('1.  LRAMVA Summary'!F$60:F$61)*(MONTH($E51)-1)/12)*$H51</f>
        <v>2.3668814446431008</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-18.079867316764396</v>
      </c>
    </row>
    <row r="52" spans="1:23" s="9" customFormat="1">
      <c r="B52" s="213" t="s">
        <v>91</v>
      </c>
      <c r="C52" s="233"/>
      <c r="D52" s="206"/>
      <c r="E52" s="214">
        <v>41487</v>
      </c>
      <c r="F52" s="214" t="s">
        <v>179</v>
      </c>
      <c r="G52" s="215" t="s">
        <v>68</v>
      </c>
      <c r="H52" s="229">
        <f>C$25/12</f>
        <v>1.225E-3</v>
      </c>
      <c r="I52" s="230">
        <f>(SUM('1.  LRAMVA Summary'!D$54:D$59)+SUM('1.  LRAMVA Summary'!D$60:D$61)*(MONTH($E52)-1)/12)*$H52</f>
        <v>-33.506612115316663</v>
      </c>
      <c r="J52" s="230">
        <f>(SUM('1.  LRAMVA Summary'!E$54:E$59)+SUM('1.  LRAMVA Summary'!E$60:E$61)*(MONTH($E52)-1)/12)*$H52</f>
        <v>12.56173658702375</v>
      </c>
      <c r="K52" s="230">
        <f>(SUM('1.  LRAMVA Summary'!F$54:F$59)+SUM('1.  LRAMVA Summary'!F$60:F$61)*(MONTH($E52)-1)/12)*$H52</f>
        <v>2.5373050849499506</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-18.407570443342962</v>
      </c>
    </row>
    <row r="53" spans="1:23" s="9" customFormat="1">
      <c r="B53" s="213" t="s">
        <v>90</v>
      </c>
      <c r="C53" s="233"/>
      <c r="D53" s="206"/>
      <c r="E53" s="214">
        <v>41518</v>
      </c>
      <c r="F53" s="214" t="s">
        <v>179</v>
      </c>
      <c r="G53" s="215" t="s">
        <v>68</v>
      </c>
      <c r="H53" s="229">
        <f>C$25/12</f>
        <v>1.225E-3</v>
      </c>
      <c r="I53" s="230">
        <f>(SUM('1.  LRAMVA Summary'!D$54:D$59)+SUM('1.  LRAMVA Summary'!D$60:D$61)*(MONTH($E53)-1)/12)*$H53</f>
        <v>-34.671077253983334</v>
      </c>
      <c r="J53" s="230">
        <f>(SUM('1.  LRAMVA Summary'!E$54:E$59)+SUM('1.  LRAMVA Summary'!E$60:E$61)*(MONTH($E53)-1)/12)*$H53</f>
        <v>13.228074958804998</v>
      </c>
      <c r="K53" s="230">
        <f>(SUM('1.  LRAMVA Summary'!F$54:F$59)+SUM('1.  LRAMVA Summary'!F$60:F$61)*(MONTH($E53)-1)/12)*$H53</f>
        <v>2.7077287252568003</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-18.735273569921539</v>
      </c>
    </row>
    <row r="54" spans="1:23" s="9" customFormat="1">
      <c r="B54" s="235" t="s">
        <v>92</v>
      </c>
      <c r="C54" s="236"/>
      <c r="D54" s="206"/>
      <c r="E54" s="214">
        <v>41548</v>
      </c>
      <c r="F54" s="214" t="s">
        <v>179</v>
      </c>
      <c r="G54" s="215" t="s">
        <v>69</v>
      </c>
      <c r="H54" s="232">
        <f>C$26/12</f>
        <v>1.225E-3</v>
      </c>
      <c r="I54" s="230">
        <f>(SUM('1.  LRAMVA Summary'!D$54:D$59)+SUM('1.  LRAMVA Summary'!D$60:D$61)*(MONTH($E54)-1)/12)*$H54</f>
        <v>-35.835542392649998</v>
      </c>
      <c r="J54" s="230">
        <f>(SUM('1.  LRAMVA Summary'!E$54:E$59)+SUM('1.  LRAMVA Summary'!E$60:E$61)*(MONTH($E54)-1)/12)*$H54</f>
        <v>13.894413330586248</v>
      </c>
      <c r="K54" s="230">
        <f>(SUM('1.  LRAMVA Summary'!F$54:F$59)+SUM('1.  LRAMVA Summary'!F$60:F$61)*(MONTH($E54)-1)/12)*$H54</f>
        <v>2.8781523655636501</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-19.062976696500101</v>
      </c>
    </row>
    <row r="55" spans="1:23" s="9" customFormat="1">
      <c r="D55" s="206"/>
      <c r="E55" s="214">
        <v>41579</v>
      </c>
      <c r="F55" s="214" t="s">
        <v>179</v>
      </c>
      <c r="G55" s="215" t="s">
        <v>69</v>
      </c>
      <c r="H55" s="229">
        <f>C$26/12</f>
        <v>1.225E-3</v>
      </c>
      <c r="I55" s="230">
        <f>(SUM('1.  LRAMVA Summary'!D$54:D$59)+SUM('1.  LRAMVA Summary'!D$60:D$61)*(MONTH($E55)-1)/12)*$H55</f>
        <v>-37.000007531316669</v>
      </c>
      <c r="J55" s="230">
        <f>(SUM('1.  LRAMVA Summary'!E$54:E$59)+SUM('1.  LRAMVA Summary'!E$60:E$61)*(MONTH($E55)-1)/12)*$H55</f>
        <v>14.560751702367497</v>
      </c>
      <c r="K55" s="230">
        <f>(SUM('1.  LRAMVA Summary'!F$54:F$59)+SUM('1.  LRAMVA Summary'!F$60:F$61)*(MONTH($E55)-1)/12)*$H55</f>
        <v>3.0485760058705003</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-19.390679823078671</v>
      </c>
    </row>
    <row r="56" spans="1:23" s="9" customFormat="1" ht="15.75">
      <c r="B56" s="183" t="s">
        <v>182</v>
      </c>
      <c r="C56" s="27"/>
      <c r="D56" s="206"/>
      <c r="E56" s="214">
        <v>41609</v>
      </c>
      <c r="F56" s="214" t="s">
        <v>179</v>
      </c>
      <c r="G56" s="215" t="s">
        <v>69</v>
      </c>
      <c r="H56" s="229">
        <f>C$26/12</f>
        <v>1.225E-3</v>
      </c>
      <c r="I56" s="230">
        <f>(SUM('1.  LRAMVA Summary'!D$54:D$59)+SUM('1.  LRAMVA Summary'!D$60:D$61)*(MONTH($E56)-1)/12)*$H56</f>
        <v>-38.164472669983333</v>
      </c>
      <c r="J56" s="230">
        <f>(SUM('1.  LRAMVA Summary'!E$54:E$59)+SUM('1.  LRAMVA Summary'!E$60:E$61)*(MONTH($E56)-1)/12)*$H56</f>
        <v>15.227090074148748</v>
      </c>
      <c r="K56" s="230">
        <f>(SUM('1.  LRAMVA Summary'!F$54:F$59)+SUM('1.  LRAMVA Summary'!F$60:F$61)*(MONTH($E56)-1)/12)*$H56</f>
        <v>3.21899964617735</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-19.718382949657233</v>
      </c>
    </row>
    <row r="57" spans="1:23" s="9" customFormat="1" ht="15.75" thickBot="1">
      <c r="B57" s="27"/>
      <c r="C57" s="27"/>
      <c r="D57" s="206"/>
      <c r="E57" s="216" t="s">
        <v>464</v>
      </c>
      <c r="F57" s="216"/>
      <c r="G57" s="217"/>
      <c r="H57" s="218"/>
      <c r="I57" s="219">
        <f>SUM(I44:I56)</f>
        <v>-652.65843703917506</v>
      </c>
      <c r="J57" s="219">
        <f t="shared" ref="J57:O57" si="11">SUM(J44:J56)</f>
        <v>197.08806973887496</v>
      </c>
      <c r="K57" s="219">
        <f t="shared" si="11"/>
        <v>27.034459149287109</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-428.53590815101302</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-652.65843703917506</v>
      </c>
      <c r="J59" s="228">
        <f t="shared" si="13"/>
        <v>197.08806973887496</v>
      </c>
      <c r="K59" s="228">
        <f t="shared" si="13"/>
        <v>27.034459149287109</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-428.53590815101302</v>
      </c>
    </row>
    <row r="60" spans="1:23" s="9" customFormat="1">
      <c r="D60" s="206"/>
      <c r="E60" s="214">
        <v>41640</v>
      </c>
      <c r="F60" s="214" t="s">
        <v>180</v>
      </c>
      <c r="G60" s="215" t="s">
        <v>65</v>
      </c>
      <c r="H60" s="232">
        <f>C$27/12</f>
        <v>1.225E-3</v>
      </c>
      <c r="I60" s="230">
        <f>(SUM('1.  LRAMVA Summary'!D$54:D$62)+SUM('1.  LRAMVA Summary'!D$63:D$64)*(MONTH($E60)-1)/12)*$H60</f>
        <v>-39.328937808649997</v>
      </c>
      <c r="J60" s="230">
        <f>(SUM('1.  LRAMVA Summary'!E$54:E$62)+SUM('1.  LRAMVA Summary'!E$63:E$64)*(MONTH($E60)-1)/12)*$H60</f>
        <v>15.893428445929999</v>
      </c>
      <c r="K60" s="230">
        <f>(SUM('1.  LRAMVA Summary'!F$54:F$62)+SUM('1.  LRAMVA Summary'!F$63:F$64)*(MONTH($E60)-1)/12)*$H60</f>
        <v>3.3894232864842007</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-20.046086076235795</v>
      </c>
    </row>
    <row r="61" spans="1:23" s="9" customFormat="1">
      <c r="A61" s="28"/>
      <c r="E61" s="214">
        <v>41671</v>
      </c>
      <c r="F61" s="214" t="s">
        <v>180</v>
      </c>
      <c r="G61" s="215" t="s">
        <v>65</v>
      </c>
      <c r="H61" s="229">
        <f>C$27/12</f>
        <v>1.225E-3</v>
      </c>
      <c r="I61" s="230">
        <f>(SUM('1.  LRAMVA Summary'!D$54:D$62)+SUM('1.  LRAMVA Summary'!D$63:D$64)*(MONTH($E61)-1)/12)*$H61</f>
        <v>-40.433152798849996</v>
      </c>
      <c r="J61" s="230">
        <f>(SUM('1.  LRAMVA Summary'!E$54:E$62)+SUM('1.  LRAMVA Summary'!E$63:E$64)*(MONTH($E61)-1)/12)*$H61</f>
        <v>16.540873347271873</v>
      </c>
      <c r="K61" s="230">
        <f>(SUM('1.  LRAMVA Summary'!F$54:F$62)+SUM('1.  LRAMVA Summary'!F$63:F$64)*(MONTH($E61)-1)/12)*$H61</f>
        <v>3.7090786457446168</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-20.183200805833508</v>
      </c>
    </row>
    <row r="62" spans="1:23" s="9" customFormat="1">
      <c r="B62" s="66"/>
      <c r="E62" s="214">
        <v>41699</v>
      </c>
      <c r="F62" s="214" t="s">
        <v>180</v>
      </c>
      <c r="G62" s="215" t="s">
        <v>65</v>
      </c>
      <c r="H62" s="229">
        <f>C$27/12</f>
        <v>1.225E-3</v>
      </c>
      <c r="I62" s="230">
        <f>(SUM('1.  LRAMVA Summary'!D$54:D$62)+SUM('1.  LRAMVA Summary'!D$63:D$64)*(MONTH($E62)-1)/12)*$H62</f>
        <v>-41.537367789049995</v>
      </c>
      <c r="J62" s="230">
        <f>(SUM('1.  LRAMVA Summary'!E$54:E$62)+SUM('1.  LRAMVA Summary'!E$63:E$64)*(MONTH($E62)-1)/12)*$H62</f>
        <v>17.188318248613751</v>
      </c>
      <c r="K62" s="230">
        <f>(SUM('1.  LRAMVA Summary'!F$54:F$62)+SUM('1.  LRAMVA Summary'!F$63:F$64)*(MONTH($E62)-1)/12)*$H62</f>
        <v>4.0287340050050338</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-20.320315535431209</v>
      </c>
    </row>
    <row r="63" spans="1:23" s="9" customFormat="1">
      <c r="B63" s="66"/>
      <c r="E63" s="214">
        <v>41730</v>
      </c>
      <c r="F63" s="214" t="s">
        <v>180</v>
      </c>
      <c r="G63" s="215" t="s">
        <v>66</v>
      </c>
      <c r="H63" s="232">
        <f>C$28/12</f>
        <v>1.225E-3</v>
      </c>
      <c r="I63" s="230">
        <f>(SUM('1.  LRAMVA Summary'!D$54:D$62)+SUM('1.  LRAMVA Summary'!D$63:D$64)*(MONTH($E63)-1)/12)*$H63</f>
        <v>-42.641582779249994</v>
      </c>
      <c r="J63" s="230">
        <f>(SUM('1.  LRAMVA Summary'!E$54:E$62)+SUM('1.  LRAMVA Summary'!E$63:E$64)*(MONTH($E63)-1)/12)*$H63</f>
        <v>17.835763149955625</v>
      </c>
      <c r="K63" s="230">
        <f>(SUM('1.  LRAMVA Summary'!F$54:F$62)+SUM('1.  LRAMVA Summary'!F$63:F$64)*(MONTH($E63)-1)/12)*$H63</f>
        <v>4.3483893642654508</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-20.457430265028918</v>
      </c>
    </row>
    <row r="64" spans="1:23" s="9" customFormat="1">
      <c r="B64" s="66"/>
      <c r="E64" s="214">
        <v>41760</v>
      </c>
      <c r="F64" s="214" t="s">
        <v>180</v>
      </c>
      <c r="G64" s="215" t="s">
        <v>66</v>
      </c>
      <c r="H64" s="229">
        <f>C$28/12</f>
        <v>1.225E-3</v>
      </c>
      <c r="I64" s="230">
        <f>(SUM('1.  LRAMVA Summary'!D$54:D$62)+SUM('1.  LRAMVA Summary'!D$63:D$64)*(MONTH($E64)-1)/12)*$H64</f>
        <v>-43.745797769449993</v>
      </c>
      <c r="J64" s="230">
        <f>(SUM('1.  LRAMVA Summary'!E$54:E$62)+SUM('1.  LRAMVA Summary'!E$63:E$64)*(MONTH($E64)-1)/12)*$H64</f>
        <v>18.483208051297499</v>
      </c>
      <c r="K64" s="230">
        <f>(SUM('1.  LRAMVA Summary'!F$54:F$62)+SUM('1.  LRAMVA Summary'!F$63:F$64)*(MONTH($E64)-1)/12)*$H64</f>
        <v>4.6680447235258669</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-20.594544994626627</v>
      </c>
    </row>
    <row r="65" spans="2:23" s="9" customFormat="1">
      <c r="B65" s="66"/>
      <c r="E65" s="214">
        <v>41791</v>
      </c>
      <c r="F65" s="214" t="s">
        <v>180</v>
      </c>
      <c r="G65" s="215" t="s">
        <v>66</v>
      </c>
      <c r="H65" s="229">
        <f>C$28/12</f>
        <v>1.225E-3</v>
      </c>
      <c r="I65" s="230">
        <f>(SUM('1.  LRAMVA Summary'!D$54:D$62)+SUM('1.  LRAMVA Summary'!D$63:D$64)*(MONTH($E65)-1)/12)*$H65</f>
        <v>-44.850012759649992</v>
      </c>
      <c r="J65" s="230">
        <f>(SUM('1.  LRAMVA Summary'!E$54:E$62)+SUM('1.  LRAMVA Summary'!E$63:E$64)*(MONTH($E65)-1)/12)*$H65</f>
        <v>19.130652952639373</v>
      </c>
      <c r="K65" s="230">
        <f>(SUM('1.  LRAMVA Summary'!F$54:F$62)+SUM('1.  LRAMVA Summary'!F$63:F$64)*(MONTH($E65)-1)/12)*$H65</f>
        <v>4.987700082786283</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-20.731659724224336</v>
      </c>
    </row>
    <row r="66" spans="2:23" s="9" customFormat="1">
      <c r="B66" s="66"/>
      <c r="E66" s="214">
        <v>41821</v>
      </c>
      <c r="F66" s="214" t="s">
        <v>180</v>
      </c>
      <c r="G66" s="215" t="s">
        <v>68</v>
      </c>
      <c r="H66" s="232">
        <f>C$29/12</f>
        <v>1.225E-3</v>
      </c>
      <c r="I66" s="230">
        <f>(SUM('1.  LRAMVA Summary'!D$54:D$62)+SUM('1.  LRAMVA Summary'!D$63:D$64)*(MONTH($E66)-1)/12)*$H66</f>
        <v>-45.954227749849998</v>
      </c>
      <c r="J66" s="230">
        <f>(SUM('1.  LRAMVA Summary'!E$54:E$62)+SUM('1.  LRAMVA Summary'!E$63:E$64)*(MONTH($E66)-1)/12)*$H66</f>
        <v>19.778097853981247</v>
      </c>
      <c r="K66" s="230">
        <f>(SUM('1.  LRAMVA Summary'!F$54:F$62)+SUM('1.  LRAMVA Summary'!F$63:F$64)*(MONTH($E66)-1)/12)*$H66</f>
        <v>5.3073554420467</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-20.868774453822052</v>
      </c>
    </row>
    <row r="67" spans="2:23" s="9" customFormat="1">
      <c r="B67" s="66"/>
      <c r="E67" s="214">
        <v>41852</v>
      </c>
      <c r="F67" s="214" t="s">
        <v>180</v>
      </c>
      <c r="G67" s="215" t="s">
        <v>68</v>
      </c>
      <c r="H67" s="229">
        <f>C$29/12</f>
        <v>1.225E-3</v>
      </c>
      <c r="I67" s="230">
        <f>(SUM('1.  LRAMVA Summary'!D$54:D$62)+SUM('1.  LRAMVA Summary'!D$63:D$64)*(MONTH($E67)-1)/12)*$H67</f>
        <v>-47.058442740049998</v>
      </c>
      <c r="J67" s="230">
        <f>(SUM('1.  LRAMVA Summary'!E$54:E$62)+SUM('1.  LRAMVA Summary'!E$63:E$64)*(MONTH($E67)-1)/12)*$H67</f>
        <v>20.425542755323125</v>
      </c>
      <c r="K67" s="230">
        <f>(SUM('1.  LRAMVA Summary'!F$54:F$62)+SUM('1.  LRAMVA Summary'!F$63:F$64)*(MONTH($E67)-1)/12)*$H67</f>
        <v>5.6270108013071169</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-21.005889183419754</v>
      </c>
    </row>
    <row r="68" spans="2:23" s="9" customFormat="1">
      <c r="B68" s="66"/>
      <c r="E68" s="214">
        <v>41883</v>
      </c>
      <c r="F68" s="214" t="s">
        <v>180</v>
      </c>
      <c r="G68" s="215" t="s">
        <v>68</v>
      </c>
      <c r="H68" s="229">
        <f>C$29/12</f>
        <v>1.225E-3</v>
      </c>
      <c r="I68" s="230">
        <f>(SUM('1.  LRAMVA Summary'!D$54:D$62)+SUM('1.  LRAMVA Summary'!D$63:D$64)*(MONTH($E68)-1)/12)*$H68</f>
        <v>-48.162657730249997</v>
      </c>
      <c r="J68" s="230">
        <f>(SUM('1.  LRAMVA Summary'!E$54:E$62)+SUM('1.  LRAMVA Summary'!E$63:E$64)*(MONTH($E68)-1)/12)*$H68</f>
        <v>21.072987656665003</v>
      </c>
      <c r="K68" s="230">
        <f>(SUM('1.  LRAMVA Summary'!F$54:F$62)+SUM('1.  LRAMVA Summary'!F$63:F$64)*(MONTH($E68)-1)/12)*$H68</f>
        <v>5.9466661605675331</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-21.143003913017459</v>
      </c>
    </row>
    <row r="69" spans="2:23" s="9" customFormat="1">
      <c r="B69" s="66"/>
      <c r="E69" s="214">
        <v>41913</v>
      </c>
      <c r="F69" s="214" t="s">
        <v>180</v>
      </c>
      <c r="G69" s="215" t="s">
        <v>69</v>
      </c>
      <c r="H69" s="232">
        <f>C$30/12</f>
        <v>1.225E-3</v>
      </c>
      <c r="I69" s="230">
        <f>(SUM('1.  LRAMVA Summary'!D$54:D$62)+SUM('1.  LRAMVA Summary'!D$63:D$64)*(MONTH($E69)-1)/12)*$H69</f>
        <v>-49.266872720449996</v>
      </c>
      <c r="J69" s="230">
        <f>(SUM('1.  LRAMVA Summary'!E$54:E$62)+SUM('1.  LRAMVA Summary'!E$63:E$64)*(MONTH($E69)-1)/12)*$H69</f>
        <v>21.720432558006873</v>
      </c>
      <c r="K69" s="230">
        <f>(SUM('1.  LRAMVA Summary'!F$54:F$62)+SUM('1.  LRAMVA Summary'!F$63:F$64)*(MONTH($E69)-1)/12)*$H69</f>
        <v>6.26632151982795</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-21.280118642615172</v>
      </c>
    </row>
    <row r="70" spans="2:23" s="9" customFormat="1">
      <c r="B70" s="66"/>
      <c r="E70" s="214">
        <v>41944</v>
      </c>
      <c r="F70" s="214" t="s">
        <v>180</v>
      </c>
      <c r="G70" s="215" t="s">
        <v>69</v>
      </c>
      <c r="H70" s="229">
        <f>C$30/12</f>
        <v>1.225E-3</v>
      </c>
      <c r="I70" s="230">
        <f>(SUM('1.  LRAMVA Summary'!D$54:D$62)+SUM('1.  LRAMVA Summary'!D$63:D$64)*(MONTH($E70)-1)/12)*$H70</f>
        <v>-50.371087710649995</v>
      </c>
      <c r="J70" s="230">
        <f>(SUM('1.  LRAMVA Summary'!E$54:E$62)+SUM('1.  LRAMVA Summary'!E$63:E$64)*(MONTH($E70)-1)/12)*$H70</f>
        <v>22.367877459348751</v>
      </c>
      <c r="K70" s="230">
        <f>(SUM('1.  LRAMVA Summary'!F$54:F$62)+SUM('1.  LRAMVA Summary'!F$63:F$64)*(MONTH($E70)-1)/12)*$H70</f>
        <v>6.585976879088367</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-21.417233372212877</v>
      </c>
    </row>
    <row r="71" spans="2:23" s="9" customFormat="1">
      <c r="B71" s="66"/>
      <c r="E71" s="214">
        <v>41974</v>
      </c>
      <c r="F71" s="214" t="s">
        <v>180</v>
      </c>
      <c r="G71" s="215" t="s">
        <v>69</v>
      </c>
      <c r="H71" s="229">
        <f>C$30/12</f>
        <v>1.225E-3</v>
      </c>
      <c r="I71" s="230">
        <f>(SUM('1.  LRAMVA Summary'!D$54:D$62)+SUM('1.  LRAMVA Summary'!D$63:D$64)*(MONTH($E71)-1)/12)*$H71</f>
        <v>-51.475302700849994</v>
      </c>
      <c r="J71" s="230">
        <f>(SUM('1.  LRAMVA Summary'!E$54:E$62)+SUM('1.  LRAMVA Summary'!E$63:E$64)*(MONTH($E71)-1)/12)*$H71</f>
        <v>23.015322360690625</v>
      </c>
      <c r="K71" s="230">
        <f>(SUM('1.  LRAMVA Summary'!F$54:F$62)+SUM('1.  LRAMVA Summary'!F$63:F$64)*(MONTH($E71)-1)/12)*$H71</f>
        <v>6.9056322383487823</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-21.554348101810586</v>
      </c>
    </row>
    <row r="72" spans="2:23" s="9" customFormat="1" ht="15.75" thickBot="1">
      <c r="B72" s="66"/>
      <c r="E72" s="216" t="s">
        <v>465</v>
      </c>
      <c r="F72" s="216"/>
      <c r="G72" s="217"/>
      <c r="H72" s="218"/>
      <c r="I72" s="219">
        <f>SUM(I59:I71)</f>
        <v>-1197.4838800961752</v>
      </c>
      <c r="J72" s="219">
        <f t="shared" ref="J72:V72" si="16">SUM(J59:J71)</f>
        <v>430.54057457859864</v>
      </c>
      <c r="K72" s="219">
        <f t="shared" si="16"/>
        <v>88.804792298285022</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-678.13851321929121</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-1197.4838800961752</v>
      </c>
      <c r="J74" s="228">
        <f t="shared" si="17"/>
        <v>430.54057457859864</v>
      </c>
      <c r="K74" s="228">
        <f t="shared" si="17"/>
        <v>88.804792298285022</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-678.13851321929121</v>
      </c>
    </row>
    <row r="75" spans="2:23" s="9" customFormat="1">
      <c r="B75" s="66"/>
      <c r="E75" s="214">
        <v>42005</v>
      </c>
      <c r="F75" s="214" t="s">
        <v>181</v>
      </c>
      <c r="G75" s="215" t="s">
        <v>65</v>
      </c>
      <c r="H75" s="229">
        <f>C$31/12</f>
        <v>1.225E-3</v>
      </c>
      <c r="I75" s="230">
        <f>(SUM('1.  LRAMVA Summary'!D$54:D$65)+SUM('1.  LRAMVA Summary'!D$66:D$67)*(MONTH($E75)-1)/12)*$H75</f>
        <v>-52.579517691049993</v>
      </c>
      <c r="J75" s="230">
        <f>(SUM('1.  LRAMVA Summary'!E$54:E$65)+SUM('1.  LRAMVA Summary'!E$66:E$67)*(MONTH($E75)-1)/12)*$H75</f>
        <v>23.662767262032499</v>
      </c>
      <c r="K75" s="230">
        <f>(SUM('1.  LRAMVA Summary'!F$54:F$65)+SUM('1.  LRAMVA Summary'!F$66:F$67)*(MONTH($E75)-1)/12)*$H75</f>
        <v>7.2252875976091993</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-21.691462831408295</v>
      </c>
    </row>
    <row r="76" spans="2:23" s="238" customFormat="1">
      <c r="B76" s="237"/>
      <c r="E76" s="214">
        <v>42036</v>
      </c>
      <c r="F76" s="214" t="s">
        <v>181</v>
      </c>
      <c r="G76" s="215" t="s">
        <v>65</v>
      </c>
      <c r="H76" s="229">
        <f t="shared" ref="H76:H77" si="19">C$31/12</f>
        <v>1.225E-3</v>
      </c>
      <c r="I76" s="230">
        <f>(SUM('1.  LRAMVA Summary'!D$54:D$65)+SUM('1.  LRAMVA Summary'!D$66:D$67)*(MONTH($E76)-1)/12)*$H76</f>
        <v>-53.633232470299987</v>
      </c>
      <c r="J76" s="230">
        <f>(SUM('1.  LRAMVA Summary'!E$54:E$65)+SUM('1.  LRAMVA Summary'!E$66:E$67)*(MONTH($E76)-1)/12)*$H76</f>
        <v>24.65338829039333</v>
      </c>
      <c r="K76" s="230">
        <f>(SUM('1.  LRAMVA Summary'!F$54:F$65)+SUM('1.  LRAMVA Summary'!F$66:F$67)*(MONTH($E76)-1)/12)*$H76</f>
        <v>7.516521354896283</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-21.463322825010373</v>
      </c>
    </row>
    <row r="77" spans="2:23" s="9" customFormat="1">
      <c r="B77" s="66"/>
      <c r="E77" s="214">
        <v>42064</v>
      </c>
      <c r="F77" s="214" t="s">
        <v>181</v>
      </c>
      <c r="G77" s="215" t="s">
        <v>65</v>
      </c>
      <c r="H77" s="229">
        <f t="shared" si="19"/>
        <v>1.225E-3</v>
      </c>
      <c r="I77" s="230">
        <f>(SUM('1.  LRAMVA Summary'!D$54:D$65)+SUM('1.  LRAMVA Summary'!D$66:D$67)*(MONTH($E77)-1)/12)*$H77</f>
        <v>-54.686947249549988</v>
      </c>
      <c r="J77" s="230">
        <f>(SUM('1.  LRAMVA Summary'!E$54:E$65)+SUM('1.  LRAMVA Summary'!E$66:E$67)*(MONTH($E77)-1)/12)*$H77</f>
        <v>25.644009318754168</v>
      </c>
      <c r="K77" s="230">
        <f>(SUM('1.  LRAMVA Summary'!F$54:F$65)+SUM('1.  LRAMVA Summary'!F$66:F$67)*(MONTH($E77)-1)/12)*$H77</f>
        <v>7.8077551121833659</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-21.235182818612454</v>
      </c>
    </row>
    <row r="78" spans="2:23" s="9" customFormat="1">
      <c r="B78" s="66"/>
      <c r="E78" s="214">
        <v>42095</v>
      </c>
      <c r="F78" s="214" t="s">
        <v>181</v>
      </c>
      <c r="G78" s="215" t="s">
        <v>66</v>
      </c>
      <c r="H78" s="229">
        <f>C$32/12</f>
        <v>9.1666666666666665E-4</v>
      </c>
      <c r="I78" s="230">
        <f>(SUM('1.  LRAMVA Summary'!D$54:D$65)+SUM('1.  LRAMVA Summary'!D$66:D$67)*(MONTH($E78)-1)/12)*$H78</f>
        <v>-41.710699477333328</v>
      </c>
      <c r="J78" s="230">
        <f>(SUM('1.  LRAMVA Summary'!E$54:E$65)+SUM('1.  LRAMVA Summary'!E$66:E$67)*(MONTH($E78)-1)/12)*$H78</f>
        <v>19.930675769950003</v>
      </c>
      <c r="K78" s="230">
        <f>(SUM('1.  LRAMVA Summary'!F$54:F$65)+SUM('1.  LRAMVA Summary'!F$66:F$67)*(MONTH($E78)-1)/12)*$H78</f>
        <v>6.0604678615085001</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-15.719555845874826</v>
      </c>
    </row>
    <row r="79" spans="2:23" s="9" customFormat="1">
      <c r="B79" s="66"/>
      <c r="E79" s="214">
        <v>42125</v>
      </c>
      <c r="F79" s="214" t="s">
        <v>181</v>
      </c>
      <c r="G79" s="215" t="s">
        <v>66</v>
      </c>
      <c r="H79" s="229">
        <f t="shared" ref="H79:H80" si="21">C$32/12</f>
        <v>9.1666666666666665E-4</v>
      </c>
      <c r="I79" s="230">
        <f>(SUM('1.  LRAMVA Summary'!D$54:D$65)+SUM('1.  LRAMVA Summary'!D$66:D$67)*(MONTH($E79)-1)/12)*$H79</f>
        <v>-42.499193529833327</v>
      </c>
      <c r="J79" s="230">
        <f>(SUM('1.  LRAMVA Summary'!E$54:E$65)+SUM('1.  LRAMVA Summary'!E$66:E$67)*(MONTH($E79)-1)/12)*$H79</f>
        <v>20.671956811580557</v>
      </c>
      <c r="K79" s="230">
        <f>(SUM('1.  LRAMVA Summary'!F$54:F$65)+SUM('1.  LRAMVA Summary'!F$66:F$67)*(MONTH($E79)-1)/12)*$H79</f>
        <v>6.2783978839682213</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-15.548838834284549</v>
      </c>
    </row>
    <row r="80" spans="2:23" s="9" customFormat="1">
      <c r="B80" s="66"/>
      <c r="E80" s="214">
        <v>42156</v>
      </c>
      <c r="F80" s="214" t="s">
        <v>181</v>
      </c>
      <c r="G80" s="215" t="s">
        <v>66</v>
      </c>
      <c r="H80" s="229">
        <f t="shared" si="21"/>
        <v>9.1666666666666665E-4</v>
      </c>
      <c r="I80" s="230">
        <f>(SUM('1.  LRAMVA Summary'!D$54:D$65)+SUM('1.  LRAMVA Summary'!D$66:D$67)*(MONTH($E80)-1)/12)*$H80</f>
        <v>-43.287687582333326</v>
      </c>
      <c r="J80" s="230">
        <f>(SUM('1.  LRAMVA Summary'!E$54:E$65)+SUM('1.  LRAMVA Summary'!E$66:E$67)*(MONTH($E80)-1)/12)*$H80</f>
        <v>21.413237853211111</v>
      </c>
      <c r="K80" s="230">
        <f>(SUM('1.  LRAMVA Summary'!F$54:F$65)+SUM('1.  LRAMVA Summary'!F$66:F$67)*(MONTH($E80)-1)/12)*$H80</f>
        <v>6.4963279064279442</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-15.378121822694272</v>
      </c>
    </row>
    <row r="81" spans="2:23" s="9" customFormat="1">
      <c r="B81" s="66"/>
      <c r="E81" s="214">
        <v>42186</v>
      </c>
      <c r="F81" s="214" t="s">
        <v>181</v>
      </c>
      <c r="G81" s="215" t="s">
        <v>68</v>
      </c>
      <c r="H81" s="229">
        <f>C$33/12</f>
        <v>9.1666666666666665E-4</v>
      </c>
      <c r="I81" s="230">
        <f>(SUM('1.  LRAMVA Summary'!D$54:D$65)+SUM('1.  LRAMVA Summary'!D$66:D$67)*(MONTH($E81)-1)/12)*$H81</f>
        <v>-44.076181634833333</v>
      </c>
      <c r="J81" s="230">
        <f>(SUM('1.  LRAMVA Summary'!E$54:E$65)+SUM('1.  LRAMVA Summary'!E$66:E$67)*(MONTH($E81)-1)/12)*$H81</f>
        <v>22.154518894841665</v>
      </c>
      <c r="K81" s="230">
        <f>(SUM('1.  LRAMVA Summary'!F$54:F$65)+SUM('1.  LRAMVA Summary'!F$66:F$67)*(MONTH($E81)-1)/12)*$H81</f>
        <v>6.7142579288876663</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-15.207404811104002</v>
      </c>
    </row>
    <row r="82" spans="2:23" s="9" customFormat="1">
      <c r="B82" s="66"/>
      <c r="E82" s="214">
        <v>42217</v>
      </c>
      <c r="F82" s="214" t="s">
        <v>181</v>
      </c>
      <c r="G82" s="215" t="s">
        <v>68</v>
      </c>
      <c r="H82" s="229">
        <f t="shared" ref="H82:H83" si="22">C$33/12</f>
        <v>9.1666666666666665E-4</v>
      </c>
      <c r="I82" s="230">
        <f>(SUM('1.  LRAMVA Summary'!D$54:D$65)+SUM('1.  LRAMVA Summary'!D$66:D$67)*(MONTH($E82)-1)/12)*$H82</f>
        <v>-44.864675687333325</v>
      </c>
      <c r="J82" s="230">
        <f>(SUM('1.  LRAMVA Summary'!E$54:E$65)+SUM('1.  LRAMVA Summary'!E$66:E$67)*(MONTH($E82)-1)/12)*$H82</f>
        <v>22.895799936472223</v>
      </c>
      <c r="K82" s="230">
        <f>(SUM('1.  LRAMVA Summary'!F$54:F$65)+SUM('1.  LRAMVA Summary'!F$66:F$67)*(MONTH($E82)-1)/12)*$H82</f>
        <v>6.9321879513473883</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-15.036687799513714</v>
      </c>
    </row>
    <row r="83" spans="2:23" s="9" customFormat="1">
      <c r="B83" s="66"/>
      <c r="E83" s="214">
        <v>42248</v>
      </c>
      <c r="F83" s="214" t="s">
        <v>181</v>
      </c>
      <c r="G83" s="215" t="s">
        <v>68</v>
      </c>
      <c r="H83" s="229">
        <f t="shared" si="22"/>
        <v>9.1666666666666665E-4</v>
      </c>
      <c r="I83" s="230">
        <f>(SUM('1.  LRAMVA Summary'!D$54:D$65)+SUM('1.  LRAMVA Summary'!D$66:D$67)*(MONTH($E83)-1)/12)*$H83</f>
        <v>-45.653169739833324</v>
      </c>
      <c r="J83" s="230">
        <f>(SUM('1.  LRAMVA Summary'!E$54:E$65)+SUM('1.  LRAMVA Summary'!E$66:E$67)*(MONTH($E83)-1)/12)*$H83</f>
        <v>23.637080978102777</v>
      </c>
      <c r="K83" s="230">
        <f>(SUM('1.  LRAMVA Summary'!F$54:F$65)+SUM('1.  LRAMVA Summary'!F$66:F$67)*(MONTH($E83)-1)/12)*$H83</f>
        <v>7.1501179738071112</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-14.865970787923436</v>
      </c>
    </row>
    <row r="84" spans="2:23" s="9" customFormat="1">
      <c r="B84" s="66"/>
      <c r="E84" s="214">
        <v>42278</v>
      </c>
      <c r="F84" s="214" t="s">
        <v>181</v>
      </c>
      <c r="G84" s="215" t="s">
        <v>69</v>
      </c>
      <c r="H84" s="229">
        <f>C$34/12</f>
        <v>9.1666666666666665E-4</v>
      </c>
      <c r="I84" s="230">
        <f>(SUM('1.  LRAMVA Summary'!D$54:D$65)+SUM('1.  LRAMVA Summary'!D$66:D$67)*(MONTH($E84)-1)/12)*$H84</f>
        <v>-46.441663792333323</v>
      </c>
      <c r="J84" s="230">
        <f>(SUM('1.  LRAMVA Summary'!E$54:E$65)+SUM('1.  LRAMVA Summary'!E$66:E$67)*(MONTH($E84)-1)/12)*$H84</f>
        <v>24.378362019733331</v>
      </c>
      <c r="K84" s="230">
        <f>(SUM('1.  LRAMVA Summary'!F$54:F$65)+SUM('1.  LRAMVA Summary'!F$66:F$67)*(MONTH($E84)-1)/12)*$H84</f>
        <v>7.3680479962668342</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-14.695253776333157</v>
      </c>
    </row>
    <row r="85" spans="2:23" s="9" customFormat="1">
      <c r="B85" s="66"/>
      <c r="E85" s="214">
        <v>42309</v>
      </c>
      <c r="F85" s="214" t="s">
        <v>181</v>
      </c>
      <c r="G85" s="215" t="s">
        <v>69</v>
      </c>
      <c r="H85" s="229">
        <f t="shared" ref="H85:H86" si="23">C$34/12</f>
        <v>9.1666666666666665E-4</v>
      </c>
      <c r="I85" s="230">
        <f>(SUM('1.  LRAMVA Summary'!D$54:D$65)+SUM('1.  LRAMVA Summary'!D$66:D$67)*(MONTH($E85)-1)/12)*$H85</f>
        <v>-47.230157844833322</v>
      </c>
      <c r="J85" s="230">
        <f>(SUM('1.  LRAMVA Summary'!E$54:E$65)+SUM('1.  LRAMVA Summary'!E$66:E$67)*(MONTH($E85)-1)/12)*$H85</f>
        <v>25.119643061363888</v>
      </c>
      <c r="K85" s="230">
        <f>(SUM('1.  LRAMVA Summary'!F$54:F$65)+SUM('1.  LRAMVA Summary'!F$66:F$67)*(MONTH($E85)-1)/12)*$H85</f>
        <v>7.5859780187265562</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-14.524536764742876</v>
      </c>
    </row>
    <row r="86" spans="2:23" s="9" customFormat="1">
      <c r="B86" s="66"/>
      <c r="E86" s="214">
        <v>42339</v>
      </c>
      <c r="F86" s="214" t="s">
        <v>181</v>
      </c>
      <c r="G86" s="215" t="s">
        <v>69</v>
      </c>
      <c r="H86" s="229">
        <f t="shared" si="23"/>
        <v>9.1666666666666665E-4</v>
      </c>
      <c r="I86" s="230">
        <f>(SUM('1.  LRAMVA Summary'!D$54:D$65)+SUM('1.  LRAMVA Summary'!D$66:D$67)*(MONTH($E86)-1)/12)*$H86</f>
        <v>-48.018651897333328</v>
      </c>
      <c r="J86" s="230">
        <f>(SUM('1.  LRAMVA Summary'!E$54:E$65)+SUM('1.  LRAMVA Summary'!E$66:E$67)*(MONTH($E86)-1)/12)*$H86</f>
        <v>25.860924102994446</v>
      </c>
      <c r="K86" s="230">
        <f>(SUM('1.  LRAMVA Summary'!F$54:F$65)+SUM('1.  LRAMVA Summary'!F$66:F$67)*(MONTH($E86)-1)/12)*$H86</f>
        <v>7.8039080411862773</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-14.353819753152605</v>
      </c>
    </row>
    <row r="87" spans="2:23" s="9" customFormat="1" ht="15.75" thickBot="1">
      <c r="B87" s="66"/>
      <c r="E87" s="216" t="s">
        <v>466</v>
      </c>
      <c r="F87" s="216"/>
      <c r="G87" s="217"/>
      <c r="H87" s="218"/>
      <c r="I87" s="219">
        <f>SUM(I74:I86)</f>
        <v>-1762.1656586930751</v>
      </c>
      <c r="J87" s="219">
        <f>SUM(J74:J86)</f>
        <v>710.56293887802849</v>
      </c>
      <c r="K87" s="219">
        <f t="shared" ref="K87:O87" si="24">SUM(K74:K86)</f>
        <v>173.74404792510038</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-877.85867188994575</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-1762.1656586930751</v>
      </c>
      <c r="J89" s="228">
        <f t="shared" ref="J89" si="26">J87+J88</f>
        <v>710.56293887802849</v>
      </c>
      <c r="K89" s="228">
        <f t="shared" ref="K89" si="27">K87+K88</f>
        <v>173.74404792510038</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-877.85867188994575</v>
      </c>
    </row>
    <row r="90" spans="2:23" s="9" customFormat="1">
      <c r="B90" s="66"/>
      <c r="E90" s="214">
        <v>42370</v>
      </c>
      <c r="F90" s="214" t="s">
        <v>183</v>
      </c>
      <c r="G90" s="215" t="s">
        <v>65</v>
      </c>
      <c r="H90" s="229">
        <f>$C$35/12</f>
        <v>9.1666666666666665E-4</v>
      </c>
      <c r="I90" s="230">
        <f>(SUM('1.  LRAMVA Summary'!D$54:D$68)+SUM('1.  LRAMVA Summary'!D$69:D$70)*(MONTH($E90)-1)/12)*$H90</f>
        <v>-48.80714594983332</v>
      </c>
      <c r="J90" s="230">
        <f>(SUM('1.  LRAMVA Summary'!E$54:E$68)+SUM('1.  LRAMVA Summary'!E$69:E$70)*(MONTH($E90)-1)/12)*$H90</f>
        <v>26.602205144625</v>
      </c>
      <c r="K90" s="230">
        <f>(SUM('1.  LRAMVA Summary'!F$54:F$68)+SUM('1.  LRAMVA Summary'!F$69:F$70)*(MONTH($E90)-1)/12)*$H90</f>
        <v>8.0218380636459994</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-14.183102741562321</v>
      </c>
    </row>
    <row r="91" spans="2:23" s="9" customFormat="1">
      <c r="B91" s="66"/>
      <c r="E91" s="214">
        <v>42401</v>
      </c>
      <c r="F91" s="214" t="s">
        <v>183</v>
      </c>
      <c r="G91" s="215" t="s">
        <v>65</v>
      </c>
      <c r="H91" s="229">
        <f t="shared" ref="H91:H92" si="34">$C$35/12</f>
        <v>9.1666666666666665E-4</v>
      </c>
      <c r="I91" s="230">
        <f>(SUM('1.  LRAMVA Summary'!D$54:D$68)+SUM('1.  LRAMVA Summary'!D$69:D$70)*(MONTH($E91)-1)/12)*$H91</f>
        <v>-49.455840395805538</v>
      </c>
      <c r="J91" s="230">
        <f>(SUM('1.  LRAMVA Summary'!E$54:E$68)+SUM('1.  LRAMVA Summary'!E$69:E$70)*(MONTH($E91)-1)/12)*$H91</f>
        <v>27.169796402741664</v>
      </c>
      <c r="K91" s="230">
        <f>(SUM('1.  LRAMVA Summary'!F$54:F$68)+SUM('1.  LRAMVA Summary'!F$69:F$70)*(MONTH($E91)-1)/12)*$H91</f>
        <v>8.1710781910682222</v>
      </c>
      <c r="L91" s="230">
        <f>(SUM('1.  LRAMVA Summary'!G$54:G$68)+SUM('1.  LRAMVA Summary'!G$69:G$70)*(MONTH($E91)-1)/12)*$H91</f>
        <v>0</v>
      </c>
      <c r="M91" s="230">
        <f>(SUM('1.  LRAMVA Summary'!H$54:H$68)+SUM('1.  LRAMVA Summary'!H$69:H$70)*(MONTH($E91)-1)/12)*$H91</f>
        <v>0</v>
      </c>
      <c r="N91" s="230">
        <f>(SUM('1.  LRAMVA Summary'!I$54:I$68)+SUM('1.  LRAMVA Summary'!I$69:I$70)*(MONTH($E91)-1)/12)*$H91</f>
        <v>0.24574311666666671</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-13.869222685328985</v>
      </c>
    </row>
    <row r="92" spans="2:23" s="9" customFormat="1" ht="14.25" customHeight="1">
      <c r="B92" s="66"/>
      <c r="E92" s="214">
        <v>42430</v>
      </c>
      <c r="F92" s="214" t="s">
        <v>183</v>
      </c>
      <c r="G92" s="215" t="s">
        <v>65</v>
      </c>
      <c r="H92" s="229">
        <f t="shared" si="34"/>
        <v>9.1666666666666665E-4</v>
      </c>
      <c r="I92" s="230">
        <f>(SUM('1.  LRAMVA Summary'!D$54:D$68)+SUM('1.  LRAMVA Summary'!D$69:D$70)*(MONTH($E92)-1)/12)*$H92</f>
        <v>-50.104534841777763</v>
      </c>
      <c r="J92" s="230">
        <f>(SUM('1.  LRAMVA Summary'!E$54:E$68)+SUM('1.  LRAMVA Summary'!E$69:E$70)*(MONTH($E92)-1)/12)*$H92</f>
        <v>27.737387660858332</v>
      </c>
      <c r="K92" s="230">
        <f>(SUM('1.  LRAMVA Summary'!F$54:F$68)+SUM('1.  LRAMVA Summary'!F$69:F$70)*(MONTH($E92)-1)/12)*$H92</f>
        <v>8.320318318490445</v>
      </c>
      <c r="L92" s="230">
        <f>(SUM('1.  LRAMVA Summary'!G$54:G$68)+SUM('1.  LRAMVA Summary'!G$69:G$70)*(MONTH($E92)-1)/12)*$H92</f>
        <v>0</v>
      </c>
      <c r="M92" s="230">
        <f>(SUM('1.  LRAMVA Summary'!H$54:H$68)+SUM('1.  LRAMVA Summary'!H$69:H$70)*(MONTH($E92)-1)/12)*$H92</f>
        <v>0</v>
      </c>
      <c r="N92" s="230">
        <f>(SUM('1.  LRAMVA Summary'!I$54:I$68)+SUM('1.  LRAMVA Summary'!I$69:I$70)*(MONTH($E92)-1)/12)*$H92</f>
        <v>0.49148623333333341</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-13.555342629095653</v>
      </c>
    </row>
    <row r="93" spans="2:23" s="8" customFormat="1">
      <c r="B93" s="239"/>
      <c r="D93" s="9"/>
      <c r="E93" s="214">
        <v>42461</v>
      </c>
      <c r="F93" s="214" t="s">
        <v>183</v>
      </c>
      <c r="G93" s="215" t="s">
        <v>66</v>
      </c>
      <c r="H93" s="229">
        <f>$C$36/12</f>
        <v>9.1666666666666665E-4</v>
      </c>
      <c r="I93" s="230">
        <f>(SUM('1.  LRAMVA Summary'!D$54:D$68)+SUM('1.  LRAMVA Summary'!D$69:D$70)*(MONTH($E93)-1)/12)*$H93</f>
        <v>-50.753229287749988</v>
      </c>
      <c r="J93" s="230">
        <f>(SUM('1.  LRAMVA Summary'!E$54:E$68)+SUM('1.  LRAMVA Summary'!E$69:E$70)*(MONTH($E93)-1)/12)*$H93</f>
        <v>28.304978918974999</v>
      </c>
      <c r="K93" s="230">
        <f>(SUM('1.  LRAMVA Summary'!F$54:F$68)+SUM('1.  LRAMVA Summary'!F$69:F$70)*(MONTH($E93)-1)/12)*$H93</f>
        <v>8.469558445912666</v>
      </c>
      <c r="L93" s="230">
        <f>(SUM('1.  LRAMVA Summary'!G$54:G$68)+SUM('1.  LRAMVA Summary'!G$69:G$70)*(MONTH($E93)-1)/12)*$H93</f>
        <v>0</v>
      </c>
      <c r="M93" s="230">
        <f>(SUM('1.  LRAMVA Summary'!H$54:H$68)+SUM('1.  LRAMVA Summary'!H$69:H$70)*(MONTH($E93)-1)/12)*$H93</f>
        <v>0</v>
      </c>
      <c r="N93" s="230">
        <f>(SUM('1.  LRAMVA Summary'!I$54:I$68)+SUM('1.  LRAMVA Summary'!I$69:I$70)*(MONTH($E93)-1)/12)*$H93</f>
        <v>0.73722935000000001</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-13.241462572862323</v>
      </c>
    </row>
    <row r="94" spans="2:23" s="9" customFormat="1">
      <c r="B94" s="66"/>
      <c r="E94" s="214">
        <v>42491</v>
      </c>
      <c r="F94" s="214" t="s">
        <v>183</v>
      </c>
      <c r="G94" s="215" t="s">
        <v>66</v>
      </c>
      <c r="H94" s="229">
        <f t="shared" ref="H94:H95" si="36">$C$36/12</f>
        <v>9.1666666666666665E-4</v>
      </c>
      <c r="I94" s="230">
        <f>(SUM('1.  LRAMVA Summary'!D$54:D$68)+SUM('1.  LRAMVA Summary'!D$69:D$70)*(MONTH($E94)-1)/12)*$H94</f>
        <v>-51.401923733722207</v>
      </c>
      <c r="J94" s="230">
        <f>(SUM('1.  LRAMVA Summary'!E$54:E$68)+SUM('1.  LRAMVA Summary'!E$69:E$70)*(MONTH($E94)-1)/12)*$H94</f>
        <v>28.872570177091667</v>
      </c>
      <c r="K94" s="230">
        <f>(SUM('1.  LRAMVA Summary'!F$54:F$68)+SUM('1.  LRAMVA Summary'!F$69:F$70)*(MONTH($E94)-1)/12)*$H94</f>
        <v>8.6187985733348871</v>
      </c>
      <c r="L94" s="230">
        <f>(SUM('1.  LRAMVA Summary'!G$54:G$68)+SUM('1.  LRAMVA Summary'!G$69:G$70)*(MONTH($E94)-1)/12)*$H94</f>
        <v>0</v>
      </c>
      <c r="M94" s="230">
        <f>(SUM('1.  LRAMVA Summary'!H$54:H$68)+SUM('1.  LRAMVA Summary'!H$69:H$70)*(MONTH($E94)-1)/12)*$H94</f>
        <v>0</v>
      </c>
      <c r="N94" s="230">
        <f>(SUM('1.  LRAMVA Summary'!I$54:I$68)+SUM('1.  LRAMVA Summary'!I$69:I$70)*(MONTH($E94)-1)/12)*$H94</f>
        <v>0.98297246666666682</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-12.927582516628986</v>
      </c>
    </row>
    <row r="95" spans="2:23" s="238" customFormat="1">
      <c r="B95" s="237"/>
      <c r="D95" s="9"/>
      <c r="E95" s="214">
        <v>42522</v>
      </c>
      <c r="F95" s="214" t="s">
        <v>183</v>
      </c>
      <c r="G95" s="215" t="s">
        <v>66</v>
      </c>
      <c r="H95" s="229">
        <f t="shared" si="36"/>
        <v>9.1666666666666665E-4</v>
      </c>
      <c r="I95" s="230">
        <f>(SUM('1.  LRAMVA Summary'!D$54:D$68)+SUM('1.  LRAMVA Summary'!D$69:D$70)*(MONTH($E95)-1)/12)*$H95</f>
        <v>-52.050618179694432</v>
      </c>
      <c r="J95" s="230">
        <f>(SUM('1.  LRAMVA Summary'!E$54:E$68)+SUM('1.  LRAMVA Summary'!E$69:E$70)*(MONTH($E95)-1)/12)*$H95</f>
        <v>29.440161435208331</v>
      </c>
      <c r="K95" s="230">
        <f>(SUM('1.  LRAMVA Summary'!F$54:F$68)+SUM('1.  LRAMVA Summary'!F$69:F$70)*(MONTH($E95)-1)/12)*$H95</f>
        <v>8.7680387007571117</v>
      </c>
      <c r="L95" s="230">
        <f>(SUM('1.  LRAMVA Summary'!G$54:G$68)+SUM('1.  LRAMVA Summary'!G$69:G$70)*(MONTH($E95)-1)/12)*$H95</f>
        <v>0</v>
      </c>
      <c r="M95" s="230">
        <f>(SUM('1.  LRAMVA Summary'!H$54:H$68)+SUM('1.  LRAMVA Summary'!H$69:H$70)*(MONTH($E95)-1)/12)*$H95</f>
        <v>0</v>
      </c>
      <c r="N95" s="230">
        <f>(SUM('1.  LRAMVA Summary'!I$54:I$68)+SUM('1.  LRAMVA Summary'!I$69:I$70)*(MONTH($E95)-1)/12)*$H95</f>
        <v>1.2287155833333334</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-12.613702460395656</v>
      </c>
    </row>
    <row r="96" spans="2:23" s="9" customFormat="1">
      <c r="B96" s="66"/>
      <c r="E96" s="214">
        <v>42552</v>
      </c>
      <c r="F96" s="214" t="s">
        <v>183</v>
      </c>
      <c r="G96" s="215" t="s">
        <v>68</v>
      </c>
      <c r="H96" s="229">
        <f>$C$37/12</f>
        <v>9.1666666666666665E-4</v>
      </c>
      <c r="I96" s="230">
        <f>(SUM('1.  LRAMVA Summary'!D$54:D$68)+SUM('1.  LRAMVA Summary'!D$69:D$70)*(MONTH($E96)-1)/12)*$H96</f>
        <v>-52.699312625666657</v>
      </c>
      <c r="J96" s="230">
        <f>(SUM('1.  LRAMVA Summary'!E$54:E$68)+SUM('1.  LRAMVA Summary'!E$69:E$70)*(MONTH($E96)-1)/12)*$H96</f>
        <v>30.007752693324999</v>
      </c>
      <c r="K96" s="230">
        <f>(SUM('1.  LRAMVA Summary'!F$54:F$68)+SUM('1.  LRAMVA Summary'!F$69:F$70)*(MONTH($E96)-1)/12)*$H96</f>
        <v>8.9172788281793327</v>
      </c>
      <c r="L96" s="230">
        <f>(SUM('1.  LRAMVA Summary'!G$54:G$68)+SUM('1.  LRAMVA Summary'!G$69:G$70)*(MONTH($E96)-1)/12)*$H96</f>
        <v>0</v>
      </c>
      <c r="M96" s="230">
        <f>(SUM('1.  LRAMVA Summary'!H$54:H$68)+SUM('1.  LRAMVA Summary'!H$69:H$70)*(MONTH($E96)-1)/12)*$H96</f>
        <v>0</v>
      </c>
      <c r="N96" s="230">
        <f>(SUM('1.  LRAMVA Summary'!I$54:I$68)+SUM('1.  LRAMVA Summary'!I$69:I$70)*(MONTH($E96)-1)/12)*$H96</f>
        <v>1.4744587</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-12.299822404162326</v>
      </c>
    </row>
    <row r="97" spans="2:23" s="9" customFormat="1">
      <c r="B97" s="66"/>
      <c r="E97" s="214">
        <v>42583</v>
      </c>
      <c r="F97" s="214" t="s">
        <v>183</v>
      </c>
      <c r="G97" s="215" t="s">
        <v>68</v>
      </c>
      <c r="H97" s="229">
        <f t="shared" ref="H97:H98" si="37">$C$37/12</f>
        <v>9.1666666666666665E-4</v>
      </c>
      <c r="I97" s="230">
        <f>(SUM('1.  LRAMVA Summary'!D$54:D$68)+SUM('1.  LRAMVA Summary'!D$69:D$70)*(MONTH($E97)-1)/12)*$H97</f>
        <v>-53.348007071638875</v>
      </c>
      <c r="J97" s="230">
        <f>(SUM('1.  LRAMVA Summary'!E$54:E$68)+SUM('1.  LRAMVA Summary'!E$69:E$70)*(MONTH($E97)-1)/12)*$H97</f>
        <v>30.575343951441663</v>
      </c>
      <c r="K97" s="230">
        <f>(SUM('1.  LRAMVA Summary'!F$54:F$68)+SUM('1.  LRAMVA Summary'!F$69:F$70)*(MONTH($E97)-1)/12)*$H97</f>
        <v>9.0665189556015555</v>
      </c>
      <c r="L97" s="230">
        <f>(SUM('1.  LRAMVA Summary'!G$54:G$68)+SUM('1.  LRAMVA Summary'!G$69:G$70)*(MONTH($E97)-1)/12)*$H97</f>
        <v>0</v>
      </c>
      <c r="M97" s="230">
        <f>(SUM('1.  LRAMVA Summary'!H$54:H$68)+SUM('1.  LRAMVA Summary'!H$69:H$70)*(MONTH($E97)-1)/12)*$H97</f>
        <v>0</v>
      </c>
      <c r="N97" s="230">
        <f>(SUM('1.  LRAMVA Summary'!I$54:I$68)+SUM('1.  LRAMVA Summary'!I$69:I$70)*(MONTH($E97)-1)/12)*$H97</f>
        <v>1.7202018166666668</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-11.98594234792899</v>
      </c>
    </row>
    <row r="98" spans="2:23" s="9" customFormat="1">
      <c r="B98" s="66"/>
      <c r="E98" s="214">
        <v>42614</v>
      </c>
      <c r="F98" s="214" t="s">
        <v>183</v>
      </c>
      <c r="G98" s="215" t="s">
        <v>68</v>
      </c>
      <c r="H98" s="229">
        <f t="shared" si="37"/>
        <v>9.1666666666666665E-4</v>
      </c>
      <c r="I98" s="230">
        <f>(SUM('1.  LRAMVA Summary'!D$54:D$68)+SUM('1.  LRAMVA Summary'!D$69:D$70)*(MONTH($E98)-1)/12)*$H98</f>
        <v>-53.9967015176111</v>
      </c>
      <c r="J98" s="230">
        <f>(SUM('1.  LRAMVA Summary'!E$54:E$68)+SUM('1.  LRAMVA Summary'!E$69:E$70)*(MONTH($E98)-1)/12)*$H98</f>
        <v>31.142935209558331</v>
      </c>
      <c r="K98" s="230">
        <f>(SUM('1.  LRAMVA Summary'!F$54:F$68)+SUM('1.  LRAMVA Summary'!F$69:F$70)*(MONTH($E98)-1)/12)*$H98</f>
        <v>9.2157590830237783</v>
      </c>
      <c r="L98" s="230">
        <f>(SUM('1.  LRAMVA Summary'!G$54:G$68)+SUM('1.  LRAMVA Summary'!G$69:G$70)*(MONTH($E98)-1)/12)*$H98</f>
        <v>0</v>
      </c>
      <c r="M98" s="230">
        <f>(SUM('1.  LRAMVA Summary'!H$54:H$68)+SUM('1.  LRAMVA Summary'!H$69:H$70)*(MONTH($E98)-1)/12)*$H98</f>
        <v>0</v>
      </c>
      <c r="N98" s="230">
        <f>(SUM('1.  LRAMVA Summary'!I$54:I$68)+SUM('1.  LRAMVA Summary'!I$69:I$70)*(MONTH($E98)-1)/12)*$H98</f>
        <v>1.9659449333333336</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-11.672062291695656</v>
      </c>
    </row>
    <row r="99" spans="2:23" s="9" customFormat="1">
      <c r="B99" s="66"/>
      <c r="E99" s="214">
        <v>42644</v>
      </c>
      <c r="F99" s="214" t="s">
        <v>183</v>
      </c>
      <c r="G99" s="215" t="s">
        <v>69</v>
      </c>
      <c r="H99" s="210">
        <f>$C$38/12</f>
        <v>9.1666666666666665E-4</v>
      </c>
      <c r="I99" s="230">
        <f>(SUM('1.  LRAMVA Summary'!D$54:D$68)+SUM('1.  LRAMVA Summary'!D$69:D$70)*(MONTH($E99)-1)/12)*$H99</f>
        <v>-54.645395963583319</v>
      </c>
      <c r="J99" s="230">
        <f>(SUM('1.  LRAMVA Summary'!E$54:E$68)+SUM('1.  LRAMVA Summary'!E$69:E$70)*(MONTH($E99)-1)/12)*$H99</f>
        <v>31.710526467674999</v>
      </c>
      <c r="K99" s="230">
        <f>(SUM('1.  LRAMVA Summary'!F$54:F$68)+SUM('1.  LRAMVA Summary'!F$69:F$70)*(MONTH($E99)-1)/12)*$H99</f>
        <v>9.3649992104459994</v>
      </c>
      <c r="L99" s="230">
        <f>(SUM('1.  LRAMVA Summary'!G$54:G$68)+SUM('1.  LRAMVA Summary'!G$69:G$70)*(MONTH($E99)-1)/12)*$H99</f>
        <v>0</v>
      </c>
      <c r="M99" s="230">
        <f>(SUM('1.  LRAMVA Summary'!H$54:H$68)+SUM('1.  LRAMVA Summary'!H$69:H$70)*(MONTH($E99)-1)/12)*$H99</f>
        <v>0</v>
      </c>
      <c r="N99" s="230">
        <f>(SUM('1.  LRAMVA Summary'!I$54:I$68)+SUM('1.  LRAMVA Summary'!I$69:I$70)*(MONTH($E99)-1)/12)*$H99</f>
        <v>2.2116880500000002</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-11.358182235462319</v>
      </c>
    </row>
    <row r="100" spans="2:23" s="9" customFormat="1">
      <c r="B100" s="66"/>
      <c r="E100" s="214">
        <v>42675</v>
      </c>
      <c r="F100" s="214" t="s">
        <v>183</v>
      </c>
      <c r="G100" s="215" t="s">
        <v>69</v>
      </c>
      <c r="H100" s="210">
        <f t="shared" ref="H100:H101" si="38">$C$38/12</f>
        <v>9.1666666666666665E-4</v>
      </c>
      <c r="I100" s="230">
        <f>(SUM('1.  LRAMVA Summary'!D$54:D$68)+SUM('1.  LRAMVA Summary'!D$69:D$70)*(MONTH($E100)-1)/12)*$H100</f>
        <v>-55.294090409555537</v>
      </c>
      <c r="J100" s="230">
        <f>(SUM('1.  LRAMVA Summary'!E$54:E$68)+SUM('1.  LRAMVA Summary'!E$69:E$70)*(MONTH($E100)-1)/12)*$H100</f>
        <v>32.278117725791667</v>
      </c>
      <c r="K100" s="230">
        <f>(SUM('1.  LRAMVA Summary'!F$54:F$68)+SUM('1.  LRAMVA Summary'!F$69:F$70)*(MONTH($E100)-1)/12)*$H100</f>
        <v>9.5142393378682222</v>
      </c>
      <c r="L100" s="230">
        <f>(SUM('1.  LRAMVA Summary'!G$54:G$68)+SUM('1.  LRAMVA Summary'!G$69:G$70)*(MONTH($E100)-1)/12)*$H100</f>
        <v>0</v>
      </c>
      <c r="M100" s="230">
        <f>(SUM('1.  LRAMVA Summary'!H$54:H$68)+SUM('1.  LRAMVA Summary'!H$69:H$70)*(MONTH($E100)-1)/12)*$H100</f>
        <v>0</v>
      </c>
      <c r="N100" s="230">
        <f>(SUM('1.  LRAMVA Summary'!I$54:I$68)+SUM('1.  LRAMVA Summary'!I$69:I$70)*(MONTH($E100)-1)/12)*$H100</f>
        <v>2.4574311666666668</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-11.044302179228982</v>
      </c>
    </row>
    <row r="101" spans="2:23" s="9" customFormat="1">
      <c r="B101" s="66"/>
      <c r="E101" s="214">
        <v>42705</v>
      </c>
      <c r="F101" s="214" t="s">
        <v>183</v>
      </c>
      <c r="G101" s="215" t="s">
        <v>69</v>
      </c>
      <c r="H101" s="210">
        <f t="shared" si="38"/>
        <v>9.1666666666666665E-4</v>
      </c>
      <c r="I101" s="230">
        <f>(SUM('1.  LRAMVA Summary'!D$54:D$68)+SUM('1.  LRAMVA Summary'!D$69:D$70)*(MONTH($E101)-1)/12)*$H101</f>
        <v>-55.942784855527762</v>
      </c>
      <c r="J101" s="230">
        <f>(SUM('1.  LRAMVA Summary'!E$54:E$68)+SUM('1.  LRAMVA Summary'!E$69:E$70)*(MONTH($E101)-1)/12)*$H101</f>
        <v>32.845708983908331</v>
      </c>
      <c r="K101" s="230">
        <f>(SUM('1.  LRAMVA Summary'!F$54:F$68)+SUM('1.  LRAMVA Summary'!F$69:F$70)*(MONTH($E101)-1)/12)*$H101</f>
        <v>9.6634794652904432</v>
      </c>
      <c r="L101" s="230">
        <f>(SUM('1.  LRAMVA Summary'!G$54:G$68)+SUM('1.  LRAMVA Summary'!G$69:G$70)*(MONTH($E101)-1)/12)*$H101</f>
        <v>0</v>
      </c>
      <c r="M101" s="230">
        <f>(SUM('1.  LRAMVA Summary'!H$54:H$68)+SUM('1.  LRAMVA Summary'!H$69:H$70)*(MONTH($E101)-1)/12)*$H101</f>
        <v>0</v>
      </c>
      <c r="N101" s="230">
        <f>(SUM('1.  LRAMVA Summary'!I$54:I$68)+SUM('1.  LRAMVA Summary'!I$69:I$70)*(MONTH($E101)-1)/12)*$H101</f>
        <v>2.7031742833333334</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-10.730422122995655</v>
      </c>
    </row>
    <row r="102" spans="2:23" s="9" customFormat="1" ht="15.75" thickBot="1">
      <c r="B102" s="66"/>
      <c r="E102" s="216" t="s">
        <v>467</v>
      </c>
      <c r="F102" s="216"/>
      <c r="G102" s="217"/>
      <c r="H102" s="218"/>
      <c r="I102" s="219">
        <f>SUM(I89:I101)</f>
        <v>-2390.6652435252413</v>
      </c>
      <c r="J102" s="219">
        <f>SUM(J89:J101)</f>
        <v>1067.2504236492284</v>
      </c>
      <c r="K102" s="219">
        <f t="shared" ref="K102:O102" si="39">SUM(K89:K101)</f>
        <v>279.855953098719</v>
      </c>
      <c r="L102" s="219">
        <f t="shared" si="39"/>
        <v>0</v>
      </c>
      <c r="M102" s="219">
        <f t="shared" si="39"/>
        <v>0</v>
      </c>
      <c r="N102" s="219">
        <f t="shared" si="39"/>
        <v>16.219045699999999</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-1027.3398210772937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-2390.6652435252413</v>
      </c>
      <c r="J104" s="228">
        <f t="shared" ref="J104" si="41">J102+J103</f>
        <v>1067.2504236492284</v>
      </c>
      <c r="K104" s="228">
        <f t="shared" ref="K104" si="42">K102+K103</f>
        <v>279.855953098719</v>
      </c>
      <c r="L104" s="228">
        <f t="shared" ref="L104" si="43">L102+L103</f>
        <v>0</v>
      </c>
      <c r="M104" s="228">
        <f t="shared" ref="M104" si="44">M102+M103</f>
        <v>0</v>
      </c>
      <c r="N104" s="228">
        <f t="shared" ref="N104" si="45">N102+N103</f>
        <v>16.219045699999999</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-1027.3398210772937</v>
      </c>
    </row>
    <row r="105" spans="2:23" s="9" customFormat="1">
      <c r="B105" s="66"/>
      <c r="E105" s="214">
        <v>42736</v>
      </c>
      <c r="F105" s="214" t="s">
        <v>184</v>
      </c>
      <c r="G105" s="215" t="s">
        <v>65</v>
      </c>
      <c r="H105" s="240">
        <f>$C$39/12</f>
        <v>9.1666666666666665E-4</v>
      </c>
      <c r="I105" s="230">
        <f>(SUM('1.  LRAMVA Summary'!D$54:D$71)+SUM('1.  LRAMVA Summary'!D$72:D$73)*(MONTH($E105)-1)/12)*$H105</f>
        <v>-56.59147930149998</v>
      </c>
      <c r="J105" s="230">
        <f>(SUM('1.  LRAMVA Summary'!E$54:E$71)+SUM('1.  LRAMVA Summary'!E$72:E$73)*(MONTH($E105)-1)/12)*$H105</f>
        <v>33.413300242024995</v>
      </c>
      <c r="K105" s="230">
        <f>(SUM('1.  LRAMVA Summary'!F$54:F$71)+SUM('1.  LRAMVA Summary'!F$72:F$73)*(MONTH($E105)-1)/12)*$H105</f>
        <v>9.812719592712666</v>
      </c>
      <c r="L105" s="230">
        <f>(SUM('1.  LRAMVA Summary'!G$54:G$71)+SUM('1.  LRAMVA Summary'!G$72:G$73)*(MONTH($E105)-1)/12)*$H105</f>
        <v>0</v>
      </c>
      <c r="M105" s="230">
        <f>(SUM('1.  LRAMVA Summary'!H$54:H$71)+SUM('1.  LRAMVA Summary'!H$72:H$73)*(MONTH($E105)-1)/12)*$H105</f>
        <v>0</v>
      </c>
      <c r="N105" s="230">
        <f>(SUM('1.  LRAMVA Summary'!I$54:I$71)+SUM('1.  LRAMVA Summary'!I$72:I$73)*(MONTH($E105)-1)/12)*$H105</f>
        <v>2.9489174</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-10.416542066762318</v>
      </c>
    </row>
    <row r="106" spans="2:23" s="9" customFormat="1">
      <c r="B106" s="66"/>
      <c r="E106" s="214">
        <v>42767</v>
      </c>
      <c r="F106" s="214" t="s">
        <v>184</v>
      </c>
      <c r="G106" s="215" t="s">
        <v>65</v>
      </c>
      <c r="H106" s="240">
        <f t="shared" ref="H106:H107" si="48">$C$39/12</f>
        <v>9.1666666666666665E-4</v>
      </c>
      <c r="I106" s="230">
        <f>(SUM('1.  LRAMVA Summary'!D$54:D$71)+SUM('1.  LRAMVA Summary'!D$72:D$73)*(MONTH($E106)-1)/12)*$H106</f>
        <v>-56.968229767472202</v>
      </c>
      <c r="J106" s="230">
        <f>(SUM('1.  LRAMVA Summary'!E$54:E$71)+SUM('1.  LRAMVA Summary'!E$72:E$73)*(MONTH($E106)-1)/12)*$H106</f>
        <v>33.775967026602778</v>
      </c>
      <c r="K106" s="230">
        <f>(SUM('1.  LRAMVA Summary'!F$54:F$71)+SUM('1.  LRAMVA Summary'!F$72:F$73)*(MONTH($E106)-1)/12)*$H106</f>
        <v>9.959583152658638</v>
      </c>
      <c r="L106" s="230">
        <f>(SUM('1.  LRAMVA Summary'!G$54:G$71)+SUM('1.  LRAMVA Summary'!G$72:G$73)*(MONTH($E106)-1)/12)*$H106</f>
        <v>0</v>
      </c>
      <c r="M106" s="230">
        <f>(SUM('1.  LRAMVA Summary'!H$54:H$71)+SUM('1.  LRAMVA Summary'!H$72:H$73)*(MONTH($E106)-1)/12)*$H106</f>
        <v>0</v>
      </c>
      <c r="N106" s="230">
        <f>(SUM('1.  LRAMVA Summary'!I$54:I$71)+SUM('1.  LRAMVA Summary'!I$72:I$73)*(MONTH($E106)-1)/12)*$H106</f>
        <v>3.1757572000000001</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-10.056922388210786</v>
      </c>
    </row>
    <row r="107" spans="2:23" s="9" customFormat="1">
      <c r="B107" s="66"/>
      <c r="E107" s="214">
        <v>42795</v>
      </c>
      <c r="F107" s="214" t="s">
        <v>184</v>
      </c>
      <c r="G107" s="215" t="s">
        <v>65</v>
      </c>
      <c r="H107" s="240">
        <f t="shared" si="48"/>
        <v>9.1666666666666665E-4</v>
      </c>
      <c r="I107" s="230">
        <f>(SUM('1.  LRAMVA Summary'!D$54:D$71)+SUM('1.  LRAMVA Summary'!D$72:D$73)*(MONTH($E107)-1)/12)*$H107</f>
        <v>-57.344980233444424</v>
      </c>
      <c r="J107" s="230">
        <f>(SUM('1.  LRAMVA Summary'!E$54:E$71)+SUM('1.  LRAMVA Summary'!E$72:E$73)*(MONTH($E107)-1)/12)*$H107</f>
        <v>34.138633811180554</v>
      </c>
      <c r="K107" s="230">
        <f>(SUM('1.  LRAMVA Summary'!F$54:F$71)+SUM('1.  LRAMVA Summary'!F$72:F$73)*(MONTH($E107)-1)/12)*$H107</f>
        <v>10.10644671260461</v>
      </c>
      <c r="L107" s="230">
        <f>(SUM('1.  LRAMVA Summary'!G$54:G$71)+SUM('1.  LRAMVA Summary'!G$72:G$73)*(MONTH($E107)-1)/12)*$H107</f>
        <v>0</v>
      </c>
      <c r="M107" s="230">
        <f>(SUM('1.  LRAMVA Summary'!H$54:H$71)+SUM('1.  LRAMVA Summary'!H$72:H$73)*(MONTH($E107)-1)/12)*$H107</f>
        <v>0</v>
      </c>
      <c r="N107" s="230">
        <f>(SUM('1.  LRAMVA Summary'!I$54:I$71)+SUM('1.  LRAMVA Summary'!I$72:I$73)*(MONTH($E107)-1)/12)*$H107</f>
        <v>3.4025970000000005</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-9.6973027096592599</v>
      </c>
    </row>
    <row r="108" spans="2:23" s="8" customFormat="1">
      <c r="B108" s="239"/>
      <c r="E108" s="214">
        <v>42826</v>
      </c>
      <c r="F108" s="214" t="s">
        <v>184</v>
      </c>
      <c r="G108" s="215" t="s">
        <v>66</v>
      </c>
      <c r="H108" s="240">
        <f>$C$40/12</f>
        <v>9.1666666666666665E-4</v>
      </c>
      <c r="I108" s="230">
        <f>(SUM('1.  LRAMVA Summary'!D$54:D$71)+SUM('1.  LRAMVA Summary'!D$72:D$73)*(MONTH($E108)-1)/12)*$H108</f>
        <v>-57.721730699416646</v>
      </c>
      <c r="J108" s="230">
        <f>(SUM('1.  LRAMVA Summary'!E$54:E$71)+SUM('1.  LRAMVA Summary'!E$72:E$73)*(MONTH($E108)-1)/12)*$H108</f>
        <v>34.50130059575833</v>
      </c>
      <c r="K108" s="230">
        <f>(SUM('1.  LRAMVA Summary'!F$54:F$71)+SUM('1.  LRAMVA Summary'!F$72:F$73)*(MONTH($E108)-1)/12)*$H108</f>
        <v>10.253310272550582</v>
      </c>
      <c r="L108" s="230">
        <f>(SUM('1.  LRAMVA Summary'!G$54:G$71)+SUM('1.  LRAMVA Summary'!G$72:G$73)*(MONTH($E108)-1)/12)*$H108</f>
        <v>0</v>
      </c>
      <c r="M108" s="230">
        <f>(SUM('1.  LRAMVA Summary'!H$54:H$71)+SUM('1.  LRAMVA Summary'!H$72:H$73)*(MONTH($E108)-1)/12)*$H108</f>
        <v>0</v>
      </c>
      <c r="N108" s="230">
        <f>(SUM('1.  LRAMVA Summary'!I$54:I$71)+SUM('1.  LRAMVA Summary'!I$72:I$73)*(MONTH($E108)-1)/12)*$H108</f>
        <v>3.6294368000000006</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-9.3376830311077335</v>
      </c>
    </row>
    <row r="109" spans="2:23" s="9" customFormat="1">
      <c r="B109" s="66"/>
      <c r="E109" s="214">
        <v>42856</v>
      </c>
      <c r="F109" s="214" t="s">
        <v>184</v>
      </c>
      <c r="G109" s="215" t="s">
        <v>66</v>
      </c>
      <c r="H109" s="240">
        <f t="shared" ref="H109:H110" si="50">$C$40/12</f>
        <v>9.1666666666666665E-4</v>
      </c>
      <c r="I109" s="230">
        <f>(SUM('1.  LRAMVA Summary'!D$54:D$71)+SUM('1.  LRAMVA Summary'!D$72:D$73)*(MONTH($E109)-1)/12)*$H109</f>
        <v>-58.098481165388868</v>
      </c>
      <c r="J109" s="230">
        <f>(SUM('1.  LRAMVA Summary'!E$54:E$71)+SUM('1.  LRAMVA Summary'!E$72:E$73)*(MONTH($E109)-1)/12)*$H109</f>
        <v>34.863967380336113</v>
      </c>
      <c r="K109" s="230">
        <f>(SUM('1.  LRAMVA Summary'!F$54:F$71)+SUM('1.  LRAMVA Summary'!F$72:F$73)*(MONTH($E109)-1)/12)*$H109</f>
        <v>10.400173832496554</v>
      </c>
      <c r="L109" s="230">
        <f>(SUM('1.  LRAMVA Summary'!G$54:G$71)+SUM('1.  LRAMVA Summary'!G$72:G$73)*(MONTH($E109)-1)/12)*$H109</f>
        <v>0</v>
      </c>
      <c r="M109" s="230">
        <f>(SUM('1.  LRAMVA Summary'!H$54:H$71)+SUM('1.  LRAMVA Summary'!H$72:H$73)*(MONTH($E109)-1)/12)*$H109</f>
        <v>0</v>
      </c>
      <c r="N109" s="230">
        <f>(SUM('1.  LRAMVA Summary'!I$54:I$71)+SUM('1.  LRAMVA Summary'!I$72:I$73)*(MONTH($E109)-1)/12)*$H109</f>
        <v>3.8562766000000002</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-8.9780633525562017</v>
      </c>
    </row>
    <row r="110" spans="2:23" s="238" customFormat="1">
      <c r="B110" s="237"/>
      <c r="E110" s="214">
        <v>42887</v>
      </c>
      <c r="F110" s="214" t="s">
        <v>184</v>
      </c>
      <c r="G110" s="215" t="s">
        <v>66</v>
      </c>
      <c r="H110" s="240">
        <f t="shared" si="50"/>
        <v>9.1666666666666665E-4</v>
      </c>
      <c r="I110" s="230">
        <f>(SUM('1.  LRAMVA Summary'!D$54:D$71)+SUM('1.  LRAMVA Summary'!D$72:D$73)*(MONTH($E110)-1)/12)*$H110</f>
        <v>-58.47523163136109</v>
      </c>
      <c r="J110" s="230">
        <f>(SUM('1.  LRAMVA Summary'!E$54:E$71)+SUM('1.  LRAMVA Summary'!E$72:E$73)*(MONTH($E110)-1)/12)*$H110</f>
        <v>35.226634164913882</v>
      </c>
      <c r="K110" s="230">
        <f>(SUM('1.  LRAMVA Summary'!F$54:F$71)+SUM('1.  LRAMVA Summary'!F$72:F$73)*(MONTH($E110)-1)/12)*$H110</f>
        <v>10.547037392442526</v>
      </c>
      <c r="L110" s="230">
        <f>(SUM('1.  LRAMVA Summary'!G$54:G$71)+SUM('1.  LRAMVA Summary'!G$72:G$73)*(MONTH($E110)-1)/12)*$H110</f>
        <v>0</v>
      </c>
      <c r="M110" s="230">
        <f>(SUM('1.  LRAMVA Summary'!H$54:H$71)+SUM('1.  LRAMVA Summary'!H$72:H$73)*(MONTH($E110)-1)/12)*$H110</f>
        <v>0</v>
      </c>
      <c r="N110" s="230">
        <f>(SUM('1.  LRAMVA Summary'!I$54:I$71)+SUM('1.  LRAMVA Summary'!I$72:I$73)*(MONTH($E110)-1)/12)*$H110</f>
        <v>4.0831164000000006</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-8.6184436740046806</v>
      </c>
    </row>
    <row r="111" spans="2:23" s="9" customFormat="1">
      <c r="B111" s="66"/>
      <c r="E111" s="214">
        <v>42917</v>
      </c>
      <c r="F111" s="214" t="s">
        <v>184</v>
      </c>
      <c r="G111" s="215" t="s">
        <v>68</v>
      </c>
      <c r="H111" s="240">
        <f>$C$41/12</f>
        <v>9.1666666666666665E-4</v>
      </c>
      <c r="I111" s="230">
        <f>(SUM('1.  LRAMVA Summary'!D$54:D$71)+SUM('1.  LRAMVA Summary'!D$72:D$73)*(MONTH($E111)-1)/12)*$H111</f>
        <v>-58.851982097333313</v>
      </c>
      <c r="J111" s="230">
        <f>(SUM('1.  LRAMVA Summary'!E$54:E$71)+SUM('1.  LRAMVA Summary'!E$72:E$73)*(MONTH($E111)-1)/12)*$H111</f>
        <v>35.589300949491665</v>
      </c>
      <c r="K111" s="230">
        <f>(SUM('1.  LRAMVA Summary'!F$54:F$71)+SUM('1.  LRAMVA Summary'!F$72:F$73)*(MONTH($E111)-1)/12)*$H111</f>
        <v>10.6939009523885</v>
      </c>
      <c r="L111" s="230">
        <f>(SUM('1.  LRAMVA Summary'!G$54:G$71)+SUM('1.  LRAMVA Summary'!G$72:G$73)*(MONTH($E111)-1)/12)*$H111</f>
        <v>0</v>
      </c>
      <c r="M111" s="230">
        <f>(SUM('1.  LRAMVA Summary'!H$54:H$71)+SUM('1.  LRAMVA Summary'!H$72:H$73)*(MONTH($E111)-1)/12)*$H111</f>
        <v>0</v>
      </c>
      <c r="N111" s="230">
        <f>(SUM('1.  LRAMVA Summary'!I$54:I$71)+SUM('1.  LRAMVA Summary'!I$72:I$73)*(MONTH($E111)-1)/12)*$H111</f>
        <v>4.3099562000000002</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-8.258823995453147</v>
      </c>
    </row>
    <row r="112" spans="2:23" s="9" customFormat="1">
      <c r="B112" s="66"/>
      <c r="E112" s="214">
        <v>42948</v>
      </c>
      <c r="F112" s="214" t="s">
        <v>184</v>
      </c>
      <c r="G112" s="215" t="s">
        <v>68</v>
      </c>
      <c r="H112" s="240">
        <f t="shared" ref="H112:H113" si="51">$C$41/12</f>
        <v>9.1666666666666665E-4</v>
      </c>
      <c r="I112" s="230">
        <f>(SUM('1.  LRAMVA Summary'!D$54:D$71)+SUM('1.  LRAMVA Summary'!D$72:D$73)*(MONTH($E112)-1)/12)*$H112</f>
        <v>-59.228732563305535</v>
      </c>
      <c r="J112" s="230">
        <f>(SUM('1.  LRAMVA Summary'!E$54:E$71)+SUM('1.  LRAMVA Summary'!E$72:E$73)*(MONTH($E112)-1)/12)*$H112</f>
        <v>35.951967734069441</v>
      </c>
      <c r="K112" s="230">
        <f>(SUM('1.  LRAMVA Summary'!F$54:F$71)+SUM('1.  LRAMVA Summary'!F$72:F$73)*(MONTH($E112)-1)/12)*$H112</f>
        <v>10.84076451233447</v>
      </c>
      <c r="L112" s="230">
        <f>(SUM('1.  LRAMVA Summary'!G$54:G$71)+SUM('1.  LRAMVA Summary'!G$72:G$73)*(MONTH($E112)-1)/12)*$H112</f>
        <v>0</v>
      </c>
      <c r="M112" s="230">
        <f>(SUM('1.  LRAMVA Summary'!H$54:H$71)+SUM('1.  LRAMVA Summary'!H$72:H$73)*(MONTH($E112)-1)/12)*$H112</f>
        <v>0</v>
      </c>
      <c r="N112" s="230">
        <f>(SUM('1.  LRAMVA Summary'!I$54:I$71)+SUM('1.  LRAMVA Summary'!I$72:I$73)*(MONTH($E112)-1)/12)*$H112</f>
        <v>4.5367959999999998</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-7.8992043169016233</v>
      </c>
    </row>
    <row r="113" spans="2:23" s="9" customFormat="1">
      <c r="B113" s="66"/>
      <c r="E113" s="214">
        <v>42979</v>
      </c>
      <c r="F113" s="214" t="s">
        <v>184</v>
      </c>
      <c r="G113" s="215" t="s">
        <v>68</v>
      </c>
      <c r="H113" s="240">
        <f t="shared" si="51"/>
        <v>9.1666666666666665E-4</v>
      </c>
      <c r="I113" s="230">
        <f>(SUM('1.  LRAMVA Summary'!D$54:D$71)+SUM('1.  LRAMVA Summary'!D$72:D$73)*(MONTH($E113)-1)/12)*$H113</f>
        <v>-59.605483029277757</v>
      </c>
      <c r="J113" s="230">
        <f>(SUM('1.  LRAMVA Summary'!E$54:E$71)+SUM('1.  LRAMVA Summary'!E$72:E$73)*(MONTH($E113)-1)/12)*$H113</f>
        <v>36.314634518647225</v>
      </c>
      <c r="K113" s="230">
        <f>(SUM('1.  LRAMVA Summary'!F$54:F$71)+SUM('1.  LRAMVA Summary'!F$72:F$73)*(MONTH($E113)-1)/12)*$H113</f>
        <v>10.987628072280444</v>
      </c>
      <c r="L113" s="230">
        <f>(SUM('1.  LRAMVA Summary'!G$54:G$71)+SUM('1.  LRAMVA Summary'!G$72:G$73)*(MONTH($E113)-1)/12)*$H113</f>
        <v>0</v>
      </c>
      <c r="M113" s="230">
        <f>(SUM('1.  LRAMVA Summary'!H$54:H$71)+SUM('1.  LRAMVA Summary'!H$72:H$73)*(MONTH($E113)-1)/12)*$H113</f>
        <v>0</v>
      </c>
      <c r="N113" s="230">
        <f>(SUM('1.  LRAMVA Summary'!I$54:I$71)+SUM('1.  LRAMVA Summary'!I$72:I$73)*(MONTH($E113)-1)/12)*$H113</f>
        <v>4.7636358000000003</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-7.539584638350088</v>
      </c>
    </row>
    <row r="114" spans="2:23" s="9" customFormat="1">
      <c r="B114" s="66"/>
      <c r="E114" s="214">
        <v>43009</v>
      </c>
      <c r="F114" s="214" t="s">
        <v>184</v>
      </c>
      <c r="G114" s="215" t="s">
        <v>69</v>
      </c>
      <c r="H114" s="240">
        <f>$C$42/12</f>
        <v>1.25E-3</v>
      </c>
      <c r="I114" s="230">
        <f>(SUM('1.  LRAMVA Summary'!D$54:D$71)+SUM('1.  LRAMVA Summary'!D$72:D$73)*(MONTH($E114)-1)/12)*$H114</f>
        <v>-81.793954766249968</v>
      </c>
      <c r="J114" s="230">
        <f>(SUM('1.  LRAMVA Summary'!E$54:E$71)+SUM('1.  LRAMVA Summary'!E$72:E$73)*(MONTH($E114)-1)/12)*$H114</f>
        <v>50.014501777124998</v>
      </c>
      <c r="K114" s="230">
        <f>(SUM('1.  LRAMVA Summary'!F$54:F$71)+SUM('1.  LRAMVA Summary'!F$72:F$73)*(MONTH($E114)-1)/12)*$H114</f>
        <v>15.183397680308749</v>
      </c>
      <c r="L114" s="230">
        <f>(SUM('1.  LRAMVA Summary'!G$54:G$71)+SUM('1.  LRAMVA Summary'!G$72:G$73)*(MONTH($E114)-1)/12)*$H114</f>
        <v>0</v>
      </c>
      <c r="M114" s="230">
        <f>(SUM('1.  LRAMVA Summary'!H$54:H$71)+SUM('1.  LRAMVA Summary'!H$72:H$73)*(MONTH($E114)-1)/12)*$H114</f>
        <v>0</v>
      </c>
      <c r="N114" s="230">
        <f>(SUM('1.  LRAMVA Summary'!I$54:I$71)+SUM('1.  LRAMVA Summary'!I$72:I$73)*(MONTH($E114)-1)/12)*$H114</f>
        <v>6.8051940000000002</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-9.7908613088162184</v>
      </c>
    </row>
    <row r="115" spans="2:23" s="9" customFormat="1">
      <c r="B115" s="66"/>
      <c r="E115" s="214">
        <v>43040</v>
      </c>
      <c r="F115" s="214" t="s">
        <v>184</v>
      </c>
      <c r="G115" s="215" t="s">
        <v>69</v>
      </c>
      <c r="H115" s="240">
        <f t="shared" ref="H115:H116" si="52">$C$42/12</f>
        <v>1.25E-3</v>
      </c>
      <c r="I115" s="230">
        <f>(SUM('1.  LRAMVA Summary'!D$54:D$71)+SUM('1.  LRAMVA Summary'!D$72:D$73)*(MONTH($E115)-1)/12)*$H115</f>
        <v>-82.307705401666652</v>
      </c>
      <c r="J115" s="230">
        <f>(SUM('1.  LRAMVA Summary'!E$54:E$71)+SUM('1.  LRAMVA Summary'!E$72:E$73)*(MONTH($E115)-1)/12)*$H115</f>
        <v>50.509047392458335</v>
      </c>
      <c r="K115" s="230">
        <f>(SUM('1.  LRAMVA Summary'!F$54:F$71)+SUM('1.  LRAMVA Summary'!F$72:F$73)*(MONTH($E115)-1)/12)*$H115</f>
        <v>15.383666171144167</v>
      </c>
      <c r="L115" s="230">
        <f>(SUM('1.  LRAMVA Summary'!G$54:G$71)+SUM('1.  LRAMVA Summary'!G$72:G$73)*(MONTH($E115)-1)/12)*$H115</f>
        <v>0</v>
      </c>
      <c r="M115" s="230">
        <f>(SUM('1.  LRAMVA Summary'!H$54:H$71)+SUM('1.  LRAMVA Summary'!H$72:H$73)*(MONTH($E115)-1)/12)*$H115</f>
        <v>0</v>
      </c>
      <c r="N115" s="230">
        <f>(SUM('1.  LRAMVA Summary'!I$54:I$71)+SUM('1.  LRAMVA Summary'!I$72:I$73)*(MONTH($E115)-1)/12)*$H115</f>
        <v>7.1145209999999999</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-9.3004708380641503</v>
      </c>
    </row>
    <row r="116" spans="2:23" s="9" customFormat="1">
      <c r="B116" s="66"/>
      <c r="E116" s="214">
        <v>43070</v>
      </c>
      <c r="F116" s="214" t="s">
        <v>184</v>
      </c>
      <c r="G116" s="215" t="s">
        <v>69</v>
      </c>
      <c r="H116" s="240">
        <f t="shared" si="52"/>
        <v>1.25E-3</v>
      </c>
      <c r="I116" s="230">
        <f>(SUM('1.  LRAMVA Summary'!D$54:D$71)+SUM('1.  LRAMVA Summary'!D$72:D$73)*(MONTH($E116)-1)/12)*$H116</f>
        <v>-82.821456037083294</v>
      </c>
      <c r="J116" s="230">
        <f>(SUM('1.  LRAMVA Summary'!E$54:E$71)+SUM('1.  LRAMVA Summary'!E$72:E$73)*(MONTH($E116)-1)/12)*$H116</f>
        <v>51.003593007791672</v>
      </c>
      <c r="K116" s="230">
        <f>(SUM('1.  LRAMVA Summary'!F$54:F$71)+SUM('1.  LRAMVA Summary'!F$72:F$73)*(MONTH($E116)-1)/12)*$H116</f>
        <v>15.583934661979583</v>
      </c>
      <c r="L116" s="230">
        <f>(SUM('1.  LRAMVA Summary'!G$54:G$71)+SUM('1.  LRAMVA Summary'!G$72:G$73)*(MONTH($E116)-1)/12)*$H116</f>
        <v>0</v>
      </c>
      <c r="M116" s="230">
        <f>(SUM('1.  LRAMVA Summary'!H$54:H$71)+SUM('1.  LRAMVA Summary'!H$72:H$73)*(MONTH($E116)-1)/12)*$H116</f>
        <v>0</v>
      </c>
      <c r="N116" s="230">
        <f>(SUM('1.  LRAMVA Summary'!I$54:I$71)+SUM('1.  LRAMVA Summary'!I$72:I$73)*(MONTH($E116)-1)/12)*$H116</f>
        <v>7.4238480000000004</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-8.8100803673120396</v>
      </c>
    </row>
    <row r="117" spans="2:23" s="9" customFormat="1" ht="15.75" thickBot="1">
      <c r="B117" s="66"/>
      <c r="E117" s="216" t="s">
        <v>468</v>
      </c>
      <c r="F117" s="216"/>
      <c r="G117" s="217"/>
      <c r="H117" s="218"/>
      <c r="I117" s="219">
        <f>SUM(I104:I116)</f>
        <v>-3160.4746902187412</v>
      </c>
      <c r="J117" s="219">
        <f>SUM(J104:J116)</f>
        <v>1532.5532722496282</v>
      </c>
      <c r="K117" s="219">
        <f t="shared" ref="K117:O117" si="53">SUM(K104:K116)</f>
        <v>419.60851610462049</v>
      </c>
      <c r="L117" s="219">
        <f t="shared" si="53"/>
        <v>0</v>
      </c>
      <c r="M117" s="219">
        <f t="shared" si="53"/>
        <v>0</v>
      </c>
      <c r="N117" s="219">
        <f t="shared" si="53"/>
        <v>72.269098100000008</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-1136.0438037644919</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-3160.4746902187412</v>
      </c>
      <c r="J119" s="228">
        <f t="shared" ref="J119" si="55">J117+J118</f>
        <v>1532.5532722496282</v>
      </c>
      <c r="K119" s="228">
        <f t="shared" ref="K119" si="56">K117+K118</f>
        <v>419.60851610462049</v>
      </c>
      <c r="L119" s="228">
        <f t="shared" ref="L119" si="57">L117+L118</f>
        <v>0</v>
      </c>
      <c r="M119" s="228">
        <f t="shared" ref="M119" si="58">M117+M118</f>
        <v>0</v>
      </c>
      <c r="N119" s="228">
        <f t="shared" ref="N119" si="59">N117+N118</f>
        <v>72.269098100000008</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-1136.0438037644919</v>
      </c>
    </row>
    <row r="120" spans="2:23" s="9" customFormat="1">
      <c r="B120" s="66"/>
      <c r="E120" s="214">
        <v>43101</v>
      </c>
      <c r="F120" s="214" t="s">
        <v>185</v>
      </c>
      <c r="G120" s="215" t="s">
        <v>65</v>
      </c>
      <c r="H120" s="240">
        <f>$C$43/12</f>
        <v>1.25E-3</v>
      </c>
      <c r="I120" s="230">
        <f>(SUM('1.  LRAMVA Summary'!D$54:D$74)+SUM('1.  LRAMVA Summary'!D$75:D$76)*(MONTH($E120)-1)/12)*$H120</f>
        <v>-83.335206672499979</v>
      </c>
      <c r="J120" s="230">
        <f>(SUM('1.  LRAMVA Summary'!E$54:E$74)+SUM('1.  LRAMVA Summary'!E$75:E$76)*(MONTH($E120)-1)/12)*$H120</f>
        <v>51.498138623124994</v>
      </c>
      <c r="K120" s="230">
        <f>(SUM('1.  LRAMVA Summary'!F$54:F$74)+SUM('1.  LRAMVA Summary'!F$75:F$76)*(MONTH($E120)-1)/12)*$H120</f>
        <v>15.784203152815001</v>
      </c>
      <c r="L120" s="230">
        <f>(SUM('1.  LRAMVA Summary'!G$54:G$74)+SUM('1.  LRAMVA Summary'!G$75:G$76)*(MONTH($E120)-1)/12)*$H120</f>
        <v>0</v>
      </c>
      <c r="M120" s="230">
        <f>(SUM('1.  LRAMVA Summary'!H$54:H$74)+SUM('1.  LRAMVA Summary'!H$75:H$76)*(MONTH($E120)-1)/12)*$H120</f>
        <v>0</v>
      </c>
      <c r="N120" s="230">
        <f>(SUM('1.  LRAMVA Summary'!I$54:I$74)+SUM('1.  LRAMVA Summary'!I$75:I$76)*(MONTH($E120)-1)/12)*$H120</f>
        <v>7.733175000000001</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-8.3196898965599804</v>
      </c>
    </row>
    <row r="121" spans="2:23" s="9" customFormat="1">
      <c r="B121" s="66"/>
      <c r="E121" s="214">
        <v>43132</v>
      </c>
      <c r="F121" s="214" t="s">
        <v>185</v>
      </c>
      <c r="G121" s="215" t="s">
        <v>65</v>
      </c>
      <c r="H121" s="240">
        <f t="shared" ref="H121:H122" si="62">$C$43/12</f>
        <v>1.25E-3</v>
      </c>
      <c r="I121" s="230">
        <f>(SUM('1.  LRAMVA Summary'!D$54:D$74)+SUM('1.  LRAMVA Summary'!D$75:D$76)*(MONTH($E121)-1)/12)*$H121</f>
        <v>-83.335206672499979</v>
      </c>
      <c r="J121" s="230">
        <f>(SUM('1.  LRAMVA Summary'!E$54:E$74)+SUM('1.  LRAMVA Summary'!E$75:E$76)*(MONTH($E121)-1)/12)*$H121</f>
        <v>51.498138623124994</v>
      </c>
      <c r="K121" s="230">
        <f>(SUM('1.  LRAMVA Summary'!F$54:F$74)+SUM('1.  LRAMVA Summary'!F$75:F$76)*(MONTH($E121)-1)/12)*$H121</f>
        <v>15.784203152815001</v>
      </c>
      <c r="L121" s="230">
        <f>(SUM('1.  LRAMVA Summary'!G$54:G$74)+SUM('1.  LRAMVA Summary'!G$75:G$76)*(MONTH($E121)-1)/12)*$H121</f>
        <v>0</v>
      </c>
      <c r="M121" s="230">
        <f>(SUM('1.  LRAMVA Summary'!H$54:H$74)+SUM('1.  LRAMVA Summary'!H$75:H$76)*(MONTH($E121)-1)/12)*$H121</f>
        <v>0</v>
      </c>
      <c r="N121" s="230">
        <f>(SUM('1.  LRAMVA Summary'!I$54:I$74)+SUM('1.  LRAMVA Summary'!I$75:I$76)*(MONTH($E121)-1)/12)*$H121</f>
        <v>7.733175000000001</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-8.3196898965599804</v>
      </c>
    </row>
    <row r="122" spans="2:23" s="9" customFormat="1">
      <c r="B122" s="66"/>
      <c r="E122" s="214">
        <v>43160</v>
      </c>
      <c r="F122" s="214" t="s">
        <v>185</v>
      </c>
      <c r="G122" s="215" t="s">
        <v>65</v>
      </c>
      <c r="H122" s="240">
        <f t="shared" si="62"/>
        <v>1.25E-3</v>
      </c>
      <c r="I122" s="230">
        <f>(SUM('1.  LRAMVA Summary'!D$54:D$74)+SUM('1.  LRAMVA Summary'!D$75:D$76)*(MONTH($E122)-1)/12)*$H122</f>
        <v>-83.335206672499979</v>
      </c>
      <c r="J122" s="230">
        <f>(SUM('1.  LRAMVA Summary'!E$54:E$74)+SUM('1.  LRAMVA Summary'!E$75:E$76)*(MONTH($E122)-1)/12)*$H122</f>
        <v>51.498138623124994</v>
      </c>
      <c r="K122" s="230">
        <f>(SUM('1.  LRAMVA Summary'!F$54:F$74)+SUM('1.  LRAMVA Summary'!F$75:F$76)*(MONTH($E122)-1)/12)*$H122</f>
        <v>15.784203152815001</v>
      </c>
      <c r="L122" s="230">
        <f>(SUM('1.  LRAMVA Summary'!G$54:G$74)+SUM('1.  LRAMVA Summary'!G$75:G$76)*(MONTH($E122)-1)/12)*$H122</f>
        <v>0</v>
      </c>
      <c r="M122" s="230">
        <f>(SUM('1.  LRAMVA Summary'!H$54:H$74)+SUM('1.  LRAMVA Summary'!H$75:H$76)*(MONTH($E122)-1)/12)*$H122</f>
        <v>0</v>
      </c>
      <c r="N122" s="230">
        <f>(SUM('1.  LRAMVA Summary'!I$54:I$74)+SUM('1.  LRAMVA Summary'!I$75:I$76)*(MONTH($E122)-1)/12)*$H122</f>
        <v>7.733175000000001</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-8.3196898965599804</v>
      </c>
    </row>
    <row r="123" spans="2:23" s="8" customFormat="1">
      <c r="B123" s="239"/>
      <c r="E123" s="214">
        <v>43191</v>
      </c>
      <c r="F123" s="214" t="s">
        <v>185</v>
      </c>
      <c r="G123" s="215" t="s">
        <v>66</v>
      </c>
      <c r="H123" s="240">
        <f>$C$44/12</f>
        <v>1.575E-3</v>
      </c>
      <c r="I123" s="230">
        <f>(SUM('1.  LRAMVA Summary'!D$54:D$74)+SUM('1.  LRAMVA Summary'!D$75:D$76)*(MONTH($E123)-1)/12)*$H123</f>
        <v>-105.00236040734997</v>
      </c>
      <c r="J123" s="230">
        <f>(SUM('1.  LRAMVA Summary'!E$54:E$74)+SUM('1.  LRAMVA Summary'!E$75:E$76)*(MONTH($E123)-1)/12)*$H123</f>
        <v>64.887654665137489</v>
      </c>
      <c r="K123" s="230">
        <f>(SUM('1.  LRAMVA Summary'!F$54:F$74)+SUM('1.  LRAMVA Summary'!F$75:F$76)*(MONTH($E123)-1)/12)*$H123</f>
        <v>19.8880959725469</v>
      </c>
      <c r="L123" s="230">
        <f>(SUM('1.  LRAMVA Summary'!G$54:G$74)+SUM('1.  LRAMVA Summary'!G$75:G$76)*(MONTH($E123)-1)/12)*$H123</f>
        <v>0</v>
      </c>
      <c r="M123" s="230">
        <f>(SUM('1.  LRAMVA Summary'!H$54:H$74)+SUM('1.  LRAMVA Summary'!H$75:H$76)*(MONTH($E123)-1)/12)*$H123</f>
        <v>0</v>
      </c>
      <c r="N123" s="230">
        <f>(SUM('1.  LRAMVA Summary'!I$54:I$74)+SUM('1.  LRAMVA Summary'!I$75:I$76)*(MONTH($E123)-1)/12)*$H123</f>
        <v>9.7438005000000008</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-10.482809269665578</v>
      </c>
    </row>
    <row r="124" spans="2:23" s="9" customFormat="1">
      <c r="B124" s="66"/>
      <c r="E124" s="214">
        <v>43221</v>
      </c>
      <c r="F124" s="214" t="s">
        <v>185</v>
      </c>
      <c r="G124" s="215" t="s">
        <v>66</v>
      </c>
      <c r="H124" s="240">
        <f t="shared" ref="H124:H125" si="64">$C$44/12</f>
        <v>1.575E-3</v>
      </c>
      <c r="I124" s="230">
        <f>(SUM('1.  LRAMVA Summary'!D$54:D$74)+SUM('1.  LRAMVA Summary'!D$75:D$76)*(MONTH($E124)-1)/12)*$H124</f>
        <v>-105.00236040734997</v>
      </c>
      <c r="J124" s="230">
        <f>(SUM('1.  LRAMVA Summary'!E$54:E$74)+SUM('1.  LRAMVA Summary'!E$75:E$76)*(MONTH($E124)-1)/12)*$H124</f>
        <v>64.887654665137489</v>
      </c>
      <c r="K124" s="230">
        <f>(SUM('1.  LRAMVA Summary'!F$54:F$74)+SUM('1.  LRAMVA Summary'!F$75:F$76)*(MONTH($E124)-1)/12)*$H124</f>
        <v>19.8880959725469</v>
      </c>
      <c r="L124" s="230">
        <f>(SUM('1.  LRAMVA Summary'!G$54:G$74)+SUM('1.  LRAMVA Summary'!G$75:G$76)*(MONTH($E124)-1)/12)*$H124</f>
        <v>0</v>
      </c>
      <c r="M124" s="230">
        <f>(SUM('1.  LRAMVA Summary'!H$54:H$74)+SUM('1.  LRAMVA Summary'!H$75:H$76)*(MONTH($E124)-1)/12)*$H124</f>
        <v>0</v>
      </c>
      <c r="N124" s="230">
        <f>(SUM('1.  LRAMVA Summary'!I$54:I$74)+SUM('1.  LRAMVA Summary'!I$75:I$76)*(MONTH($E124)-1)/12)*$H124</f>
        <v>9.7438005000000008</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-10.482809269665578</v>
      </c>
    </row>
    <row r="125" spans="2:23" s="238" customFormat="1">
      <c r="B125" s="237"/>
      <c r="E125" s="214">
        <v>43252</v>
      </c>
      <c r="F125" s="214" t="s">
        <v>185</v>
      </c>
      <c r="G125" s="215" t="s">
        <v>66</v>
      </c>
      <c r="H125" s="240">
        <f t="shared" si="64"/>
        <v>1.575E-3</v>
      </c>
      <c r="I125" s="230">
        <f>(SUM('1.  LRAMVA Summary'!D$54:D$74)+SUM('1.  LRAMVA Summary'!D$75:D$76)*(MONTH($E125)-1)/12)*$H125</f>
        <v>-105.00236040734997</v>
      </c>
      <c r="J125" s="230">
        <f>(SUM('1.  LRAMVA Summary'!E$54:E$74)+SUM('1.  LRAMVA Summary'!E$75:E$76)*(MONTH($E125)-1)/12)*$H125</f>
        <v>64.887654665137489</v>
      </c>
      <c r="K125" s="230">
        <f>(SUM('1.  LRAMVA Summary'!F$54:F$74)+SUM('1.  LRAMVA Summary'!F$75:F$76)*(MONTH($E125)-1)/12)*$H125</f>
        <v>19.8880959725469</v>
      </c>
      <c r="L125" s="230">
        <f>(SUM('1.  LRAMVA Summary'!G$54:G$74)+SUM('1.  LRAMVA Summary'!G$75:G$76)*(MONTH($E125)-1)/12)*$H125</f>
        <v>0</v>
      </c>
      <c r="M125" s="230">
        <f>(SUM('1.  LRAMVA Summary'!H$54:H$74)+SUM('1.  LRAMVA Summary'!H$75:H$76)*(MONTH($E125)-1)/12)*$H125</f>
        <v>0</v>
      </c>
      <c r="N125" s="230">
        <f>(SUM('1.  LRAMVA Summary'!I$54:I$74)+SUM('1.  LRAMVA Summary'!I$75:I$76)*(MONTH($E125)-1)/12)*$H125</f>
        <v>9.7438005000000008</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-10.482809269665578</v>
      </c>
    </row>
    <row r="126" spans="2:23" s="9" customFormat="1">
      <c r="B126" s="66"/>
      <c r="E126" s="214">
        <v>43282</v>
      </c>
      <c r="F126" s="214" t="s">
        <v>185</v>
      </c>
      <c r="G126" s="215" t="s">
        <v>68</v>
      </c>
      <c r="H126" s="240">
        <f>$C$45/12</f>
        <v>1.575E-3</v>
      </c>
      <c r="I126" s="230">
        <f>(SUM('1.  LRAMVA Summary'!D$54:D$74)+SUM('1.  LRAMVA Summary'!D$75:D$76)*(MONTH($E126)-1)/12)*$H126</f>
        <v>-105.00236040734997</v>
      </c>
      <c r="J126" s="230">
        <f>(SUM('1.  LRAMVA Summary'!E$54:E$74)+SUM('1.  LRAMVA Summary'!E$75:E$76)*(MONTH($E126)-1)/12)*$H126</f>
        <v>64.887654665137489</v>
      </c>
      <c r="K126" s="230">
        <f>(SUM('1.  LRAMVA Summary'!F$54:F$74)+SUM('1.  LRAMVA Summary'!F$75:F$76)*(MONTH($E126)-1)/12)*$H126</f>
        <v>19.8880959725469</v>
      </c>
      <c r="L126" s="230">
        <f>(SUM('1.  LRAMVA Summary'!G$54:G$74)+SUM('1.  LRAMVA Summary'!G$75:G$76)*(MONTH($E126)-1)/12)*$H126</f>
        <v>0</v>
      </c>
      <c r="M126" s="230">
        <f>(SUM('1.  LRAMVA Summary'!H$54:H$74)+SUM('1.  LRAMVA Summary'!H$75:H$76)*(MONTH($E126)-1)/12)*$H126</f>
        <v>0</v>
      </c>
      <c r="N126" s="230">
        <f>(SUM('1.  LRAMVA Summary'!I$54:I$74)+SUM('1.  LRAMVA Summary'!I$75:I$76)*(MONTH($E126)-1)/12)*$H126</f>
        <v>9.7438005000000008</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-10.482809269665578</v>
      </c>
    </row>
    <row r="127" spans="2:23" s="9" customFormat="1">
      <c r="B127" s="66"/>
      <c r="E127" s="214">
        <v>43313</v>
      </c>
      <c r="F127" s="214" t="s">
        <v>185</v>
      </c>
      <c r="G127" s="215" t="s">
        <v>68</v>
      </c>
      <c r="H127" s="240">
        <f t="shared" ref="H127:H128" si="65">$C$45/12</f>
        <v>1.575E-3</v>
      </c>
      <c r="I127" s="230">
        <f>(SUM('1.  LRAMVA Summary'!D$54:D$74)+SUM('1.  LRAMVA Summary'!D$75:D$76)*(MONTH($E127)-1)/12)*$H127</f>
        <v>-105.00236040734997</v>
      </c>
      <c r="J127" s="230">
        <f>(SUM('1.  LRAMVA Summary'!E$54:E$74)+SUM('1.  LRAMVA Summary'!E$75:E$76)*(MONTH($E127)-1)/12)*$H127</f>
        <v>64.887654665137489</v>
      </c>
      <c r="K127" s="230">
        <f>(SUM('1.  LRAMVA Summary'!F$54:F$74)+SUM('1.  LRAMVA Summary'!F$75:F$76)*(MONTH($E127)-1)/12)*$H127</f>
        <v>19.8880959725469</v>
      </c>
      <c r="L127" s="230">
        <f>(SUM('1.  LRAMVA Summary'!G$54:G$74)+SUM('1.  LRAMVA Summary'!G$75:G$76)*(MONTH($E127)-1)/12)*$H127</f>
        <v>0</v>
      </c>
      <c r="M127" s="230">
        <f>(SUM('1.  LRAMVA Summary'!H$54:H$74)+SUM('1.  LRAMVA Summary'!H$75:H$76)*(MONTH($E127)-1)/12)*$H127</f>
        <v>0</v>
      </c>
      <c r="N127" s="230">
        <f>(SUM('1.  LRAMVA Summary'!I$54:I$74)+SUM('1.  LRAMVA Summary'!I$75:I$76)*(MONTH($E127)-1)/12)*$H127</f>
        <v>9.7438005000000008</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-10.482809269665578</v>
      </c>
    </row>
    <row r="128" spans="2:23" s="9" customFormat="1">
      <c r="B128" s="66"/>
      <c r="E128" s="214">
        <v>43344</v>
      </c>
      <c r="F128" s="214" t="s">
        <v>185</v>
      </c>
      <c r="G128" s="215" t="s">
        <v>68</v>
      </c>
      <c r="H128" s="240">
        <f t="shared" si="65"/>
        <v>1.575E-3</v>
      </c>
      <c r="I128" s="230">
        <f>(SUM('1.  LRAMVA Summary'!D$54:D$74)+SUM('1.  LRAMVA Summary'!D$75:D$76)*(MONTH($E128)-1)/12)*$H128</f>
        <v>-105.00236040734997</v>
      </c>
      <c r="J128" s="230">
        <f>(SUM('1.  LRAMVA Summary'!E$54:E$74)+SUM('1.  LRAMVA Summary'!E$75:E$76)*(MONTH($E128)-1)/12)*$H128</f>
        <v>64.887654665137489</v>
      </c>
      <c r="K128" s="230">
        <f>(SUM('1.  LRAMVA Summary'!F$54:F$74)+SUM('1.  LRAMVA Summary'!F$75:F$76)*(MONTH($E128)-1)/12)*$H128</f>
        <v>19.8880959725469</v>
      </c>
      <c r="L128" s="230">
        <f>(SUM('1.  LRAMVA Summary'!G$54:G$74)+SUM('1.  LRAMVA Summary'!G$75:G$76)*(MONTH($E128)-1)/12)*$H128</f>
        <v>0</v>
      </c>
      <c r="M128" s="230">
        <f>(SUM('1.  LRAMVA Summary'!H$54:H$74)+SUM('1.  LRAMVA Summary'!H$75:H$76)*(MONTH($E128)-1)/12)*$H128</f>
        <v>0</v>
      </c>
      <c r="N128" s="230">
        <f>(SUM('1.  LRAMVA Summary'!I$54:I$74)+SUM('1.  LRAMVA Summary'!I$75:I$76)*(MONTH($E128)-1)/12)*$H128</f>
        <v>9.7438005000000008</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-10.482809269665578</v>
      </c>
    </row>
    <row r="129" spans="2:23" s="9" customFormat="1">
      <c r="B129" s="66"/>
      <c r="E129" s="214">
        <v>43374</v>
      </c>
      <c r="F129" s="214" t="s">
        <v>185</v>
      </c>
      <c r="G129" s="215" t="s">
        <v>69</v>
      </c>
      <c r="H129" s="240">
        <f>$C$46/12</f>
        <v>0</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0</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0</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469</v>
      </c>
      <c r="F132" s="216"/>
      <c r="G132" s="217"/>
      <c r="H132" s="218"/>
      <c r="I132" s="219">
        <f>SUM(I119:I131)</f>
        <v>-4040.494472680341</v>
      </c>
      <c r="J132" s="219">
        <f>SUM(J119:J131)</f>
        <v>2076.3736161098282</v>
      </c>
      <c r="K132" s="219">
        <f t="shared" ref="K132:O132" si="67">SUM(K119:K131)</f>
        <v>586.28970139834701</v>
      </c>
      <c r="L132" s="219">
        <f t="shared" si="67"/>
        <v>0</v>
      </c>
      <c r="M132" s="219">
        <f t="shared" si="67"/>
        <v>0</v>
      </c>
      <c r="N132" s="219">
        <f t="shared" si="67"/>
        <v>153.93142610000001</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-1223.899729072165</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-4040.494472680341</v>
      </c>
      <c r="J134" s="228">
        <f t="shared" ref="J134" si="69">J132+J133</f>
        <v>2076.3736161098282</v>
      </c>
      <c r="K134" s="228">
        <f t="shared" ref="K134" si="70">K132+K133</f>
        <v>586.28970139834701</v>
      </c>
      <c r="L134" s="228">
        <f t="shared" ref="L134" si="71">L132+L133</f>
        <v>0</v>
      </c>
      <c r="M134" s="228">
        <f t="shared" ref="M134" si="72">M132+M133</f>
        <v>0</v>
      </c>
      <c r="N134" s="228">
        <f t="shared" ref="N134" si="73">N132+N133</f>
        <v>153.93142610000001</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-1223.899729072165</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470</v>
      </c>
      <c r="F147" s="216"/>
      <c r="G147" s="217"/>
      <c r="H147" s="218"/>
      <c r="I147" s="219">
        <f>SUM(I134:I146)</f>
        <v>-4040.494472680341</v>
      </c>
      <c r="J147" s="219">
        <f>SUM(J134:J146)</f>
        <v>2076.3736161098282</v>
      </c>
      <c r="K147" s="219">
        <f t="shared" ref="K147:O147" si="80">SUM(K134:K146)</f>
        <v>586.28970139834701</v>
      </c>
      <c r="L147" s="219">
        <f t="shared" si="80"/>
        <v>0</v>
      </c>
      <c r="M147" s="219">
        <f t="shared" si="80"/>
        <v>0</v>
      </c>
      <c r="N147" s="219">
        <f t="shared" si="80"/>
        <v>153.93142610000001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-1223.899729072165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-4040.494472680341</v>
      </c>
      <c r="J149" s="228">
        <f t="shared" ref="J149" si="82">J147+J148</f>
        <v>2076.3736161098282</v>
      </c>
      <c r="K149" s="228">
        <f t="shared" ref="K149" si="83">K147+K148</f>
        <v>586.28970139834701</v>
      </c>
      <c r="L149" s="228">
        <f t="shared" ref="L149" si="84">L147+L148</f>
        <v>0</v>
      </c>
      <c r="M149" s="228">
        <f t="shared" ref="M149" si="85">M147+M148</f>
        <v>0</v>
      </c>
      <c r="N149" s="228">
        <f t="shared" ref="N149" si="86">N147+N148</f>
        <v>153.93142610000001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-1223.899729072165</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471</v>
      </c>
      <c r="F162" s="216"/>
      <c r="G162" s="217"/>
      <c r="H162" s="218"/>
      <c r="I162" s="219">
        <f>SUM(I149:I161)</f>
        <v>-4040.494472680341</v>
      </c>
      <c r="J162" s="219">
        <f>SUM(J149:J161)</f>
        <v>2076.3736161098282</v>
      </c>
      <c r="K162" s="219">
        <f t="shared" ref="K162:O162" si="93">SUM(K149:K161)</f>
        <v>586.28970139834701</v>
      </c>
      <c r="L162" s="219">
        <f t="shared" si="93"/>
        <v>0</v>
      </c>
      <c r="M162" s="219">
        <f t="shared" si="93"/>
        <v>0</v>
      </c>
      <c r="N162" s="219">
        <f t="shared" si="93"/>
        <v>153.93142610000001</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-1223.899729072165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529</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407</v>
      </c>
      <c r="E13" s="17"/>
      <c r="F13" s="177"/>
      <c r="G13" s="178"/>
      <c r="H13" s="179"/>
      <c r="K13" s="179"/>
      <c r="L13" s="177"/>
      <c r="M13" s="177"/>
      <c r="N13" s="177"/>
      <c r="O13" s="177"/>
      <c r="P13" s="177"/>
      <c r="Q13" s="180"/>
    </row>
    <row r="14" spans="2:73" ht="30" customHeight="1" outlineLevel="1" thickBot="1">
      <c r="B14" s="90"/>
      <c r="D14" s="609" t="s">
        <v>554</v>
      </c>
      <c r="I14" s="12"/>
      <c r="J14" s="12"/>
      <c r="BU14" s="12"/>
    </row>
    <row r="15" spans="2:73" ht="26.25" customHeight="1" outlineLevel="1">
      <c r="C15" s="90"/>
      <c r="I15" s="12"/>
      <c r="J15" s="12"/>
    </row>
    <row r="16" spans="2:73" ht="23.25" customHeight="1" outlineLevel="1">
      <c r="B16" s="116" t="s">
        <v>507</v>
      </c>
      <c r="C16" s="90"/>
      <c r="D16" s="614" t="s">
        <v>626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620</v>
      </c>
      <c r="C17" s="90"/>
      <c r="D17" s="610" t="s">
        <v>598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633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632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634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644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603</v>
      </c>
      <c r="H23" s="10"/>
      <c r="I23" s="10"/>
      <c r="J23" s="10"/>
    </row>
    <row r="24" spans="2:73" s="669" customFormat="1" ht="21" customHeight="1">
      <c r="B24" s="701" t="s">
        <v>607</v>
      </c>
      <c r="C24" s="811" t="s">
        <v>608</v>
      </c>
      <c r="D24" s="811"/>
      <c r="E24" s="811"/>
      <c r="F24" s="811"/>
      <c r="G24" s="811"/>
      <c r="H24" s="677" t="s">
        <v>605</v>
      </c>
      <c r="I24" s="677" t="s">
        <v>604</v>
      </c>
      <c r="J24" s="677" t="s">
        <v>606</v>
      </c>
      <c r="K24" s="668"/>
      <c r="L24" s="669" t="s">
        <v>608</v>
      </c>
      <c r="AQ24" s="669" t="s">
        <v>608</v>
      </c>
      <c r="BU24" s="668"/>
    </row>
    <row r="25" spans="2:73" s="250" customFormat="1" ht="49.5" customHeight="1">
      <c r="B25" s="245" t="s">
        <v>474</v>
      </c>
      <c r="C25" s="245" t="s">
        <v>211</v>
      </c>
      <c r="D25" s="627" t="s">
        <v>475</v>
      </c>
      <c r="E25" s="245" t="s">
        <v>208</v>
      </c>
      <c r="F25" s="245" t="s">
        <v>476</v>
      </c>
      <c r="G25" s="245" t="s">
        <v>477</v>
      </c>
      <c r="H25" s="627" t="s">
        <v>478</v>
      </c>
      <c r="I25" s="635" t="s">
        <v>596</v>
      </c>
      <c r="J25" s="642" t="s">
        <v>597</v>
      </c>
      <c r="K25" s="640"/>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Q37" sqref="Q37"/>
    </sheetView>
  </sheetViews>
  <sheetFormatPr defaultColWidth="9.140625" defaultRowHeight="15"/>
  <cols>
    <col min="1" max="16384" width="9.140625" style="12"/>
  </cols>
  <sheetData>
    <row r="12" spans="2:22" ht="24" customHeight="1"/>
    <row r="13" spans="2:22" ht="15.75">
      <c r="B13" s="587" t="s">
        <v>507</v>
      </c>
    </row>
    <row r="14" spans="2:22" ht="15.75">
      <c r="B14" s="587"/>
    </row>
    <row r="15" spans="2:22" s="667" customFormat="1" ht="27" customHeight="1">
      <c r="B15" s="665" t="s">
        <v>679</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564</v>
      </c>
      <c r="C16" s="752" t="s">
        <v>507</v>
      </c>
      <c r="D16" s="753"/>
      <c r="E16" s="753"/>
      <c r="F16" s="753"/>
      <c r="G16" s="753"/>
      <c r="H16" s="753"/>
      <c r="I16" s="753"/>
      <c r="J16" s="753"/>
      <c r="K16" s="753"/>
      <c r="L16" s="753"/>
      <c r="M16" s="753"/>
      <c r="N16" s="753"/>
      <c r="O16" s="753"/>
      <c r="P16" s="753"/>
      <c r="Q16" s="753"/>
      <c r="R16" s="753"/>
      <c r="S16" s="753"/>
      <c r="T16" s="753"/>
      <c r="U16" s="753"/>
    </row>
    <row r="17" spans="2:21" ht="55.5" customHeight="1">
      <c r="B17" s="705" t="s">
        <v>647</v>
      </c>
      <c r="C17" s="754" t="s">
        <v>648</v>
      </c>
      <c r="D17" s="754"/>
      <c r="E17" s="754"/>
      <c r="F17" s="754"/>
      <c r="G17" s="754"/>
      <c r="H17" s="754"/>
      <c r="I17" s="754"/>
      <c r="J17" s="754"/>
      <c r="K17" s="754"/>
      <c r="L17" s="754"/>
      <c r="M17" s="754"/>
      <c r="N17" s="754"/>
      <c r="O17" s="754"/>
      <c r="P17" s="754"/>
      <c r="Q17" s="754"/>
      <c r="R17" s="754"/>
      <c r="S17" s="754"/>
      <c r="T17" s="754"/>
      <c r="U17" s="755"/>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652</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649</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48" t="s">
        <v>650</v>
      </c>
      <c r="D23" s="748"/>
      <c r="E23" s="748"/>
      <c r="F23" s="748"/>
      <c r="G23" s="748"/>
      <c r="H23" s="748"/>
      <c r="I23" s="748"/>
      <c r="J23" s="748"/>
      <c r="K23" s="748"/>
      <c r="L23" s="748"/>
      <c r="M23" s="748"/>
      <c r="N23" s="748"/>
      <c r="O23" s="748"/>
      <c r="P23" s="748"/>
      <c r="Q23" s="748"/>
      <c r="R23" s="748"/>
      <c r="S23" s="748"/>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653</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48" t="s">
        <v>651</v>
      </c>
      <c r="D27" s="748"/>
      <c r="E27" s="748"/>
      <c r="F27" s="748"/>
      <c r="G27" s="748"/>
      <c r="H27" s="748"/>
      <c r="I27" s="748"/>
      <c r="J27" s="748"/>
      <c r="K27" s="748"/>
      <c r="L27" s="748"/>
      <c r="M27" s="748"/>
      <c r="N27" s="748"/>
      <c r="O27" s="748"/>
      <c r="P27" s="748"/>
      <c r="Q27" s="748"/>
      <c r="R27" s="748"/>
      <c r="S27" s="748"/>
      <c r="T27" s="748"/>
      <c r="U27" s="749"/>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48" t="s">
        <v>654</v>
      </c>
      <c r="D29" s="748"/>
      <c r="E29" s="748"/>
      <c r="F29" s="748"/>
      <c r="G29" s="748"/>
      <c r="H29" s="748"/>
      <c r="I29" s="748"/>
      <c r="J29" s="748"/>
      <c r="K29" s="748"/>
      <c r="L29" s="748"/>
      <c r="M29" s="748"/>
      <c r="N29" s="748"/>
      <c r="O29" s="748"/>
      <c r="P29" s="748"/>
      <c r="Q29" s="748"/>
      <c r="R29" s="748"/>
      <c r="S29" s="748"/>
      <c r="T29" s="748"/>
      <c r="U29" s="749"/>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655</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656</v>
      </c>
      <c r="C33" s="756" t="s">
        <v>657</v>
      </c>
      <c r="D33" s="756"/>
      <c r="E33" s="756"/>
      <c r="F33" s="756"/>
      <c r="G33" s="756"/>
      <c r="H33" s="756"/>
      <c r="I33" s="756"/>
      <c r="J33" s="756"/>
      <c r="K33" s="756"/>
      <c r="L33" s="756"/>
      <c r="M33" s="756"/>
      <c r="N33" s="756"/>
      <c r="O33" s="756"/>
      <c r="P33" s="756"/>
      <c r="Q33" s="756"/>
      <c r="R33" s="756"/>
      <c r="S33" s="756"/>
      <c r="T33" s="756"/>
      <c r="U33" s="75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658</v>
      </c>
      <c r="C35" s="719" t="s">
        <v>659</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660</v>
      </c>
      <c r="C37" s="750" t="s">
        <v>661</v>
      </c>
      <c r="D37" s="750"/>
      <c r="E37" s="750"/>
      <c r="F37" s="750"/>
      <c r="G37" s="750"/>
      <c r="H37" s="750"/>
      <c r="I37" s="750"/>
      <c r="J37" s="750"/>
      <c r="K37" s="750"/>
      <c r="L37" s="750"/>
      <c r="M37" s="750"/>
      <c r="N37" s="750"/>
      <c r="O37" s="750"/>
      <c r="P37" s="750"/>
      <c r="Q37" s="750"/>
      <c r="R37" s="750"/>
      <c r="S37" s="750"/>
      <c r="T37" s="750"/>
      <c r="U37" s="751"/>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662</v>
      </c>
      <c r="C39" s="721" t="s">
        <v>663</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664</v>
      </c>
      <c r="C41" s="758" t="s">
        <v>665</v>
      </c>
      <c r="D41" s="758"/>
      <c r="E41" s="758"/>
      <c r="F41" s="758"/>
      <c r="G41" s="758"/>
      <c r="H41" s="758"/>
      <c r="I41" s="758"/>
      <c r="J41" s="758"/>
      <c r="K41" s="758"/>
      <c r="L41" s="758"/>
      <c r="M41" s="758"/>
      <c r="N41" s="758"/>
      <c r="O41" s="758"/>
      <c r="P41" s="758"/>
      <c r="Q41" s="758"/>
      <c r="R41" s="758"/>
      <c r="S41" s="758"/>
      <c r="T41" s="758"/>
      <c r="U41" s="759"/>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666</v>
      </c>
      <c r="C43" s="719" t="s">
        <v>667</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46" t="s">
        <v>684</v>
      </c>
      <c r="D45" s="746"/>
      <c r="E45" s="746"/>
      <c r="F45" s="746"/>
      <c r="G45" s="746"/>
      <c r="H45" s="746"/>
      <c r="I45" s="746"/>
      <c r="J45" s="746"/>
      <c r="K45" s="746"/>
      <c r="L45" s="746"/>
      <c r="M45" s="746"/>
      <c r="N45" s="746"/>
      <c r="O45" s="746"/>
      <c r="P45" s="746"/>
      <c r="Q45" s="746"/>
      <c r="R45" s="746"/>
      <c r="S45" s="746"/>
      <c r="T45" s="746"/>
      <c r="U45" s="747"/>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46" t="s">
        <v>668</v>
      </c>
      <c r="D47" s="746"/>
      <c r="E47" s="746"/>
      <c r="F47" s="746"/>
      <c r="G47" s="746"/>
      <c r="H47" s="746"/>
      <c r="I47" s="746"/>
      <c r="J47" s="746"/>
      <c r="K47" s="746"/>
      <c r="L47" s="746"/>
      <c r="M47" s="746"/>
      <c r="N47" s="746"/>
      <c r="O47" s="746"/>
      <c r="P47" s="746"/>
      <c r="Q47" s="746"/>
      <c r="R47" s="746"/>
      <c r="S47" s="746"/>
      <c r="T47" s="746"/>
      <c r="U47" s="747"/>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46" t="s">
        <v>669</v>
      </c>
      <c r="D49" s="746"/>
      <c r="E49" s="746"/>
      <c r="F49" s="746"/>
      <c r="G49" s="746"/>
      <c r="H49" s="746"/>
      <c r="I49" s="746"/>
      <c r="J49" s="746"/>
      <c r="K49" s="746"/>
      <c r="L49" s="746"/>
      <c r="M49" s="746"/>
      <c r="N49" s="746"/>
      <c r="O49" s="746"/>
      <c r="P49" s="746"/>
      <c r="Q49" s="746"/>
      <c r="R49" s="746"/>
      <c r="S49" s="746"/>
      <c r="T49" s="746"/>
      <c r="U49" s="747"/>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46" t="s">
        <v>670</v>
      </c>
      <c r="D51" s="746"/>
      <c r="E51" s="746"/>
      <c r="F51" s="746"/>
      <c r="G51" s="746"/>
      <c r="H51" s="746"/>
      <c r="I51" s="746"/>
      <c r="J51" s="746"/>
      <c r="K51" s="746"/>
      <c r="L51" s="746"/>
      <c r="M51" s="746"/>
      <c r="N51" s="746"/>
      <c r="O51" s="746"/>
      <c r="P51" s="746"/>
      <c r="Q51" s="746"/>
      <c r="R51" s="746"/>
      <c r="S51" s="746"/>
      <c r="T51" s="746"/>
      <c r="U51" s="747"/>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48" t="s">
        <v>683</v>
      </c>
      <c r="D53" s="748"/>
      <c r="E53" s="748"/>
      <c r="F53" s="748"/>
      <c r="G53" s="748"/>
      <c r="H53" s="748"/>
      <c r="I53" s="748"/>
      <c r="J53" s="748"/>
      <c r="K53" s="748"/>
      <c r="L53" s="748"/>
      <c r="M53" s="748"/>
      <c r="N53" s="748"/>
      <c r="O53" s="748"/>
      <c r="P53" s="748"/>
      <c r="Q53" s="748"/>
      <c r="R53" s="748"/>
      <c r="S53" s="748"/>
      <c r="T53" s="748"/>
      <c r="U53" s="749"/>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671</v>
      </c>
      <c r="C55" s="750" t="s">
        <v>672</v>
      </c>
      <c r="D55" s="750"/>
      <c r="E55" s="750"/>
      <c r="F55" s="750"/>
      <c r="G55" s="750"/>
      <c r="H55" s="750"/>
      <c r="I55" s="750"/>
      <c r="J55" s="750"/>
      <c r="K55" s="750"/>
      <c r="L55" s="750"/>
      <c r="M55" s="750"/>
      <c r="N55" s="750"/>
      <c r="O55" s="750"/>
      <c r="P55" s="750"/>
      <c r="Q55" s="750"/>
      <c r="R55" s="750"/>
      <c r="S55" s="750"/>
      <c r="T55" s="750"/>
      <c r="U55" s="751"/>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673</v>
      </c>
      <c r="C57" s="750" t="s">
        <v>674</v>
      </c>
      <c r="D57" s="750"/>
      <c r="E57" s="750"/>
      <c r="F57" s="750"/>
      <c r="G57" s="750"/>
      <c r="H57" s="750"/>
      <c r="I57" s="750"/>
      <c r="J57" s="750"/>
      <c r="K57" s="750"/>
      <c r="L57" s="750"/>
      <c r="M57" s="750"/>
      <c r="N57" s="750"/>
      <c r="O57" s="750"/>
      <c r="P57" s="750"/>
      <c r="Q57" s="750"/>
      <c r="R57" s="750"/>
      <c r="S57" s="750"/>
      <c r="T57" s="750"/>
      <c r="U57" s="751"/>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675</v>
      </c>
      <c r="C59" s="726" t="s">
        <v>676</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1" t="s">
        <v>686</v>
      </c>
      <c r="C3" s="762"/>
      <c r="D3" s="762"/>
      <c r="E3" s="762"/>
      <c r="F3" s="763"/>
      <c r="G3" s="122"/>
    </row>
    <row r="4" spans="2:20" ht="16.5" customHeight="1">
      <c r="B4" s="764"/>
      <c r="C4" s="765"/>
      <c r="D4" s="765"/>
      <c r="E4" s="765"/>
      <c r="F4" s="766"/>
      <c r="G4" s="122"/>
    </row>
    <row r="5" spans="2:20" ht="71.25" customHeight="1">
      <c r="B5" s="764"/>
      <c r="C5" s="765"/>
      <c r="D5" s="765"/>
      <c r="E5" s="765"/>
      <c r="F5" s="766"/>
      <c r="G5" s="122"/>
    </row>
    <row r="6" spans="2:20" ht="21.75" customHeight="1">
      <c r="B6" s="767"/>
      <c r="C6" s="768"/>
      <c r="D6" s="768"/>
      <c r="E6" s="768"/>
      <c r="F6" s="769"/>
      <c r="G6" s="122"/>
    </row>
    <row r="8" spans="2:20" ht="21">
      <c r="B8" s="760" t="s">
        <v>482</v>
      </c>
      <c r="C8" s="760"/>
      <c r="D8" s="760"/>
      <c r="E8" s="760"/>
      <c r="F8" s="760"/>
      <c r="G8" s="760"/>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601</v>
      </c>
      <c r="G12" s="28"/>
      <c r="L12" s="33"/>
      <c r="M12" s="33"/>
      <c r="N12" s="33"/>
      <c r="O12" s="33"/>
      <c r="P12" s="33"/>
      <c r="Q12" s="68"/>
      <c r="S12" s="8"/>
      <c r="T12" s="8"/>
    </row>
    <row r="13" spans="2:20" s="9" customFormat="1" ht="26.25" customHeight="1" thickBot="1">
      <c r="B13" s="102"/>
      <c r="C13" s="124" t="s">
        <v>640</v>
      </c>
      <c r="G13" s="109"/>
      <c r="L13" s="33"/>
      <c r="M13" s="33"/>
      <c r="N13" s="33"/>
      <c r="O13" s="33"/>
      <c r="P13" s="33"/>
      <c r="Q13" s="68"/>
      <c r="S13" s="8"/>
      <c r="T13" s="8"/>
    </row>
    <row r="14" spans="2:20" s="9" customFormat="1" ht="26.25" customHeight="1" thickBot="1">
      <c r="B14" s="102"/>
      <c r="C14" s="172" t="s">
        <v>635</v>
      </c>
      <c r="G14" s="123"/>
      <c r="L14" s="33"/>
      <c r="M14" s="33"/>
      <c r="N14" s="33"/>
      <c r="O14" s="33"/>
      <c r="P14" s="33"/>
      <c r="Q14" s="68"/>
      <c r="S14" s="8"/>
      <c r="T14" s="8"/>
    </row>
    <row r="15" spans="2:20" s="9" customFormat="1" ht="26.25" customHeight="1" thickBot="1">
      <c r="B15" s="102"/>
      <c r="C15" s="172" t="s">
        <v>636</v>
      </c>
      <c r="G15" s="123"/>
      <c r="L15" s="33"/>
      <c r="M15" s="33"/>
      <c r="N15" s="33"/>
      <c r="O15" s="33"/>
      <c r="P15" s="33"/>
      <c r="Q15" s="68"/>
      <c r="S15" s="8"/>
      <c r="T15" s="8"/>
    </row>
    <row r="16" spans="2:20" s="9" customFormat="1" ht="26.25" customHeight="1" thickBot="1">
      <c r="B16" s="102"/>
      <c r="C16" s="172" t="s">
        <v>637</v>
      </c>
      <c r="G16" s="123"/>
      <c r="L16" s="33"/>
      <c r="M16" s="33"/>
      <c r="N16" s="33"/>
      <c r="O16" s="33"/>
      <c r="P16" s="33"/>
      <c r="Q16" s="68"/>
      <c r="S16" s="8"/>
      <c r="T16" s="8"/>
    </row>
    <row r="17" spans="2:20" s="9" customFormat="1" ht="26.25" customHeight="1" thickBot="1">
      <c r="B17" s="102"/>
      <c r="C17" s="124" t="s">
        <v>638</v>
      </c>
      <c r="G17" s="109"/>
      <c r="L17" s="33"/>
      <c r="M17" s="33"/>
      <c r="N17" s="33"/>
      <c r="O17" s="33"/>
      <c r="P17" s="33"/>
      <c r="Q17" s="68"/>
      <c r="S17" s="8"/>
      <c r="T17" s="8"/>
    </row>
    <row r="18" spans="2:20" s="9" customFormat="1" ht="26.25" customHeight="1" thickBot="1">
      <c r="B18" s="102"/>
      <c r="C18" s="124" t="s">
        <v>639</v>
      </c>
      <c r="G18" s="123"/>
      <c r="L18" s="33"/>
      <c r="M18" s="33"/>
      <c r="N18" s="33"/>
      <c r="O18" s="33"/>
      <c r="P18" s="33"/>
      <c r="Q18" s="68"/>
      <c r="S18" s="8"/>
      <c r="T18" s="8"/>
    </row>
    <row r="19" spans="2:20" s="9" customFormat="1" ht="26.25" customHeight="1" thickBot="1">
      <c r="B19" s="102"/>
      <c r="C19" s="124" t="s">
        <v>641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6" t="s">
        <v>546</v>
      </c>
      <c r="C22" s="652" t="s">
        <v>438</v>
      </c>
      <c r="D22" s="655" t="s">
        <v>444</v>
      </c>
      <c r="E22" s="659" t="s">
        <v>600</v>
      </c>
      <c r="F22" s="655" t="s">
        <v>449</v>
      </c>
      <c r="G22" s="174"/>
      <c r="M22" s="644"/>
      <c r="T22" s="644"/>
    </row>
    <row r="23" spans="2:20" s="103" customFormat="1" ht="35.25" customHeight="1">
      <c r="B23" s="647" t="s">
        <v>459</v>
      </c>
      <c r="C23" s="653" t="s">
        <v>439</v>
      </c>
      <c r="D23" s="656" t="s">
        <v>445</v>
      </c>
      <c r="E23" s="660" t="s">
        <v>600</v>
      </c>
      <c r="F23" s="656" t="s">
        <v>449</v>
      </c>
      <c r="G23" s="174"/>
      <c r="M23" s="644"/>
      <c r="T23" s="644"/>
    </row>
    <row r="24" spans="2:20" s="103" customFormat="1" ht="34.5" customHeight="1">
      <c r="B24" s="647" t="s">
        <v>456</v>
      </c>
      <c r="C24" s="653" t="s">
        <v>439</v>
      </c>
      <c r="D24" s="656" t="s">
        <v>446</v>
      </c>
      <c r="E24" s="660" t="s">
        <v>600</v>
      </c>
      <c r="F24" s="656" t="s">
        <v>449</v>
      </c>
      <c r="G24" s="174"/>
      <c r="M24" s="644"/>
      <c r="T24" s="644"/>
    </row>
    <row r="25" spans="2:20" s="103" customFormat="1" ht="32.25" customHeight="1">
      <c r="B25" s="648" t="s">
        <v>457</v>
      </c>
      <c r="C25" s="653" t="s">
        <v>438</v>
      </c>
      <c r="D25" s="656" t="s">
        <v>447</v>
      </c>
      <c r="E25" s="661" t="s">
        <v>619</v>
      </c>
      <c r="F25" s="664"/>
      <c r="G25" s="174"/>
      <c r="M25" s="644"/>
      <c r="T25" s="644"/>
    </row>
    <row r="26" spans="2:20" s="103" customFormat="1" ht="30.75" customHeight="1">
      <c r="B26" s="649" t="s">
        <v>544</v>
      </c>
      <c r="C26" s="653" t="s">
        <v>438</v>
      </c>
      <c r="D26" s="656"/>
      <c r="E26" s="661"/>
      <c r="F26" s="664"/>
      <c r="G26" s="174"/>
      <c r="M26" s="644"/>
      <c r="T26" s="644"/>
    </row>
    <row r="27" spans="2:20" s="103" customFormat="1" ht="32.25" customHeight="1">
      <c r="B27" s="650" t="s">
        <v>545</v>
      </c>
      <c r="C27" s="653" t="s">
        <v>438</v>
      </c>
      <c r="D27" s="657" t="s">
        <v>541</v>
      </c>
      <c r="E27" s="661"/>
      <c r="F27" s="664"/>
      <c r="G27" s="174"/>
      <c r="M27" s="644"/>
      <c r="T27" s="644"/>
    </row>
    <row r="28" spans="2:20" s="103" customFormat="1" ht="27" customHeight="1">
      <c r="B28" s="648" t="s">
        <v>458</v>
      </c>
      <c r="C28" s="653" t="s">
        <v>441</v>
      </c>
      <c r="D28" s="656" t="s">
        <v>483</v>
      </c>
      <c r="E28" s="661" t="s">
        <v>460</v>
      </c>
      <c r="F28" s="664"/>
      <c r="G28" s="174"/>
      <c r="M28" s="644"/>
      <c r="T28" s="644"/>
    </row>
    <row r="29" spans="2:20" s="103" customFormat="1" ht="27" customHeight="1">
      <c r="B29" s="650" t="s">
        <v>453</v>
      </c>
      <c r="C29" s="653" t="s">
        <v>438</v>
      </c>
      <c r="D29" s="656"/>
      <c r="E29" s="661"/>
      <c r="F29" s="656" t="s">
        <v>408</v>
      </c>
      <c r="G29" s="174"/>
      <c r="M29" s="644"/>
      <c r="T29" s="644"/>
    </row>
    <row r="30" spans="2:20" s="103" customFormat="1" ht="32.25" customHeight="1">
      <c r="B30" s="648" t="s">
        <v>207</v>
      </c>
      <c r="C30" s="653" t="s">
        <v>443</v>
      </c>
      <c r="D30" s="656" t="s">
        <v>558</v>
      </c>
      <c r="E30" s="662"/>
      <c r="F30" s="656" t="s">
        <v>557</v>
      </c>
      <c r="G30" s="645"/>
      <c r="M30" s="644"/>
    </row>
    <row r="31" spans="2:20" s="103" customFormat="1" ht="27.75" customHeight="1">
      <c r="B31" s="651" t="s">
        <v>542</v>
      </c>
      <c r="C31" s="654" t="s">
        <v>442</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416</v>
      </c>
      <c r="E1" s="120" t="s">
        <v>451</v>
      </c>
      <c r="F1" s="120" t="s">
        <v>552</v>
      </c>
      <c r="G1" s="120" t="s">
        <v>583</v>
      </c>
      <c r="H1" s="120" t="s">
        <v>594</v>
      </c>
    </row>
    <row r="2" spans="1:8">
      <c r="A2" s="12" t="s">
        <v>29</v>
      </c>
      <c r="B2" s="12" t="s">
        <v>27</v>
      </c>
      <c r="C2" s="10">
        <v>2006</v>
      </c>
      <c r="D2" s="12" t="s">
        <v>417</v>
      </c>
      <c r="E2" s="10">
        <f>'2. LRAMVA Threshold'!D9</f>
        <v>2012</v>
      </c>
      <c r="F2" s="26" t="s">
        <v>170</v>
      </c>
      <c r="G2" s="12" t="s">
        <v>584</v>
      </c>
      <c r="H2" s="12" t="s">
        <v>602</v>
      </c>
    </row>
    <row r="3" spans="1:8">
      <c r="A3" s="12" t="s">
        <v>372</v>
      </c>
      <c r="B3" s="12" t="s">
        <v>27</v>
      </c>
      <c r="C3" s="10">
        <v>2007</v>
      </c>
      <c r="D3" s="12" t="s">
        <v>418</v>
      </c>
      <c r="E3" s="10">
        <f>'2. LRAMVA Threshold'!D24</f>
        <v>0</v>
      </c>
      <c r="F3" s="12" t="s">
        <v>553</v>
      </c>
      <c r="G3" s="12" t="s">
        <v>585</v>
      </c>
      <c r="H3" s="12" t="s">
        <v>595</v>
      </c>
    </row>
    <row r="4" spans="1:8">
      <c r="A4" s="12" t="s">
        <v>373</v>
      </c>
      <c r="B4" s="12" t="s">
        <v>28</v>
      </c>
      <c r="C4" s="10">
        <v>2008</v>
      </c>
      <c r="D4" s="12" t="s">
        <v>419</v>
      </c>
      <c r="F4" s="12" t="s">
        <v>169</v>
      </c>
      <c r="G4" s="12" t="s">
        <v>586</v>
      </c>
    </row>
    <row r="5" spans="1:8">
      <c r="A5" s="12" t="s">
        <v>374</v>
      </c>
      <c r="B5" s="12" t="s">
        <v>28</v>
      </c>
      <c r="C5" s="10">
        <v>2009</v>
      </c>
      <c r="F5" s="12" t="s">
        <v>369</v>
      </c>
      <c r="G5" s="12" t="s">
        <v>587</v>
      </c>
    </row>
    <row r="6" spans="1:8">
      <c r="A6" s="12" t="s">
        <v>375</v>
      </c>
      <c r="B6" s="12" t="s">
        <v>28</v>
      </c>
      <c r="C6" s="10">
        <v>2010</v>
      </c>
      <c r="F6" s="12" t="s">
        <v>370</v>
      </c>
      <c r="G6" s="12" t="s">
        <v>588</v>
      </c>
    </row>
    <row r="7" spans="1:8">
      <c r="A7" s="12" t="s">
        <v>376</v>
      </c>
      <c r="B7" s="12" t="s">
        <v>28</v>
      </c>
      <c r="C7" s="10">
        <v>2011</v>
      </c>
      <c r="F7" s="12" t="s">
        <v>371</v>
      </c>
      <c r="G7" s="12" t="s">
        <v>589</v>
      </c>
    </row>
    <row r="8" spans="1:8">
      <c r="A8" s="12" t="s">
        <v>377</v>
      </c>
      <c r="B8" s="12" t="s">
        <v>28</v>
      </c>
      <c r="C8" s="10">
        <v>2012</v>
      </c>
      <c r="F8" s="12" t="s">
        <v>561</v>
      </c>
      <c r="G8" s="12" t="s">
        <v>590</v>
      </c>
    </row>
    <row r="9" spans="1:8">
      <c r="A9" s="12" t="s">
        <v>378</v>
      </c>
      <c r="B9" s="12" t="s">
        <v>28</v>
      </c>
      <c r="C9" s="10">
        <v>2013</v>
      </c>
      <c r="G9" s="12" t="s">
        <v>591</v>
      </c>
    </row>
    <row r="10" spans="1:8">
      <c r="A10" s="12" t="s">
        <v>379</v>
      </c>
      <c r="B10" s="12" t="s">
        <v>28</v>
      </c>
      <c r="C10" s="10">
        <v>2014</v>
      </c>
      <c r="G10" s="12" t="s">
        <v>592</v>
      </c>
    </row>
    <row r="11" spans="1:8">
      <c r="A11" s="12" t="s">
        <v>380</v>
      </c>
      <c r="B11" s="12" t="s">
        <v>28</v>
      </c>
      <c r="C11" s="10">
        <v>2015</v>
      </c>
      <c r="G11" s="12" t="s">
        <v>593</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I52" zoomScale="85" zoomScaleNormal="85" workbookViewId="0">
      <selection activeCell="S84" sqref="S84"/>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855468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554</v>
      </c>
      <c r="D6" s="17"/>
      <c r="E6" s="9"/>
      <c r="T6" s="9"/>
      <c r="V6" s="8"/>
    </row>
    <row r="7" spans="2:22" ht="21" customHeight="1">
      <c r="B7" s="536"/>
      <c r="C7" s="17"/>
      <c r="D7" s="17"/>
      <c r="E7" s="9"/>
      <c r="T7" s="9"/>
      <c r="V7" s="8"/>
    </row>
    <row r="8" spans="2:22" ht="24.75" customHeight="1">
      <c r="B8" s="117" t="s">
        <v>239</v>
      </c>
      <c r="C8" s="189"/>
      <c r="D8" s="600"/>
      <c r="E8" s="9"/>
      <c r="T8" s="9"/>
      <c r="V8" s="8"/>
    </row>
    <row r="9" spans="2:22" ht="41.25" customHeight="1">
      <c r="B9" s="550" t="s">
        <v>523</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559</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1" t="s">
        <v>513</v>
      </c>
      <c r="E14" s="130"/>
      <c r="F14" s="124" t="s">
        <v>551</v>
      </c>
      <c r="H14" s="541" t="s">
        <v>513</v>
      </c>
      <c r="J14" s="124" t="s">
        <v>518</v>
      </c>
      <c r="L14" s="132"/>
      <c r="N14" s="103"/>
      <c r="Q14" s="99"/>
      <c r="R14" s="96"/>
    </row>
    <row r="15" spans="2:22" ht="26.25" customHeight="1" thickBot="1">
      <c r="B15" s="124" t="s">
        <v>425</v>
      </c>
      <c r="C15" s="106"/>
      <c r="D15" s="541" t="s">
        <v>241</v>
      </c>
      <c r="F15" s="124" t="s">
        <v>415</v>
      </c>
      <c r="G15" s="127"/>
      <c r="H15" s="541" t="s">
        <v>241</v>
      </c>
      <c r="I15" s="17"/>
      <c r="J15" s="124" t="s">
        <v>519</v>
      </c>
      <c r="L15" s="132"/>
      <c r="M15" s="103"/>
      <c r="Q15" s="108"/>
      <c r="R15" s="96"/>
    </row>
    <row r="16" spans="2:22" ht="28.5" customHeight="1" thickBot="1">
      <c r="B16" s="124" t="s">
        <v>455</v>
      </c>
      <c r="C16" s="106"/>
      <c r="D16" s="542" t="s">
        <v>506</v>
      </c>
      <c r="E16" s="103"/>
      <c r="F16" s="124" t="s">
        <v>435</v>
      </c>
      <c r="G16" s="125"/>
      <c r="H16" s="542" t="s">
        <v>506</v>
      </c>
      <c r="I16" s="103"/>
      <c r="K16" s="195"/>
      <c r="L16" s="195"/>
      <c r="M16" s="195"/>
      <c r="N16" s="195"/>
      <c r="Q16" s="115"/>
      <c r="R16" s="96"/>
    </row>
    <row r="17" spans="1:21" ht="29.25" customHeight="1">
      <c r="B17" s="124" t="s">
        <v>422</v>
      </c>
      <c r="C17" s="106"/>
      <c r="D17" s="732">
        <v>0</v>
      </c>
      <c r="E17" s="121"/>
      <c r="F17" s="739" t="s">
        <v>688</v>
      </c>
      <c r="G17" s="195"/>
      <c r="H17" s="733"/>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436</v>
      </c>
      <c r="G19" s="602" t="s">
        <v>364</v>
      </c>
      <c r="H19" s="242">
        <f>SUM(R54,R57,R60,R63,R66,R69,R72)</f>
        <v>84047.136382751996</v>
      </c>
      <c r="I19" s="17"/>
      <c r="J19" s="115"/>
      <c r="K19" s="115"/>
      <c r="L19" s="115"/>
      <c r="M19" s="115"/>
      <c r="N19" s="115"/>
      <c r="P19" s="115"/>
      <c r="Q19" s="115"/>
      <c r="R19" s="96"/>
    </row>
    <row r="20" spans="1:21" ht="27.75" customHeight="1" thickBot="1">
      <c r="E20" s="9"/>
      <c r="F20" s="124" t="s">
        <v>437</v>
      </c>
      <c r="G20" s="602" t="s">
        <v>365</v>
      </c>
      <c r="H20" s="131">
        <f>-SUM(R55,R58,R61,R64,R67,R70,R73)</f>
        <v>90702.888299999991</v>
      </c>
      <c r="I20" s="17"/>
      <c r="J20" s="115"/>
      <c r="P20" s="115"/>
      <c r="Q20" s="115"/>
      <c r="R20" s="96"/>
    </row>
    <row r="21" spans="1:21" ht="27.75" customHeight="1" thickBot="1">
      <c r="C21" s="32"/>
      <c r="D21" s="32"/>
      <c r="E21" s="32"/>
      <c r="F21" s="124" t="s">
        <v>409</v>
      </c>
      <c r="G21" s="602" t="s">
        <v>366</v>
      </c>
      <c r="H21" s="188">
        <f>R84</f>
        <v>-1223.8997290721659</v>
      </c>
      <c r="I21" s="103"/>
      <c r="P21" s="115"/>
      <c r="Q21" s="115"/>
      <c r="R21" s="96"/>
    </row>
    <row r="22" spans="1:21" ht="27.75" customHeight="1">
      <c r="C22" s="32"/>
      <c r="D22" s="32"/>
      <c r="E22" s="32"/>
      <c r="F22" s="124" t="s">
        <v>512</v>
      </c>
      <c r="G22" s="602" t="s">
        <v>450</v>
      </c>
      <c r="H22" s="188">
        <f>H19-H20+H21</f>
        <v>-7879.6516463201606</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772" t="s">
        <v>695</v>
      </c>
      <c r="C26" s="772"/>
      <c r="D26" s="772"/>
      <c r="E26" s="772"/>
      <c r="F26" s="772"/>
      <c r="G26" s="772"/>
    </row>
    <row r="27" spans="1:21" ht="14.25" customHeight="1">
      <c r="A27" s="28"/>
      <c r="B27" s="547"/>
      <c r="C27" s="547"/>
      <c r="D27" s="537"/>
      <c r="E27" s="537"/>
      <c r="F27" s="537"/>
      <c r="G27" s="547"/>
    </row>
    <row r="28" spans="1:21" s="17" customFormat="1" ht="27" customHeight="1">
      <c r="B28" s="775" t="s">
        <v>509</v>
      </c>
      <c r="C28" s="776"/>
      <c r="D28" s="133" t="s">
        <v>41</v>
      </c>
      <c r="E28" s="134" t="s">
        <v>685</v>
      </c>
      <c r="F28" s="134" t="s">
        <v>409</v>
      </c>
      <c r="G28" s="135" t="s">
        <v>410</v>
      </c>
      <c r="T28" s="136"/>
      <c r="U28" s="136"/>
    </row>
    <row r="29" spans="1:21" ht="20.25" customHeight="1">
      <c r="B29" s="770" t="s">
        <v>29</v>
      </c>
      <c r="C29" s="771"/>
      <c r="D29" s="637" t="s">
        <v>27</v>
      </c>
      <c r="E29" s="138">
        <f>SUM(D54:D83)</f>
        <v>-66668.165337999977</v>
      </c>
      <c r="F29" s="139">
        <f>D84</f>
        <v>-4040.494472680341</v>
      </c>
      <c r="G29" s="138">
        <f>E29+F29</f>
        <v>-70708.659810680314</v>
      </c>
    </row>
    <row r="30" spans="1:21" ht="20.25" customHeight="1">
      <c r="B30" s="770" t="s">
        <v>372</v>
      </c>
      <c r="C30" s="771"/>
      <c r="D30" s="637" t="s">
        <v>27</v>
      </c>
      <c r="E30" s="140">
        <f>SUM(E54:E83)</f>
        <v>41198.510898499997</v>
      </c>
      <c r="F30" s="141">
        <f>E84</f>
        <v>2076.3736161098282</v>
      </c>
      <c r="G30" s="140">
        <f>E30+F30</f>
        <v>43274.884514609825</v>
      </c>
    </row>
    <row r="31" spans="1:21" ht="20.25" customHeight="1">
      <c r="B31" s="770" t="s">
        <v>696</v>
      </c>
      <c r="C31" s="771"/>
      <c r="D31" s="637" t="s">
        <v>704</v>
      </c>
      <c r="E31" s="140">
        <f>SUM(F54:F83)</f>
        <v>12627.362522252</v>
      </c>
      <c r="F31" s="141">
        <f>F84</f>
        <v>586.28970139834701</v>
      </c>
      <c r="G31" s="140">
        <f t="shared" ref="G31:G34" si="0">E31+F31</f>
        <v>13213.652223650348</v>
      </c>
    </row>
    <row r="32" spans="1:21" ht="20.25" customHeight="1">
      <c r="B32" s="770" t="s">
        <v>697</v>
      </c>
      <c r="C32" s="771"/>
      <c r="D32" s="637" t="s">
        <v>27</v>
      </c>
      <c r="E32" s="140">
        <f>SUM(G54:G83)</f>
        <v>0</v>
      </c>
      <c r="F32" s="141">
        <f>G84</f>
        <v>0</v>
      </c>
      <c r="G32" s="140">
        <f t="shared" si="0"/>
        <v>0</v>
      </c>
    </row>
    <row r="33" spans="2:22" ht="20.25" customHeight="1">
      <c r="B33" s="770" t="s">
        <v>698</v>
      </c>
      <c r="C33" s="771"/>
      <c r="D33" s="637" t="s">
        <v>704</v>
      </c>
      <c r="E33" s="140">
        <f>SUM(H54:H83)</f>
        <v>0</v>
      </c>
      <c r="F33" s="141">
        <f>H84</f>
        <v>0</v>
      </c>
      <c r="G33" s="140">
        <f>E33+F33</f>
        <v>0</v>
      </c>
    </row>
    <row r="34" spans="2:22" ht="20.25" customHeight="1">
      <c r="B34" s="770" t="s">
        <v>31</v>
      </c>
      <c r="C34" s="771"/>
      <c r="D34" s="637" t="s">
        <v>704</v>
      </c>
      <c r="E34" s="140">
        <f>SUM(I54:I83)</f>
        <v>6186.5400000000009</v>
      </c>
      <c r="F34" s="141">
        <f>I84</f>
        <v>153.93142610000001</v>
      </c>
      <c r="G34" s="140">
        <f t="shared" si="0"/>
        <v>6340.4714261000008</v>
      </c>
    </row>
    <row r="35" spans="2:22" ht="20.25" customHeight="1">
      <c r="B35" s="770"/>
      <c r="C35" s="771"/>
      <c r="D35" s="637"/>
      <c r="E35" s="140">
        <f>SUM(J54:J83)</f>
        <v>0</v>
      </c>
      <c r="F35" s="141">
        <f>J84</f>
        <v>0</v>
      </c>
      <c r="G35" s="140">
        <f>E35+F35</f>
        <v>0</v>
      </c>
    </row>
    <row r="36" spans="2:22" ht="20.25" customHeight="1">
      <c r="B36" s="770"/>
      <c r="C36" s="771"/>
      <c r="D36" s="637"/>
      <c r="E36" s="140">
        <f>SUM(K54:K83)</f>
        <v>0</v>
      </c>
      <c r="F36" s="141">
        <f>K84</f>
        <v>0</v>
      </c>
      <c r="G36" s="140">
        <f t="shared" ref="G36:G42" si="1">E36+F36</f>
        <v>0</v>
      </c>
    </row>
    <row r="37" spans="2:22" ht="20.25" customHeight="1">
      <c r="B37" s="770"/>
      <c r="C37" s="771"/>
      <c r="D37" s="637"/>
      <c r="E37" s="140">
        <f>SUM(L54:L83)</f>
        <v>0</v>
      </c>
      <c r="F37" s="141">
        <f>L84</f>
        <v>0</v>
      </c>
      <c r="G37" s="140">
        <f t="shared" si="1"/>
        <v>0</v>
      </c>
    </row>
    <row r="38" spans="2:22" ht="20.25" customHeight="1">
      <c r="B38" s="770"/>
      <c r="C38" s="771"/>
      <c r="D38" s="637"/>
      <c r="E38" s="140">
        <f>SUM(M54:M83)</f>
        <v>0</v>
      </c>
      <c r="F38" s="141">
        <f>M84</f>
        <v>0</v>
      </c>
      <c r="G38" s="140">
        <f t="shared" si="1"/>
        <v>0</v>
      </c>
    </row>
    <row r="39" spans="2:22" ht="20.25" customHeight="1">
      <c r="B39" s="770"/>
      <c r="C39" s="771"/>
      <c r="D39" s="637"/>
      <c r="E39" s="140">
        <f>SUM(N54:N83)</f>
        <v>0</v>
      </c>
      <c r="F39" s="141">
        <f>N84</f>
        <v>0</v>
      </c>
      <c r="G39" s="140">
        <f t="shared" si="1"/>
        <v>0</v>
      </c>
    </row>
    <row r="40" spans="2:22" ht="20.25" customHeight="1">
      <c r="B40" s="770"/>
      <c r="C40" s="771"/>
      <c r="D40" s="637"/>
      <c r="E40" s="140">
        <f>SUM(O54:O83)</f>
        <v>0</v>
      </c>
      <c r="F40" s="141">
        <f>O84</f>
        <v>0</v>
      </c>
      <c r="G40" s="140">
        <f t="shared" si="1"/>
        <v>0</v>
      </c>
    </row>
    <row r="41" spans="2:22" ht="20.25" customHeight="1">
      <c r="B41" s="770"/>
      <c r="C41" s="771"/>
      <c r="D41" s="637"/>
      <c r="E41" s="140">
        <f>SUM(P54:P83)</f>
        <v>0</v>
      </c>
      <c r="F41" s="141">
        <f>P84</f>
        <v>0</v>
      </c>
      <c r="G41" s="140">
        <f t="shared" si="1"/>
        <v>0</v>
      </c>
    </row>
    <row r="42" spans="2:22" ht="20.25" customHeight="1">
      <c r="B42" s="770"/>
      <c r="C42" s="771"/>
      <c r="D42" s="638"/>
      <c r="E42" s="142">
        <f>SUM(Q54:Q83)</f>
        <v>0</v>
      </c>
      <c r="F42" s="143">
        <f>Q84</f>
        <v>0</v>
      </c>
      <c r="G42" s="142">
        <f t="shared" si="1"/>
        <v>0</v>
      </c>
    </row>
    <row r="43" spans="2:22" s="8" customFormat="1" ht="21" customHeight="1">
      <c r="B43" s="773" t="s">
        <v>26</v>
      </c>
      <c r="C43" s="774"/>
      <c r="D43" s="137"/>
      <c r="E43" s="144">
        <f>SUM(E29:E42)</f>
        <v>-6655.7519172479788</v>
      </c>
      <c r="F43" s="144">
        <f>SUM(F29:F42)</f>
        <v>-1223.8997290721659</v>
      </c>
      <c r="G43" s="144">
        <f>SUM(G29:G42)</f>
        <v>-7879.6516463201406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2" t="s">
        <v>622</v>
      </c>
      <c r="C48" s="772"/>
      <c r="D48" s="772"/>
      <c r="E48" s="772"/>
      <c r="F48" s="772"/>
      <c r="G48" s="772"/>
      <c r="H48" s="772"/>
      <c r="I48" s="772"/>
      <c r="J48" s="772"/>
      <c r="K48" s="772"/>
      <c r="L48" s="772"/>
      <c r="M48" s="616"/>
      <c r="N48" s="105"/>
      <c r="O48" s="105"/>
      <c r="P48" s="105"/>
      <c r="Q48" s="105"/>
      <c r="R48" s="105"/>
      <c r="T48" s="37"/>
      <c r="U48" s="19"/>
      <c r="V48" s="38"/>
    </row>
    <row r="49" spans="2:22" s="28" customFormat="1" ht="40.9" customHeight="1">
      <c r="B49" s="772" t="s">
        <v>567</v>
      </c>
      <c r="C49" s="772"/>
      <c r="D49" s="772"/>
      <c r="E49" s="772"/>
      <c r="F49" s="772"/>
      <c r="G49" s="772"/>
      <c r="H49" s="772"/>
      <c r="I49" s="772"/>
      <c r="J49" s="772"/>
      <c r="K49" s="772"/>
      <c r="L49" s="772"/>
      <c r="M49" s="616"/>
      <c r="N49" s="105"/>
      <c r="O49" s="105"/>
      <c r="P49" s="105"/>
      <c r="Q49" s="105"/>
      <c r="R49" s="105"/>
      <c r="T49" s="37"/>
      <c r="U49" s="19"/>
      <c r="V49" s="38"/>
    </row>
    <row r="50" spans="2:22" s="28" customFormat="1" ht="18" customHeight="1">
      <c r="B50" s="772" t="s">
        <v>694</v>
      </c>
      <c r="C50" s="772"/>
      <c r="D50" s="772"/>
      <c r="E50" s="772"/>
      <c r="F50" s="772"/>
      <c r="G50" s="772"/>
      <c r="H50" s="772"/>
      <c r="I50" s="772"/>
      <c r="J50" s="772"/>
      <c r="K50" s="772"/>
      <c r="L50" s="772"/>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50kW to 4999 kW</v>
      </c>
      <c r="G52" s="135" t="str">
        <f>IF($B32&lt;&gt;"",$B32,"")</f>
        <v>Unmettered Scattered Load</v>
      </c>
      <c r="H52" s="135" t="str">
        <f>IF($B33&lt;&gt;"",$B33,"")</f>
        <v>Sentinel Lighiting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kWh</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300.12408600000003</v>
      </c>
      <c r="E54" s="150">
        <f>'4.  2011-2014 LRAM'!Z131</f>
        <v>1121.4086280000001</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1421.5327140000002</v>
      </c>
      <c r="U54" s="152"/>
      <c r="V54" s="153"/>
    </row>
    <row r="55" spans="2:22" s="17" customFormat="1">
      <c r="B55" s="154" t="s">
        <v>35</v>
      </c>
      <c r="C55" s="155"/>
      <c r="D55" s="156">
        <f>-'4.  2011-2014 LRAM'!Y132</f>
        <v>-9285.4986000000008</v>
      </c>
      <c r="E55" s="156">
        <f>-'4.  2011-2014 LRAM'!Z132</f>
        <v>-107.40880000000001</v>
      </c>
      <c r="F55" s="156">
        <f>-'4.  2011-2014 LRAM'!AA132</f>
        <v>-526.49279999999999</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-9919.4002</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576.75510000000008</v>
      </c>
      <c r="E57" s="156">
        <f>'4.  2011-2014 LRAM'!Z261</f>
        <v>5586.0207797999992</v>
      </c>
      <c r="F57" s="156">
        <f>'4.  2011-2014 LRAM'!AA261</f>
        <v>2359.2938839200001</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8522.0697637199992</v>
      </c>
      <c r="U57" s="152"/>
      <c r="V57" s="153"/>
    </row>
    <row r="58" spans="2:22" s="17" customFormat="1">
      <c r="B58" s="154" t="s">
        <v>36</v>
      </c>
      <c r="C58" s="155"/>
      <c r="D58" s="156">
        <f>-'4.  2011-2014 LRAM'!Y262</f>
        <v>-12289.630499999999</v>
      </c>
      <c r="E58" s="156">
        <f>-'4.  2011-2014 LRAM'!Z262</f>
        <v>-153.18959999999998</v>
      </c>
      <c r="F58" s="156">
        <f>-'4.  2011-2014 LRAM'!AA262</f>
        <v>-735.38099999999997</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-13178.201099999998</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973.65935999999999</v>
      </c>
      <c r="E60" s="156">
        <f>'4.  2011-2014 LRAM'!Z391</f>
        <v>6681.4662950000002</v>
      </c>
      <c r="F60" s="156">
        <f>'4.  2011-2014 LRAM'!AA391</f>
        <v>2396.7772683120002</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10051.902923312</v>
      </c>
      <c r="U60" s="152"/>
      <c r="V60" s="153"/>
    </row>
    <row r="61" spans="2:22" s="163" customFormat="1">
      <c r="B61" s="154" t="s">
        <v>37</v>
      </c>
      <c r="C61" s="155"/>
      <c r="D61" s="156">
        <f>-'4.  2011-2014 LRAM'!Y392</f>
        <v>-12380.664799999999</v>
      </c>
      <c r="E61" s="156">
        <f>-'4.  2011-2014 LRAM'!Z392</f>
        <v>-154.07000000000002</v>
      </c>
      <c r="F61" s="156">
        <f>-'4.  2011-2014 LRAM'!AA392</f>
        <v>-727.32119999999998</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-13262.055999999999</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1745.9334959999999</v>
      </c>
      <c r="E63" s="156">
        <f>'4.  2011-2014 LRAM'!Z521</f>
        <v>6498.1482009000001</v>
      </c>
      <c r="F63" s="156">
        <f>'4.  2011-2014 LRAM'!AA521</f>
        <v>3855.9928049999999</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12100.074501900001</v>
      </c>
      <c r="U63" s="152"/>
      <c r="V63" s="153"/>
    </row>
    <row r="64" spans="2:22" s="163" customFormat="1">
      <c r="B64" s="154" t="s">
        <v>39</v>
      </c>
      <c r="C64" s="155"/>
      <c r="D64" s="156">
        <f>-'4.  2011-2014 LRAM'!Y522</f>
        <v>-12562.733399999999</v>
      </c>
      <c r="E64" s="156">
        <f>-'4.  2011-2014 LRAM'!Z522</f>
        <v>-155.83080000000001</v>
      </c>
      <c r="F64" s="156">
        <f>-'4.  2011-2014 LRAM'!AA522</f>
        <v>-724.67499999999995</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-13443.239199999998</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2422.6980400000002</v>
      </c>
      <c r="E66" s="164">
        <f>'5.  2015-2020 LRAM'!Z204</f>
        <v>9861.6343267999982</v>
      </c>
      <c r="F66" s="164">
        <f>'5.  2015-2020 LRAM'!AA204</f>
        <v>3583.8391122000003</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15868.171478999997</v>
      </c>
      <c r="U66" s="152"/>
      <c r="V66" s="153"/>
    </row>
    <row r="67" spans="2:22" s="163" customFormat="1">
      <c r="B67" s="154" t="s">
        <v>93</v>
      </c>
      <c r="C67" s="155"/>
      <c r="D67" s="164">
        <f>-'5.  2015-2020 LRAM'!Y205</f>
        <v>-12744.802</v>
      </c>
      <c r="E67" s="164">
        <f>-'5.  2015-2020 LRAM'!Z205</f>
        <v>-157.5916</v>
      </c>
      <c r="F67" s="164">
        <f>-'5.  2015-2020 LRAM'!AA205</f>
        <v>-730.93700000000001</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-13633.330599999999</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4252.8019800000002</v>
      </c>
      <c r="E69" s="156">
        <f>'5.  2015-2020 LRAM'!Z388</f>
        <v>7587.8771607999997</v>
      </c>
      <c r="F69" s="156">
        <f>'5.  2015-2020 LRAM'!AA388</f>
        <v>2684.6259407999996</v>
      </c>
      <c r="G69" s="156">
        <f>'5.  2015-2020 LRAM'!AB388</f>
        <v>0</v>
      </c>
      <c r="H69" s="156">
        <f>'5.  2015-2020 LRAM'!AC388</f>
        <v>0</v>
      </c>
      <c r="I69" s="156">
        <f>'5.  2015-2020 LRAM'!AD388</f>
        <v>3217.0008000000003</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17742.305881600001</v>
      </c>
      <c r="U69" s="152"/>
      <c r="V69" s="153"/>
    </row>
    <row r="70" spans="2:22" s="163" customFormat="1">
      <c r="B70" s="154" t="s">
        <v>224</v>
      </c>
      <c r="C70" s="155"/>
      <c r="D70" s="156">
        <f>-'5.  2015-2020 LRAM'!Y389</f>
        <v>-12744.802</v>
      </c>
      <c r="E70" s="156">
        <f>-'5.  2015-2020 LRAM'!Z389</f>
        <v>-157.5916</v>
      </c>
      <c r="F70" s="156">
        <f>-'5.  2015-2020 LRAM'!AA389</f>
        <v>-730.93700000000001</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-13633.330599999999</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7812.7959000000001</v>
      </c>
      <c r="E72" s="156">
        <f>'5.  2015-2020 LRAM'!Z572</f>
        <v>4905.2295071999997</v>
      </c>
      <c r="F72" s="156">
        <f>'5.  2015-2020 LRAM'!AA572</f>
        <v>2653.5145120200004</v>
      </c>
      <c r="G72" s="156">
        <f>'5.  2015-2020 LRAM'!AB572</f>
        <v>0</v>
      </c>
      <c r="H72" s="156">
        <f>'5.  2015-2020 LRAM'!AC572</f>
        <v>0</v>
      </c>
      <c r="I72" s="156">
        <f>'5.  2015-2020 LRAM'!AD572</f>
        <v>2969.5392000000002</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18341.079119219998</v>
      </c>
      <c r="U72" s="152"/>
      <c r="V72" s="153"/>
    </row>
    <row r="73" spans="2:22" s="163" customFormat="1">
      <c r="B73" s="154" t="s">
        <v>226</v>
      </c>
      <c r="C73" s="155"/>
      <c r="D73" s="156">
        <f>-'5.  2015-2020 LRAM'!Y573</f>
        <v>-12744.802</v>
      </c>
      <c r="E73" s="156">
        <f>-'5.  2015-2020 LRAM'!Z573</f>
        <v>-157.5916</v>
      </c>
      <c r="F73" s="156">
        <f>-'5.  2015-2020 LRAM'!AA573</f>
        <v>-730.93700000000001</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-13633.330599999999</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-4040.494472680341</v>
      </c>
      <c r="E84" s="678">
        <f>'6.  Carrying Charges'!J162</f>
        <v>2076.3736161098282</v>
      </c>
      <c r="F84" s="678">
        <f>'6.  Carrying Charges'!K162</f>
        <v>586.28970139834701</v>
      </c>
      <c r="G84" s="678">
        <f>'6.  Carrying Charges'!L162</f>
        <v>0</v>
      </c>
      <c r="H84" s="678">
        <f>'6.  Carrying Charges'!M162</f>
        <v>0</v>
      </c>
      <c r="I84" s="678">
        <f>'6.  Carrying Charges'!N162</f>
        <v>153.93142610000001</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-1223.8997290721659</v>
      </c>
      <c r="S84" s="158"/>
      <c r="U84" s="152"/>
      <c r="V84" s="153"/>
    </row>
    <row r="85" spans="2:22" s="163" customFormat="1" ht="21.75" customHeight="1">
      <c r="B85" s="622" t="s">
        <v>240</v>
      </c>
      <c r="C85" s="623"/>
      <c r="D85" s="622">
        <f>SUM(D54:D74)+D84</f>
        <v>-70708.659810680314</v>
      </c>
      <c r="E85" s="622">
        <f>SUM(E54:E74)+E84</f>
        <v>43274.884514609825</v>
      </c>
      <c r="F85" s="622">
        <f>SUM(F54:F74)+F84</f>
        <v>13213.652223650348</v>
      </c>
      <c r="G85" s="622">
        <f>SUM(G54:G74)+G84</f>
        <v>0</v>
      </c>
      <c r="H85" s="622">
        <f>SUM(H54:H74)+H84</f>
        <v>0</v>
      </c>
      <c r="I85" s="622">
        <f t="shared" ref="I85:O85" si="2">SUM(I54:I74)+I84</f>
        <v>6340.4714261000008</v>
      </c>
      <c r="J85" s="622">
        <f t="shared" si="2"/>
        <v>0</v>
      </c>
      <c r="K85" s="622">
        <f t="shared" si="2"/>
        <v>0</v>
      </c>
      <c r="L85" s="622">
        <f t="shared" si="2"/>
        <v>0</v>
      </c>
      <c r="M85" s="622">
        <f t="shared" si="2"/>
        <v>0</v>
      </c>
      <c r="N85" s="622">
        <f t="shared" si="2"/>
        <v>0</v>
      </c>
      <c r="O85" s="622">
        <f t="shared" si="2"/>
        <v>0</v>
      </c>
      <c r="P85" s="622">
        <f>SUM(P54:P74)+P84</f>
        <v>0</v>
      </c>
      <c r="Q85" s="622">
        <f>SUM(Q54:Q74)+Q84</f>
        <v>0</v>
      </c>
      <c r="R85" s="622">
        <f>SUM(R54:R74)+R84</f>
        <v>-7879.6516463201624</v>
      </c>
      <c r="U85" s="152"/>
      <c r="V85" s="153"/>
    </row>
    <row r="86" spans="2:22" ht="20.25" customHeight="1">
      <c r="B86" s="453" t="s">
        <v>539</v>
      </c>
      <c r="C86" s="601"/>
      <c r="D86" s="600"/>
      <c r="E86" s="600"/>
      <c r="F86" s="600"/>
      <c r="G86" s="600"/>
      <c r="H86" s="600"/>
      <c r="I86" s="600"/>
      <c r="J86" s="600"/>
      <c r="K86" s="600"/>
      <c r="L86" s="600"/>
      <c r="M86" s="600"/>
      <c r="N86" s="600"/>
      <c r="O86" s="600"/>
      <c r="P86" s="600"/>
      <c r="Q86" s="600"/>
      <c r="R86" s="600"/>
      <c r="V86" s="13"/>
    </row>
    <row r="87" spans="2:22" ht="20.25" customHeight="1">
      <c r="B87" s="619"/>
      <c r="C87" s="66"/>
      <c r="D87" s="744">
        <f>D85-D84</f>
        <v>-66668.165337999977</v>
      </c>
      <c r="E87" s="744">
        <f>E85-E84</f>
        <v>41198.510898499997</v>
      </c>
      <c r="F87" s="744">
        <f>F85-F84</f>
        <v>12627.362522252</v>
      </c>
      <c r="I87" s="744">
        <f>I85-I84</f>
        <v>6186.5400000000009</v>
      </c>
      <c r="R87" s="744">
        <f>R85-R84</f>
        <v>-6655.751917247997</v>
      </c>
      <c r="V87" s="13"/>
    </row>
    <row r="88" spans="2:22" ht="15">
      <c r="E88" s="9"/>
    </row>
    <row r="89" spans="2:22" ht="21" hidden="1" customHeight="1">
      <c r="B89" s="118" t="s">
        <v>540</v>
      </c>
      <c r="F89" s="588"/>
    </row>
    <row r="90" spans="2:22" s="548" customFormat="1" ht="27.75" hidden="1" customHeight="1">
      <c r="B90" s="569" t="s">
        <v>560</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1421.5327140000002</v>
      </c>
      <c r="D93" s="555">
        <f>SUM('4.  2011-2014 LRAM'!Y259:AL259)</f>
        <v>1997.1685710000002</v>
      </c>
      <c r="E93" s="555">
        <f>SUM('4.  2011-2014 LRAM'!Y388:AL388)</f>
        <v>2009.3069820000003</v>
      </c>
      <c r="F93" s="556">
        <f>SUM('4.  2011-2014 LRAM'!Y517:AL517)</f>
        <v>1198.9725899999999</v>
      </c>
      <c r="G93" s="556">
        <f>SUM('5.  2015-2020 LRAM'!Y199:AL199)</f>
        <v>1154.1904059999999</v>
      </c>
      <c r="H93" s="555">
        <f>SUM('5.  2015-2020 LRAM'!Y382:AL382)</f>
        <v>1020.5320800000001</v>
      </c>
      <c r="I93" s="556">
        <f>SUM('5.  2015-2020 LRAM'!Y565:AL565)</f>
        <v>371.46133900000001</v>
      </c>
      <c r="J93" s="555">
        <f>SUM('5.  2015-2020 LRAM'!Y748:AL748)</f>
        <v>0</v>
      </c>
      <c r="K93" s="555">
        <f>SUM('5.  2015-2020 LRAM'!Y931:AL931)</f>
        <v>0</v>
      </c>
      <c r="L93" s="555">
        <f>SUM('5.  2015-2020 LRAM'!Y1114:AL1114)</f>
        <v>0</v>
      </c>
      <c r="M93" s="555">
        <f>SUM(C93:L93)</f>
        <v>9173.1646820000005</v>
      </c>
      <c r="T93" s="197"/>
      <c r="U93" s="197"/>
    </row>
    <row r="94" spans="2:22" s="90" customFormat="1" ht="23.25" hidden="1" customHeight="1">
      <c r="B94" s="198">
        <v>2012</v>
      </c>
      <c r="C94" s="557"/>
      <c r="D94" s="556">
        <f>SUM('4.  2011-2014 LRAM'!Y260:AL260)</f>
        <v>6524.901192719999</v>
      </c>
      <c r="E94" s="555">
        <f>SUM('4.  2011-2014 LRAM'!Y389:AL389)</f>
        <v>6558.8764192039998</v>
      </c>
      <c r="F94" s="556">
        <f>SUM('4.  2011-2014 LRAM'!Y518:AL518)</f>
        <v>6592.1418803999995</v>
      </c>
      <c r="G94" s="556">
        <f>SUM('5.  2015-2020 LRAM'!Y200:AL200)</f>
        <v>5684.9526603399991</v>
      </c>
      <c r="H94" s="555">
        <f>SUM('5.  2015-2020 LRAM'!Y383:AL383)</f>
        <v>2788.0266019399996</v>
      </c>
      <c r="I94" s="556">
        <f>SUM('5.  2015-2020 LRAM'!Y566:AL566)</f>
        <v>1627.1724029400002</v>
      </c>
      <c r="J94" s="555">
        <f>SUM('5.  2015-2020 LRAM'!Y749:AL749)</f>
        <v>0</v>
      </c>
      <c r="K94" s="555">
        <f>SUM('5.  2015-2020 LRAM'!Y932:AL932)</f>
        <v>0</v>
      </c>
      <c r="L94" s="555">
        <f>SUM('5.  2015-2020 LRAM'!Y1115:AL1115)</f>
        <v>0</v>
      </c>
      <c r="M94" s="555">
        <f>SUM(D94:L94)</f>
        <v>29776.071157544</v>
      </c>
      <c r="T94" s="197"/>
      <c r="U94" s="197"/>
    </row>
    <row r="95" spans="2:22" s="90" customFormat="1" ht="23.25" hidden="1" customHeight="1">
      <c r="B95" s="198">
        <v>2013</v>
      </c>
      <c r="C95" s="558"/>
      <c r="D95" s="558"/>
      <c r="E95" s="556">
        <f>SUM('4.  2011-2014 LRAM'!Y390:AL390)</f>
        <v>1483.7195221080001</v>
      </c>
      <c r="F95" s="556">
        <f>SUM('4.  2011-2014 LRAM'!Y519:AL519)</f>
        <v>1460.5860098999999</v>
      </c>
      <c r="G95" s="556">
        <f>SUM('5.  2015-2020 LRAM'!Y201:AL201)</f>
        <v>1467.3059713800001</v>
      </c>
      <c r="H95" s="555">
        <f>SUM('5.  2015-2020 LRAM'!Y384:AL384)</f>
        <v>1176.87741338</v>
      </c>
      <c r="I95" s="556">
        <f>SUM('5.  2015-2020 LRAM'!Y567:AL567)</f>
        <v>431.99044938000003</v>
      </c>
      <c r="J95" s="555">
        <f>SUM('5.  2015-2020 LRAM'!Y750:AL750)</f>
        <v>0</v>
      </c>
      <c r="K95" s="555">
        <f>SUM('5.  2015-2020 LRAM'!Y933:AL933)</f>
        <v>0</v>
      </c>
      <c r="L95" s="555">
        <f>SUM('5.  2015-2020 LRAM'!Y1116:AL1116)</f>
        <v>0</v>
      </c>
      <c r="M95" s="555">
        <f>SUM(C95:L95)</f>
        <v>6020.4793661480007</v>
      </c>
      <c r="T95" s="197"/>
      <c r="U95" s="197"/>
    </row>
    <row r="96" spans="2:22" s="90" customFormat="1" ht="23.25" hidden="1" customHeight="1">
      <c r="B96" s="198">
        <v>2014</v>
      </c>
      <c r="C96" s="558"/>
      <c r="D96" s="558"/>
      <c r="E96" s="558"/>
      <c r="F96" s="556">
        <f>SUM('4.  2011-2014 LRAM'!Y520:AL520)</f>
        <v>2848.3740215999997</v>
      </c>
      <c r="G96" s="556">
        <f>SUM('5.  2015-2020 LRAM'!Y202:AL202)</f>
        <v>2782.54994128</v>
      </c>
      <c r="H96" s="555">
        <f>SUM('5.  2015-2020 LRAM'!Y385:AL385)</f>
        <v>2681.1084862799999</v>
      </c>
      <c r="I96" s="556">
        <f>SUM('5.  2015-2020 LRAM'!Y568:AL568)</f>
        <v>2416.1152279000003</v>
      </c>
      <c r="J96" s="555">
        <f>SUM('5.  2015-2020 LRAM'!Y751:AL751)</f>
        <v>0</v>
      </c>
      <c r="K96" s="555">
        <f>SUM('5.  2015-2020 LRAM'!Y934:AL934)</f>
        <v>0</v>
      </c>
      <c r="L96" s="555">
        <f>SUM('5.  2015-2020 LRAM'!Y1117:AL1117)</f>
        <v>0</v>
      </c>
      <c r="M96" s="555">
        <f>SUM(F96:L96)</f>
        <v>10728.14767706</v>
      </c>
      <c r="T96" s="197"/>
      <c r="U96" s="197"/>
    </row>
    <row r="97" spans="2:21" s="90" customFormat="1" ht="23.25" hidden="1" customHeight="1">
      <c r="B97" s="198">
        <v>2015</v>
      </c>
      <c r="C97" s="558"/>
      <c r="D97" s="558"/>
      <c r="E97" s="558"/>
      <c r="F97" s="558"/>
      <c r="G97" s="556">
        <f>SUM('5.  2015-2020 LRAM'!Y203:AL203)</f>
        <v>4779.1724999999997</v>
      </c>
      <c r="H97" s="555">
        <f>SUM('5.  2015-2020 LRAM'!Y386:AL386)</f>
        <v>4767.3284999999996</v>
      </c>
      <c r="I97" s="556">
        <f>SUM('5.  2015-2020 LRAM'!Y569:AL569)</f>
        <v>4767.3284999999996</v>
      </c>
      <c r="J97" s="555">
        <f>SUM('5.  2015-2020 LRAM'!Y752:AL752)</f>
        <v>0</v>
      </c>
      <c r="K97" s="555">
        <f>SUM('5.  2015-2020 LRAM'!Y935:AL935)</f>
        <v>0</v>
      </c>
      <c r="L97" s="555">
        <f>SUM('5.  2015-2020 LRAM'!Y1118:AL1118)</f>
        <v>0</v>
      </c>
      <c r="M97" s="555">
        <f>SUM(G97:L97)</f>
        <v>14313.8295</v>
      </c>
      <c r="T97" s="197"/>
      <c r="U97" s="197"/>
    </row>
    <row r="98" spans="2:21" s="90" customFormat="1" ht="23.25" hidden="1" customHeight="1">
      <c r="B98" s="198">
        <v>2016</v>
      </c>
      <c r="C98" s="558"/>
      <c r="D98" s="558"/>
      <c r="E98" s="558"/>
      <c r="F98" s="558"/>
      <c r="G98" s="558"/>
      <c r="H98" s="555">
        <f>SUM('5.  2015-2020 LRAM'!Y387:AL387)</f>
        <v>5308.4328000000005</v>
      </c>
      <c r="I98" s="556">
        <f>SUM('5.  2015-2020 LRAM'!Y570:AL570)</f>
        <v>5060.9712</v>
      </c>
      <c r="J98" s="555">
        <f>SUM('5.  2015-2020 LRAM'!Y753:AL753)</f>
        <v>0</v>
      </c>
      <c r="K98" s="555">
        <f>SUM('5.  2015-2020 LRAM'!Y936:AL936)</f>
        <v>0</v>
      </c>
      <c r="L98" s="555">
        <f>SUM('5.  2015-2020 LRAM'!Y1119:AL1119)</f>
        <v>0</v>
      </c>
      <c r="M98" s="555">
        <f>SUM(H98:L98)</f>
        <v>10369.404</v>
      </c>
      <c r="T98" s="197"/>
      <c r="U98" s="197"/>
    </row>
    <row r="99" spans="2:21" s="90" customFormat="1" ht="23.25" hidden="1" customHeight="1">
      <c r="B99" s="198">
        <v>2017</v>
      </c>
      <c r="C99" s="558"/>
      <c r="D99" s="558"/>
      <c r="E99" s="558"/>
      <c r="F99" s="558"/>
      <c r="G99" s="558"/>
      <c r="H99" s="558"/>
      <c r="I99" s="555">
        <f>SUM('5.  2015-2020 LRAM'!Y571:AL571)</f>
        <v>3666.04</v>
      </c>
      <c r="J99" s="555">
        <f>SUM('5.  2015-2020 LRAM'!Y754:AL754)</f>
        <v>0</v>
      </c>
      <c r="K99" s="555">
        <f>SUM('5.  2015-2020 LRAM'!Y937:AL937)</f>
        <v>0</v>
      </c>
      <c r="L99" s="555">
        <f>SUM('5.  2015-2020 LRAM'!Y1120:AL1120)</f>
        <v>0</v>
      </c>
      <c r="M99" s="555">
        <f>SUM(I99:L99)</f>
        <v>3666.04</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522</v>
      </c>
      <c r="C103" s="554">
        <f>C93</f>
        <v>1421.5327140000002</v>
      </c>
      <c r="D103" s="555">
        <f>D93+D94</f>
        <v>8522.0697637199992</v>
      </c>
      <c r="E103" s="555">
        <f>E93+E94+E95</f>
        <v>10051.902923312</v>
      </c>
      <c r="F103" s="555">
        <f>F93+F94+F95+F96</f>
        <v>12100.074501899999</v>
      </c>
      <c r="G103" s="555">
        <f>G93+G94+G95+G96+G97</f>
        <v>15868.171478999997</v>
      </c>
      <c r="H103" s="555">
        <f>H93+H94+H95+H96+H97+H98</f>
        <v>17742.305881599998</v>
      </c>
      <c r="I103" s="555">
        <f>I93+I94+I95+I96+I97+I98+I99</f>
        <v>18341.079119220001</v>
      </c>
      <c r="J103" s="555">
        <f>J93+J94+J95+J96+J97+J98+J99+J100</f>
        <v>0</v>
      </c>
      <c r="K103" s="555">
        <f>K93+K94+K95+K96+K97+K98+K99+K100+K101</f>
        <v>0</v>
      </c>
      <c r="L103" s="555">
        <f>SUM(L93:L102)</f>
        <v>0</v>
      </c>
      <c r="M103" s="555">
        <f>SUM(M93:M102)</f>
        <v>84047.136382751982</v>
      </c>
      <c r="T103" s="199"/>
      <c r="U103" s="199"/>
    </row>
    <row r="104" spans="2:21" s="27" customFormat="1" ht="24.75" hidden="1" customHeight="1">
      <c r="B104" s="571" t="s">
        <v>521</v>
      </c>
      <c r="C104" s="553">
        <f>'4.  2011-2014 LRAM'!AM132</f>
        <v>9919.4002</v>
      </c>
      <c r="D104" s="553">
        <f>'4.  2011-2014 LRAM'!AM262</f>
        <v>13178.201099999998</v>
      </c>
      <c r="E104" s="553">
        <f>'4.  2011-2014 LRAM'!AM392</f>
        <v>13262.055999999999</v>
      </c>
      <c r="F104" s="553">
        <f>'4.  2011-2014 LRAM'!AM522</f>
        <v>13443.239199999998</v>
      </c>
      <c r="G104" s="553">
        <f>'5.  2015-2020 LRAM'!AM205</f>
        <v>13633.330599999999</v>
      </c>
      <c r="H104" s="553">
        <f>'5.  2015-2020 LRAM'!AM389</f>
        <v>13633.330599999999</v>
      </c>
      <c r="I104" s="553">
        <f>'5.  2015-2020 LRAM'!AM573</f>
        <v>13633.330599999999</v>
      </c>
      <c r="J104" s="553">
        <f>'5.  2015-2020 LRAM'!AM757</f>
        <v>0</v>
      </c>
      <c r="K104" s="553">
        <f>'5.  2015-2020 LRAM'!AM941</f>
        <v>0</v>
      </c>
      <c r="L104" s="553">
        <f>'5.  2015-2020 LRAM'!AM1125</f>
        <v>0</v>
      </c>
      <c r="M104" s="555">
        <f>SUM(C104:L104)</f>
        <v>90702.888299999991</v>
      </c>
      <c r="T104" s="89"/>
      <c r="U104" s="89"/>
    </row>
    <row r="105" spans="2:21" ht="24.75" hidden="1" customHeight="1">
      <c r="B105" s="571" t="s">
        <v>43</v>
      </c>
      <c r="C105" s="553">
        <f>'6.  Carrying Charges'!W27</f>
        <v>-57.254382186925</v>
      </c>
      <c r="D105" s="553">
        <f>'6.  Carrying Charges'!W42</f>
        <v>-213.5437191093115</v>
      </c>
      <c r="E105" s="553">
        <f>'6.  Carrying Charges'!W57</f>
        <v>-428.53590815101302</v>
      </c>
      <c r="F105" s="553">
        <f>'6.  Carrying Charges'!W72</f>
        <v>-678.13851321929121</v>
      </c>
      <c r="G105" s="553">
        <f>'6.  Carrying Charges'!W87</f>
        <v>-877.85867188994575</v>
      </c>
      <c r="H105" s="553">
        <f>'6.  Carrying Charges'!W102</f>
        <v>-1027.3398210772937</v>
      </c>
      <c r="I105" s="553">
        <f>'6.  Carrying Charges'!W117</f>
        <v>-1136.0438037644919</v>
      </c>
      <c r="J105" s="553">
        <f>'6.  Carrying Charges'!W132</f>
        <v>-1223.899729072165</v>
      </c>
      <c r="K105" s="553">
        <f>'6.  Carrying Charges'!W147</f>
        <v>-1223.899729072165</v>
      </c>
      <c r="L105" s="553">
        <f>'6.  Carrying Charges'!W162</f>
        <v>-1223.899729072165</v>
      </c>
      <c r="M105" s="555">
        <f>SUM(C105:L105)</f>
        <v>-8090.4140066147684</v>
      </c>
    </row>
    <row r="106" spans="2:21" ht="23.25" hidden="1" customHeight="1">
      <c r="B106" s="570" t="s">
        <v>26</v>
      </c>
      <c r="C106" s="553">
        <f>C103-C104+C105</f>
        <v>-8555.121868186925</v>
      </c>
      <c r="D106" s="553">
        <f t="shared" ref="D106:J106" si="3">D103-D104+D105</f>
        <v>-4869.6750553893107</v>
      </c>
      <c r="E106" s="553">
        <f t="shared" si="3"/>
        <v>-3638.6889848390119</v>
      </c>
      <c r="F106" s="553">
        <f t="shared" si="3"/>
        <v>-2021.3032113192908</v>
      </c>
      <c r="G106" s="553">
        <f t="shared" si="3"/>
        <v>1356.9822071100518</v>
      </c>
      <c r="H106" s="553">
        <f t="shared" si="3"/>
        <v>3081.6354605227043</v>
      </c>
      <c r="I106" s="553">
        <f t="shared" si="3"/>
        <v>3571.7047154555103</v>
      </c>
      <c r="J106" s="553">
        <f t="shared" si="3"/>
        <v>-1223.899729072165</v>
      </c>
      <c r="K106" s="553">
        <f>K103-K104+K105</f>
        <v>-1223.899729072165</v>
      </c>
      <c r="L106" s="553">
        <f>L103-L104+L105</f>
        <v>-1223.899729072165</v>
      </c>
      <c r="M106" s="553">
        <f>M103-M104+M105</f>
        <v>-14746.165923862778</v>
      </c>
    </row>
    <row r="107" spans="2:21" hidden="1"/>
    <row r="108" spans="2:21">
      <c r="B108" s="588" t="s">
        <v>529</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0" zoomScale="80" zoomScaleNormal="80" workbookViewId="0">
      <selection activeCell="C24" sqref="C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407</v>
      </c>
    </row>
    <row r="16" spans="2:3" ht="27" customHeight="1" thickBot="1">
      <c r="C16" s="568" t="s">
        <v>554</v>
      </c>
    </row>
    <row r="19" spans="2:8" ht="15.75">
      <c r="B19" s="536" t="s">
        <v>627</v>
      </c>
    </row>
    <row r="20" spans="2:8" ht="13.5" customHeight="1"/>
    <row r="21" spans="2:8" ht="40.9" customHeight="1">
      <c r="B21" s="772" t="s">
        <v>693</v>
      </c>
      <c r="C21" s="772"/>
      <c r="D21" s="772"/>
      <c r="E21" s="772"/>
      <c r="F21" s="772"/>
      <c r="G21" s="772"/>
      <c r="H21" s="772"/>
    </row>
    <row r="23" spans="2:8" s="608" customFormat="1" ht="15.75">
      <c r="B23" s="618" t="s">
        <v>549</v>
      </c>
      <c r="C23" s="618" t="s">
        <v>564</v>
      </c>
      <c r="D23" s="618" t="s">
        <v>548</v>
      </c>
      <c r="E23" s="781" t="s">
        <v>34</v>
      </c>
      <c r="F23" s="782"/>
      <c r="G23" s="781" t="s">
        <v>547</v>
      </c>
      <c r="H23" s="782"/>
    </row>
    <row r="24" spans="2:8">
      <c r="B24" s="607">
        <v>1</v>
      </c>
      <c r="C24" s="643"/>
      <c r="D24" s="606"/>
      <c r="E24" s="777"/>
      <c r="F24" s="778"/>
      <c r="G24" s="779"/>
      <c r="H24" s="780"/>
    </row>
    <row r="25" spans="2:8">
      <c r="B25" s="607">
        <v>2</v>
      </c>
      <c r="C25" s="643"/>
      <c r="D25" s="606"/>
      <c r="E25" s="777"/>
      <c r="F25" s="778"/>
      <c r="G25" s="779"/>
      <c r="H25" s="780"/>
    </row>
    <row r="26" spans="2:8">
      <c r="B26" s="607">
        <v>3</v>
      </c>
      <c r="C26" s="643"/>
      <c r="D26" s="606"/>
      <c r="E26" s="777"/>
      <c r="F26" s="778"/>
      <c r="G26" s="779"/>
      <c r="H26" s="780"/>
    </row>
    <row r="27" spans="2:8">
      <c r="B27" s="607">
        <v>4</v>
      </c>
      <c r="C27" s="643"/>
      <c r="D27" s="606"/>
      <c r="E27" s="777"/>
      <c r="F27" s="778"/>
      <c r="G27" s="779"/>
      <c r="H27" s="780"/>
    </row>
    <row r="28" spans="2:8">
      <c r="B28" s="607">
        <v>5</v>
      </c>
      <c r="C28" s="643"/>
      <c r="D28" s="606"/>
      <c r="E28" s="777"/>
      <c r="F28" s="778"/>
      <c r="G28" s="779"/>
      <c r="H28" s="780"/>
    </row>
    <row r="29" spans="2:8">
      <c r="B29" s="607">
        <v>6</v>
      </c>
      <c r="C29" s="643"/>
      <c r="D29" s="606"/>
      <c r="E29" s="777"/>
      <c r="F29" s="778"/>
      <c r="G29" s="779"/>
      <c r="H29" s="780"/>
    </row>
    <row r="30" spans="2:8">
      <c r="B30" s="607">
        <v>7</v>
      </c>
      <c r="C30" s="643"/>
      <c r="D30" s="606"/>
      <c r="E30" s="777"/>
      <c r="F30" s="778"/>
      <c r="G30" s="779"/>
      <c r="H30" s="780"/>
    </row>
    <row r="31" spans="2:8">
      <c r="B31" s="607">
        <v>8</v>
      </c>
      <c r="C31" s="643"/>
      <c r="D31" s="606"/>
      <c r="E31" s="777"/>
      <c r="F31" s="778"/>
      <c r="G31" s="779"/>
      <c r="H31" s="780"/>
    </row>
    <row r="32" spans="2:8">
      <c r="B32" s="607">
        <v>9</v>
      </c>
      <c r="C32" s="643"/>
      <c r="D32" s="606"/>
      <c r="E32" s="777"/>
      <c r="F32" s="778"/>
      <c r="G32" s="779"/>
      <c r="H32" s="780"/>
    </row>
    <row r="33" spans="2:8">
      <c r="B33" s="607">
        <v>10</v>
      </c>
      <c r="C33" s="643"/>
      <c r="D33" s="606"/>
      <c r="E33" s="777"/>
      <c r="F33" s="778"/>
      <c r="G33" s="779"/>
      <c r="H33" s="780"/>
    </row>
    <row r="34" spans="2:8">
      <c r="B34" s="607" t="s">
        <v>481</v>
      </c>
      <c r="C34" s="643"/>
      <c r="D34" s="606"/>
      <c r="E34" s="777"/>
      <c r="F34" s="778"/>
      <c r="G34" s="779"/>
      <c r="H34" s="780"/>
    </row>
    <row r="36" spans="2:8" ht="30.75" customHeight="1">
      <c r="B36" s="536" t="s">
        <v>623</v>
      </c>
    </row>
    <row r="37" spans="2:8" ht="23.25" customHeight="1">
      <c r="B37" s="567" t="s">
        <v>628</v>
      </c>
      <c r="C37" s="604"/>
      <c r="D37" s="604"/>
      <c r="E37" s="604"/>
      <c r="F37" s="604"/>
      <c r="G37" s="604"/>
      <c r="H37" s="604"/>
    </row>
    <row r="39" spans="2:8" s="90" customFormat="1" ht="15.75">
      <c r="B39" s="618" t="s">
        <v>549</v>
      </c>
      <c r="C39" s="618" t="s">
        <v>564</v>
      </c>
      <c r="D39" s="618" t="s">
        <v>548</v>
      </c>
      <c r="E39" s="781" t="s">
        <v>34</v>
      </c>
      <c r="F39" s="782"/>
      <c r="G39" s="781" t="s">
        <v>547</v>
      </c>
      <c r="H39" s="782"/>
    </row>
    <row r="40" spans="2:8">
      <c r="B40" s="607">
        <v>1</v>
      </c>
      <c r="C40" s="643"/>
      <c r="D40" s="606"/>
      <c r="E40" s="777"/>
      <c r="F40" s="778"/>
      <c r="G40" s="779"/>
      <c r="H40" s="780"/>
    </row>
    <row r="41" spans="2:8">
      <c r="B41" s="607">
        <v>2</v>
      </c>
      <c r="C41" s="643"/>
      <c r="D41" s="606"/>
      <c r="E41" s="777"/>
      <c r="F41" s="778"/>
      <c r="G41" s="779"/>
      <c r="H41" s="780"/>
    </row>
    <row r="42" spans="2:8">
      <c r="B42" s="607">
        <v>3</v>
      </c>
      <c r="C42" s="643"/>
      <c r="D42" s="606"/>
      <c r="E42" s="777"/>
      <c r="F42" s="778"/>
      <c r="G42" s="779"/>
      <c r="H42" s="780"/>
    </row>
    <row r="43" spans="2:8">
      <c r="B43" s="607">
        <v>4</v>
      </c>
      <c r="C43" s="643"/>
      <c r="D43" s="606"/>
      <c r="E43" s="777"/>
      <c r="F43" s="778"/>
      <c r="G43" s="779"/>
      <c r="H43" s="780"/>
    </row>
    <row r="44" spans="2:8">
      <c r="B44" s="607">
        <v>5</v>
      </c>
      <c r="C44" s="643"/>
      <c r="D44" s="606"/>
      <c r="E44" s="777"/>
      <c r="F44" s="778"/>
      <c r="G44" s="779"/>
      <c r="H44" s="780"/>
    </row>
    <row r="45" spans="2:8">
      <c r="B45" s="607">
        <v>6</v>
      </c>
      <c r="C45" s="643"/>
      <c r="D45" s="606"/>
      <c r="E45" s="777"/>
      <c r="F45" s="778"/>
      <c r="G45" s="779"/>
      <c r="H45" s="780"/>
    </row>
    <row r="46" spans="2:8">
      <c r="B46" s="607">
        <v>7</v>
      </c>
      <c r="C46" s="643"/>
      <c r="D46" s="606"/>
      <c r="E46" s="777"/>
      <c r="F46" s="778"/>
      <c r="G46" s="779"/>
      <c r="H46" s="780"/>
    </row>
    <row r="47" spans="2:8">
      <c r="B47" s="607">
        <v>8</v>
      </c>
      <c r="C47" s="643"/>
      <c r="D47" s="606"/>
      <c r="E47" s="777"/>
      <c r="F47" s="778"/>
      <c r="G47" s="779"/>
      <c r="H47" s="780"/>
    </row>
    <row r="48" spans="2:8">
      <c r="B48" s="607">
        <v>9</v>
      </c>
      <c r="C48" s="643"/>
      <c r="D48" s="606"/>
      <c r="E48" s="777"/>
      <c r="F48" s="778"/>
      <c r="G48" s="779"/>
      <c r="H48" s="780"/>
    </row>
    <row r="49" spans="2:8">
      <c r="B49" s="607">
        <v>10</v>
      </c>
      <c r="C49" s="643"/>
      <c r="D49" s="606"/>
      <c r="E49" s="777"/>
      <c r="F49" s="778"/>
      <c r="G49" s="779"/>
      <c r="H49" s="780"/>
    </row>
    <row r="50" spans="2:8">
      <c r="B50" s="607" t="s">
        <v>481</v>
      </c>
      <c r="C50" s="643"/>
      <c r="D50" s="606"/>
      <c r="E50" s="777"/>
      <c r="F50" s="778"/>
      <c r="G50" s="779"/>
      <c r="H50" s="780"/>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1" zoomScale="80" zoomScaleNormal="80" workbookViewId="0">
      <selection activeCell="F14" sqref="F1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22" ht="151.5" customHeight="1"/>
    <row r="2" spans="2:22" ht="21.75" customHeight="1">
      <c r="B2" s="92"/>
      <c r="C2" s="92"/>
      <c r="D2" s="92"/>
      <c r="E2" s="92"/>
      <c r="F2" s="92"/>
      <c r="G2" s="92"/>
      <c r="H2" s="92"/>
      <c r="I2" s="92"/>
      <c r="J2" s="100"/>
      <c r="K2" s="100"/>
      <c r="L2" s="100"/>
      <c r="M2" s="100"/>
      <c r="N2" s="100"/>
      <c r="O2" s="100"/>
      <c r="P2" s="100"/>
      <c r="Q2" s="92"/>
    </row>
    <row r="3" spans="2:22" ht="22.5" customHeight="1" thickBot="1">
      <c r="B3" s="49"/>
      <c r="C3" s="29"/>
      <c r="D3" s="17"/>
      <c r="E3" s="165"/>
      <c r="F3" s="17"/>
      <c r="G3" s="17"/>
      <c r="H3" s="67"/>
      <c r="I3" s="165"/>
      <c r="J3" s="165"/>
      <c r="K3" s="165"/>
      <c r="L3" s="165"/>
      <c r="M3" s="165"/>
      <c r="N3" s="165"/>
      <c r="O3" s="165"/>
      <c r="P3" s="165"/>
      <c r="Q3" s="165"/>
    </row>
    <row r="4" spans="2:22" s="2" customFormat="1" ht="27" customHeight="1" thickBot="1">
      <c r="B4" s="273" t="s">
        <v>171</v>
      </c>
      <c r="C4" s="456"/>
      <c r="D4" s="257" t="s">
        <v>175</v>
      </c>
      <c r="E4" s="438"/>
      <c r="F4" s="438"/>
      <c r="G4" s="438"/>
      <c r="H4" s="438"/>
      <c r="I4" s="438"/>
      <c r="J4" s="438"/>
      <c r="K4" s="438"/>
      <c r="L4" s="438"/>
      <c r="M4" s="438"/>
      <c r="N4" s="438"/>
      <c r="O4" s="438"/>
      <c r="P4" s="438"/>
      <c r="Q4" s="457"/>
    </row>
    <row r="5" spans="2:22" s="2" customFormat="1" ht="24" customHeight="1" thickBot="1">
      <c r="B5" s="458"/>
      <c r="C5" s="456"/>
      <c r="D5" s="459" t="s">
        <v>407</v>
      </c>
      <c r="F5" s="438"/>
      <c r="G5" s="438"/>
      <c r="H5" s="438"/>
      <c r="I5" s="438"/>
      <c r="J5" s="438"/>
      <c r="K5" s="438"/>
      <c r="L5" s="438"/>
      <c r="M5" s="438"/>
      <c r="N5" s="438"/>
      <c r="O5" s="438"/>
      <c r="P5" s="438"/>
      <c r="Q5" s="457"/>
    </row>
    <row r="6" spans="2:22" s="2" customFormat="1" ht="28.5" customHeight="1" thickBot="1">
      <c r="B6" s="458"/>
      <c r="C6" s="456"/>
      <c r="D6" s="261" t="s">
        <v>172</v>
      </c>
      <c r="E6" s="438"/>
      <c r="F6" s="438"/>
      <c r="G6" s="438"/>
      <c r="H6" s="438"/>
      <c r="I6" s="438"/>
      <c r="J6" s="438"/>
      <c r="K6" s="438"/>
      <c r="L6" s="438"/>
      <c r="M6" s="438"/>
      <c r="N6" s="438"/>
      <c r="O6" s="438"/>
      <c r="P6" s="438"/>
      <c r="Q6" s="457"/>
    </row>
    <row r="7" spans="2:22" s="104" customFormat="1" ht="29.25" customHeight="1" thickBot="1">
      <c r="D7" s="568" t="s">
        <v>554</v>
      </c>
      <c r="P7" s="105"/>
      <c r="Q7" s="105"/>
    </row>
    <row r="8" spans="2:22" s="104" customFormat="1" ht="30" customHeight="1">
      <c r="D8" s="573"/>
      <c r="P8" s="105"/>
      <c r="Q8" s="105"/>
    </row>
    <row r="9" spans="2:22" s="2" customFormat="1" ht="24.75" customHeight="1">
      <c r="B9" s="118" t="s">
        <v>412</v>
      </c>
      <c r="C9" s="17"/>
      <c r="D9" s="455">
        <v>2012</v>
      </c>
    </row>
    <row r="10" spans="2:22" s="17" customFormat="1" ht="16.5" customHeight="1"/>
    <row r="11" spans="2:22" s="17" customFormat="1" ht="36.75" customHeight="1">
      <c r="B11" s="783" t="s">
        <v>566</v>
      </c>
      <c r="C11" s="783"/>
      <c r="D11" s="783"/>
      <c r="E11" s="783"/>
      <c r="F11" s="783"/>
      <c r="G11" s="783"/>
      <c r="H11" s="783"/>
      <c r="I11" s="783"/>
      <c r="J11" s="783"/>
      <c r="K11" s="783"/>
      <c r="L11" s="783"/>
      <c r="M11" s="783"/>
      <c r="N11" s="613"/>
      <c r="O11" s="613"/>
      <c r="P11" s="613"/>
      <c r="Q11" s="613"/>
    </row>
    <row r="12" spans="2:22" s="2" customFormat="1" ht="15.75" customHeight="1">
      <c r="D12" s="20"/>
    </row>
    <row r="13" spans="2:22" s="17" customFormat="1" ht="48" customHeight="1">
      <c r="C13" s="243" t="str">
        <f>'1.  LRAMVA Summary'!R52</f>
        <v>Total</v>
      </c>
      <c r="D13" s="243" t="str">
        <f>'1.  LRAMVA Summary'!D52</f>
        <v>Residential</v>
      </c>
      <c r="E13" s="243" t="str">
        <f>'1.  LRAMVA Summary'!E52</f>
        <v>GS&lt;50 kW</v>
      </c>
      <c r="F13" s="243" t="str">
        <f>'1.  LRAMVA Summary'!F52</f>
        <v>GS 50kW to 4999 kW</v>
      </c>
      <c r="G13" s="243" t="str">
        <f>'1.  LRAMVA Summary'!G52</f>
        <v>Unmettered Scattered Load</v>
      </c>
      <c r="H13" s="243" t="str">
        <f>'1.  LRAMVA Summary'!H52</f>
        <v>Sentinel Lighiting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22" s="2" customFormat="1" ht="15.75" customHeight="1">
      <c r="B14" s="82"/>
      <c r="C14" s="577"/>
      <c r="D14" s="578" t="str">
        <f>'1.  LRAMVA Summary'!D53</f>
        <v>kWh</v>
      </c>
      <c r="E14" s="578" t="str">
        <f>'1.  LRAMVA Summary'!E53</f>
        <v>kWh</v>
      </c>
      <c r="F14" s="578" t="str">
        <f>'1.  LRAMVA Summary'!F53</f>
        <v>kw</v>
      </c>
      <c r="G14" s="578" t="str">
        <f>'1.  LRAMVA Summary'!G53</f>
        <v>kWh</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22" s="456" customFormat="1" ht="15.75" customHeight="1">
      <c r="B15" s="461" t="s">
        <v>27</v>
      </c>
      <c r="C15" s="625">
        <f>SUM(D15:Q15)</f>
        <v>919147</v>
      </c>
      <c r="D15" s="451">
        <v>910343</v>
      </c>
      <c r="E15" s="451">
        <v>8804</v>
      </c>
      <c r="F15" s="451">
        <v>0</v>
      </c>
      <c r="G15" s="451"/>
      <c r="H15" s="451"/>
      <c r="I15" s="451"/>
      <c r="J15" s="451"/>
      <c r="K15" s="451"/>
      <c r="L15" s="451"/>
      <c r="M15" s="451"/>
      <c r="N15" s="451"/>
      <c r="O15" s="451"/>
      <c r="P15" s="452"/>
      <c r="Q15" s="452"/>
      <c r="T15" s="451">
        <v>199412</v>
      </c>
      <c r="U15" s="451">
        <v>8222</v>
      </c>
      <c r="V15" s="451">
        <v>22847</v>
      </c>
    </row>
    <row r="16" spans="2:22" s="456" customFormat="1" ht="15.75" customHeight="1">
      <c r="B16" s="461" t="s">
        <v>28</v>
      </c>
      <c r="C16" s="625">
        <f>SUM(D16:Q16)</f>
        <v>202</v>
      </c>
      <c r="D16" s="450">
        <v>0</v>
      </c>
      <c r="E16" s="450">
        <v>0</v>
      </c>
      <c r="F16" s="450">
        <v>202</v>
      </c>
      <c r="G16" s="450"/>
      <c r="H16" s="450"/>
      <c r="I16" s="450"/>
      <c r="J16" s="450"/>
      <c r="K16" s="452"/>
      <c r="L16" s="452"/>
      <c r="M16" s="452"/>
      <c r="N16" s="452"/>
      <c r="O16" s="452"/>
      <c r="P16" s="452"/>
      <c r="Q16" s="452"/>
      <c r="T16" s="450">
        <v>38.44</v>
      </c>
      <c r="U16" s="450">
        <v>2.79</v>
      </c>
      <c r="V16" s="450">
        <v>63.44</v>
      </c>
    </row>
    <row r="17" spans="2:17" s="17" customFormat="1" ht="15.75" customHeight="1"/>
    <row r="18" spans="2:17" s="25" customFormat="1" ht="15.75" customHeight="1">
      <c r="B18" s="191" t="s">
        <v>452</v>
      </c>
      <c r="C18" s="192"/>
      <c r="D18" s="192">
        <f t="shared" ref="D18:F18" si="0">IF(D14="kw",HLOOKUP(D14,D14:D16,3,FALSE),HLOOKUP(D14,D14:D16,2,FALSE))</f>
        <v>910343</v>
      </c>
      <c r="E18" s="192">
        <f t="shared" si="0"/>
        <v>8804</v>
      </c>
      <c r="F18" s="192">
        <f t="shared" si="0"/>
        <v>202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687</v>
      </c>
      <c r="C20" s="453"/>
      <c r="D20" s="454"/>
    </row>
    <row r="21" spans="2:17" s="438" customFormat="1" ht="21" customHeight="1">
      <c r="B21" s="460" t="s">
        <v>367</v>
      </c>
      <c r="C21" s="453" t="s">
        <v>702</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row>
    <row r="25" spans="2:17" s="2" customFormat="1" ht="15.75" customHeight="1">
      <c r="D25" s="20"/>
    </row>
    <row r="26" spans="2:17" s="2" customFormat="1" ht="42" customHeight="1">
      <c r="B26" s="783" t="s">
        <v>565</v>
      </c>
      <c r="C26" s="783"/>
      <c r="D26" s="783"/>
      <c r="E26" s="783"/>
      <c r="F26" s="783"/>
      <c r="G26" s="783"/>
      <c r="H26" s="783"/>
      <c r="I26" s="783"/>
      <c r="J26" s="783"/>
      <c r="K26" s="783"/>
      <c r="L26" s="783"/>
      <c r="M26" s="783"/>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50kW to 4999 kW</v>
      </c>
      <c r="G28" s="243" t="str">
        <f>'1.  LRAMVA Summary'!G52</f>
        <v>Unmettered Scattered Load</v>
      </c>
      <c r="H28" s="243" t="str">
        <f>'1.  LRAMVA Summary'!H52</f>
        <v>Sentinel Lighiting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kWh</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687</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454</v>
      </c>
      <c r="C39" s="35"/>
      <c r="D39" s="34"/>
      <c r="E39" s="39"/>
      <c r="F39" s="40"/>
    </row>
    <row r="40" spans="2:32" s="70" customFormat="1" ht="39" customHeight="1">
      <c r="B40" s="783" t="s">
        <v>621</v>
      </c>
      <c r="C40" s="783"/>
      <c r="D40" s="783"/>
      <c r="E40" s="783"/>
      <c r="F40" s="783"/>
      <c r="G40" s="783"/>
      <c r="H40" s="783"/>
      <c r="I40" s="783"/>
      <c r="J40" s="783"/>
      <c r="K40" s="783"/>
      <c r="L40" s="783"/>
      <c r="M40" s="783"/>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618</v>
      </c>
      <c r="D42" s="243" t="str">
        <f>'1.  LRAMVA Summary'!D52</f>
        <v>Residential</v>
      </c>
      <c r="E42" s="243" t="str">
        <f>'1.  LRAMVA Summary'!E52</f>
        <v>GS&lt;50 kW</v>
      </c>
      <c r="F42" s="243" t="str">
        <f>'1.  LRAMVA Summary'!F52</f>
        <v>GS 50kW to 4999 kW</v>
      </c>
      <c r="G42" s="243" t="str">
        <f>'1.  LRAMVA Summary'!G52</f>
        <v>Unmettered Scattered Load</v>
      </c>
      <c r="H42" s="243" t="str">
        <f>'1.  LRAMVA Summary'!H52</f>
        <v>Sentinel Lighiting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kWh</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v>2012</v>
      </c>
      <c r="D44" s="190">
        <f t="shared" ref="D44:Q44" si="3">IF(ISBLANK($C$44),0,IF($C44=$D$9,HLOOKUP(D43,D14:D18,5,FALSE),HLOOKUP(D43,D29:D33,5,FALSE)))</f>
        <v>910343</v>
      </c>
      <c r="E44" s="190">
        <f>IF(ISBLANK($C$44),0,IF($C44=$D$9,HLOOKUP(E43,E14:E18,5,FALSE),HLOOKUP(E43,E29:E33,5,FALSE)))</f>
        <v>8804</v>
      </c>
      <c r="F44" s="190">
        <f t="shared" si="3"/>
        <v>202</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v>2012</v>
      </c>
      <c r="D45" s="190">
        <f t="shared" ref="D45:Q45" si="4">IF(ISBLANK($C$45),0,IF($C$45=$D$9,HLOOKUP(D43,D14:D18,5,FALSE),HLOOKUP(D43,D29:D33,5,FALSE)))</f>
        <v>910343</v>
      </c>
      <c r="E45" s="190">
        <f t="shared" si="4"/>
        <v>8804</v>
      </c>
      <c r="F45" s="190">
        <f t="shared" si="4"/>
        <v>202</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2012</v>
      </c>
      <c r="D46" s="190">
        <f t="shared" ref="D46:Q46" si="5">IF(ISBLANK($C$46),0,IF($C$46=$D$9,HLOOKUP(D43,D14:D18,5,FALSE),HLOOKUP(D43,D29:D33,5,FALSE)))</f>
        <v>910343</v>
      </c>
      <c r="E46" s="190">
        <f t="shared" si="5"/>
        <v>8804</v>
      </c>
      <c r="F46" s="190">
        <f t="shared" si="5"/>
        <v>202</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2012</v>
      </c>
      <c r="D47" s="190">
        <f t="shared" ref="D47:Q47" si="6">IF(ISBLANK($C$47),0,IF($C$47=$D$9,HLOOKUP(D43,D14:D18,5,FALSE),HLOOKUP(D43,D29:D33,5,FALSE)))</f>
        <v>910343</v>
      </c>
      <c r="E47" s="190">
        <f t="shared" si="6"/>
        <v>8804</v>
      </c>
      <c r="F47" s="190">
        <f t="shared" si="6"/>
        <v>202</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910343</v>
      </c>
      <c r="E48" s="190">
        <f t="shared" si="7"/>
        <v>8804</v>
      </c>
      <c r="F48" s="190">
        <f t="shared" si="7"/>
        <v>202</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910343</v>
      </c>
      <c r="E49" s="190">
        <f t="shared" si="8"/>
        <v>8804</v>
      </c>
      <c r="F49" s="190">
        <f t="shared" si="8"/>
        <v>202</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2012</v>
      </c>
      <c r="D50" s="190">
        <f t="shared" ref="D50:I50" si="9">IF(ISBLANK($C$50),0,IF($C$50=$D$9,HLOOKUP(D43,D14:D18,5,FALSE),HLOOKUP(D43,D29:D33,5,FALSE)))</f>
        <v>910343</v>
      </c>
      <c r="E50" s="190">
        <f t="shared" si="9"/>
        <v>8804</v>
      </c>
      <c r="F50" s="190">
        <f t="shared" si="9"/>
        <v>202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activeCell="Q16" sqref="Q1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89" t="s">
        <v>171</v>
      </c>
      <c r="C4" s="85" t="s">
        <v>175</v>
      </c>
      <c r="D4" s="85"/>
      <c r="E4" s="49"/>
    </row>
    <row r="5" spans="1:26" s="18" customFormat="1" ht="26.25" hidden="1" customHeight="1" outlineLevel="1" thickBot="1">
      <c r="A5" s="4"/>
      <c r="B5" s="789"/>
      <c r="C5" s="86" t="s">
        <v>172</v>
      </c>
      <c r="D5" s="86"/>
      <c r="E5" s="49"/>
    </row>
    <row r="6" spans="1:26" ht="26.25" hidden="1" customHeight="1" outlineLevel="1" thickBot="1">
      <c r="B6" s="789"/>
      <c r="C6" s="792" t="s">
        <v>554</v>
      </c>
      <c r="D6" s="79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530</v>
      </c>
      <c r="C8" s="593" t="s">
        <v>483</v>
      </c>
      <c r="D8" s="592"/>
      <c r="M8" s="6"/>
      <c r="N8" s="6"/>
      <c r="O8" s="6"/>
      <c r="P8" s="6"/>
      <c r="Q8" s="6"/>
      <c r="R8" s="6"/>
      <c r="S8" s="6"/>
      <c r="T8" s="6"/>
      <c r="U8" s="6"/>
      <c r="V8" s="6"/>
      <c r="W8" s="6"/>
      <c r="X8" s="6"/>
      <c r="Y8" s="6"/>
      <c r="Z8" s="6"/>
    </row>
    <row r="9" spans="1:26" s="18" customFormat="1" ht="19.5" hidden="1" customHeight="1" outlineLevel="1">
      <c r="A9" s="4"/>
      <c r="B9" s="539"/>
      <c r="C9" s="593" t="s">
        <v>531</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1"/>
    </row>
    <row r="12" spans="1:26" ht="58.5" customHeight="1">
      <c r="B12" s="787" t="s">
        <v>629</v>
      </c>
      <c r="C12" s="787"/>
      <c r="D12" s="787"/>
      <c r="E12" s="787"/>
      <c r="F12" s="787"/>
      <c r="G12" s="787"/>
      <c r="H12" s="787"/>
      <c r="I12" s="787"/>
      <c r="J12" s="787"/>
      <c r="K12" s="787"/>
      <c r="L12" s="787"/>
      <c r="M12" s="787"/>
      <c r="N12" s="787"/>
      <c r="O12" s="78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568</v>
      </c>
      <c r="E14" s="472" t="s">
        <v>569</v>
      </c>
      <c r="F14" s="472" t="s">
        <v>570</v>
      </c>
      <c r="G14" s="472" t="s">
        <v>571</v>
      </c>
      <c r="H14" s="472" t="s">
        <v>572</v>
      </c>
      <c r="I14" s="472" t="s">
        <v>573</v>
      </c>
      <c r="J14" s="472" t="s">
        <v>574</v>
      </c>
      <c r="K14" s="472" t="s">
        <v>575</v>
      </c>
      <c r="L14" s="472" t="s">
        <v>576</v>
      </c>
      <c r="M14" s="472" t="s">
        <v>577</v>
      </c>
      <c r="N14" s="472" t="s">
        <v>578</v>
      </c>
      <c r="O14" s="472" t="s">
        <v>579</v>
      </c>
      <c r="P14" s="7"/>
    </row>
    <row r="15" spans="1:26" s="7" customFormat="1" ht="18.75" customHeight="1">
      <c r="B15" s="473" t="s">
        <v>188</v>
      </c>
      <c r="C15" s="79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562</v>
      </c>
      <c r="C16" s="785"/>
      <c r="D16" s="477">
        <v>0</v>
      </c>
      <c r="E16" s="477">
        <v>0</v>
      </c>
      <c r="F16" s="477">
        <v>0</v>
      </c>
      <c r="G16" s="477">
        <v>0</v>
      </c>
      <c r="H16" s="477">
        <v>0</v>
      </c>
      <c r="I16" s="477">
        <v>0</v>
      </c>
      <c r="J16" s="477">
        <v>0</v>
      </c>
      <c r="K16" s="477">
        <v>0</v>
      </c>
      <c r="L16" s="477">
        <v>0</v>
      </c>
      <c r="M16" s="477">
        <v>0</v>
      </c>
      <c r="N16" s="477"/>
      <c r="O16" s="478"/>
    </row>
    <row r="17" spans="1:15" s="111" customFormat="1" ht="17.25" customHeight="1">
      <c r="B17" s="479" t="s">
        <v>563</v>
      </c>
      <c r="C17" s="79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784" t="str">
        <f>'2. LRAMVA Threshold'!D43</f>
        <v>kWh</v>
      </c>
      <c r="D18" s="46"/>
      <c r="E18" s="46">
        <v>1.0200000000000001E-2</v>
      </c>
      <c r="F18" s="46">
        <v>1.35E-2</v>
      </c>
      <c r="G18" s="46">
        <v>1.3599999999999999E-2</v>
      </c>
      <c r="H18" s="46">
        <v>1.38E-2</v>
      </c>
      <c r="I18" s="46">
        <v>1.4E-2</v>
      </c>
      <c r="J18" s="46">
        <v>1.4E-2</v>
      </c>
      <c r="K18" s="46">
        <v>1.4E-2</v>
      </c>
      <c r="L18" s="46"/>
      <c r="M18" s="46"/>
      <c r="N18" s="46"/>
      <c r="O18" s="69"/>
    </row>
    <row r="19" spans="1:15" s="7" customFormat="1" ht="15" customHeight="1" outlineLevel="1">
      <c r="B19" s="535" t="s">
        <v>514</v>
      </c>
      <c r="C19" s="785"/>
      <c r="D19" s="46"/>
      <c r="E19" s="46"/>
      <c r="F19" s="46"/>
      <c r="G19" s="46"/>
      <c r="H19" s="46"/>
      <c r="I19" s="46"/>
      <c r="J19" s="46"/>
      <c r="K19" s="46"/>
      <c r="L19" s="46"/>
      <c r="M19" s="46"/>
      <c r="N19" s="46"/>
      <c r="O19" s="69"/>
    </row>
    <row r="20" spans="1:15" s="7" customFormat="1" ht="15" customHeight="1" outlineLevel="1">
      <c r="B20" s="535" t="s">
        <v>515</v>
      </c>
      <c r="C20" s="785"/>
      <c r="D20" s="46"/>
      <c r="E20" s="46"/>
      <c r="F20" s="46"/>
      <c r="G20" s="46"/>
      <c r="H20" s="46"/>
      <c r="I20" s="46"/>
      <c r="J20" s="46"/>
      <c r="K20" s="46"/>
      <c r="L20" s="46"/>
      <c r="M20" s="46"/>
      <c r="N20" s="46"/>
      <c r="O20" s="69"/>
    </row>
    <row r="21" spans="1:15" s="7" customFormat="1" ht="15" customHeight="1" outlineLevel="1">
      <c r="B21" s="535" t="s">
        <v>491</v>
      </c>
      <c r="C21" s="785"/>
      <c r="D21" s="46"/>
      <c r="E21" s="46"/>
      <c r="F21" s="46"/>
      <c r="G21" s="46"/>
      <c r="H21" s="46"/>
      <c r="I21" s="46"/>
      <c r="J21" s="46"/>
      <c r="K21" s="46"/>
      <c r="L21" s="46"/>
      <c r="M21" s="46"/>
      <c r="N21" s="46"/>
      <c r="O21" s="69"/>
    </row>
    <row r="22" spans="1:15" s="7" customFormat="1" ht="14.25" customHeight="1">
      <c r="B22" s="535" t="s">
        <v>516</v>
      </c>
      <c r="C22" s="786"/>
      <c r="D22" s="65">
        <f>SUM(D18:D21)</f>
        <v>0</v>
      </c>
      <c r="E22" s="65">
        <f>SUM(E18:E21)</f>
        <v>1.0200000000000001E-2</v>
      </c>
      <c r="F22" s="65">
        <f>SUM(F18:F21)</f>
        <v>1.35E-2</v>
      </c>
      <c r="G22" s="65">
        <f t="shared" ref="G22:N22" si="2">SUM(G18:G21)</f>
        <v>1.3599999999999999E-2</v>
      </c>
      <c r="H22" s="65">
        <f t="shared" si="2"/>
        <v>1.38E-2</v>
      </c>
      <c r="I22" s="65">
        <f t="shared" si="2"/>
        <v>1.4E-2</v>
      </c>
      <c r="J22" s="65">
        <f t="shared" si="2"/>
        <v>1.4E-2</v>
      </c>
      <c r="K22" s="65">
        <f t="shared" si="2"/>
        <v>1.4E-2</v>
      </c>
      <c r="L22" s="65">
        <f t="shared" si="2"/>
        <v>0</v>
      </c>
      <c r="M22" s="65">
        <f t="shared" si="2"/>
        <v>0</v>
      </c>
      <c r="N22" s="65">
        <f t="shared" si="2"/>
        <v>0</v>
      </c>
      <c r="O22" s="76"/>
    </row>
    <row r="23" spans="1:15" s="63" customFormat="1">
      <c r="A23" s="62"/>
      <c r="B23" s="492" t="s">
        <v>517</v>
      </c>
      <c r="C23" s="482"/>
      <c r="D23" s="483"/>
      <c r="E23" s="484">
        <f>ROUND(SUM(D22*E16+E22*E17)/12,4)</f>
        <v>1.0200000000000001E-2</v>
      </c>
      <c r="F23" s="484">
        <f>ROUND(SUM(E22*F16+F22*F17)/12,4)</f>
        <v>1.35E-2</v>
      </c>
      <c r="G23" s="484">
        <f>ROUND(SUM(F22*G16+G22*G17)/12,4)</f>
        <v>1.3599999999999999E-2</v>
      </c>
      <c r="H23" s="484">
        <f>ROUND(SUM(G22*H16+H22*H17)/12,4)</f>
        <v>1.38E-2</v>
      </c>
      <c r="I23" s="484">
        <f>ROUND(SUM(H22*I16+I22*I17)/12,4)</f>
        <v>1.4E-2</v>
      </c>
      <c r="J23" s="484">
        <f t="shared" ref="J23:N23" si="3">ROUND(SUM(I22*J16+J22*J17)/12,4)</f>
        <v>1.4E-2</v>
      </c>
      <c r="K23" s="484">
        <f t="shared" si="3"/>
        <v>1.4E-2</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784" t="str">
        <f>'2. LRAMVA Threshold'!E43</f>
        <v>kWh</v>
      </c>
      <c r="D25" s="46"/>
      <c r="E25" s="46">
        <v>1.2200000000000001E-2</v>
      </c>
      <c r="F25" s="46">
        <v>1.7399999999999999E-2</v>
      </c>
      <c r="G25" s="46">
        <v>1.7500000000000002E-2</v>
      </c>
      <c r="H25" s="46">
        <v>1.77E-2</v>
      </c>
      <c r="I25" s="46">
        <v>1.7899999999999999E-2</v>
      </c>
      <c r="J25" s="46">
        <v>1.7899999999999999E-2</v>
      </c>
      <c r="K25" s="46">
        <v>1.7899999999999999E-2</v>
      </c>
      <c r="L25" s="46"/>
      <c r="M25" s="46"/>
      <c r="N25" s="46"/>
      <c r="O25" s="69"/>
    </row>
    <row r="26" spans="1:15" s="18" customFormat="1" outlineLevel="1">
      <c r="A26" s="4"/>
      <c r="B26" s="535" t="s">
        <v>514</v>
      </c>
      <c r="C26" s="785"/>
      <c r="D26" s="46"/>
      <c r="E26" s="46"/>
      <c r="F26" s="46"/>
      <c r="G26" s="46"/>
      <c r="H26" s="46"/>
      <c r="I26" s="46"/>
      <c r="J26" s="46"/>
      <c r="K26" s="46"/>
      <c r="L26" s="46"/>
      <c r="M26" s="46"/>
      <c r="N26" s="46"/>
      <c r="O26" s="69"/>
    </row>
    <row r="27" spans="1:15" s="18" customFormat="1" outlineLevel="1">
      <c r="A27" s="4"/>
      <c r="B27" s="535" t="s">
        <v>515</v>
      </c>
      <c r="C27" s="785"/>
      <c r="D27" s="46"/>
      <c r="E27" s="46"/>
      <c r="F27" s="46"/>
      <c r="G27" s="46"/>
      <c r="H27" s="46"/>
      <c r="I27" s="46"/>
      <c r="J27" s="46"/>
      <c r="K27" s="46"/>
      <c r="L27" s="46"/>
      <c r="M27" s="46"/>
      <c r="N27" s="46"/>
      <c r="O27" s="69"/>
    </row>
    <row r="28" spans="1:15" s="18" customFormat="1" outlineLevel="1">
      <c r="A28" s="4"/>
      <c r="B28" s="535" t="s">
        <v>491</v>
      </c>
      <c r="C28" s="785"/>
      <c r="D28" s="46"/>
      <c r="E28" s="46"/>
      <c r="F28" s="46"/>
      <c r="G28" s="46"/>
      <c r="H28" s="46"/>
      <c r="I28" s="46"/>
      <c r="J28" s="46"/>
      <c r="K28" s="46"/>
      <c r="L28" s="46"/>
      <c r="M28" s="46"/>
      <c r="N28" s="46"/>
      <c r="O28" s="69"/>
    </row>
    <row r="29" spans="1:15" s="18" customFormat="1">
      <c r="A29" s="4"/>
      <c r="B29" s="535" t="s">
        <v>516</v>
      </c>
      <c r="C29" s="786"/>
      <c r="D29" s="65">
        <f>SUM(D25:D28)</f>
        <v>0</v>
      </c>
      <c r="E29" s="65">
        <f t="shared" ref="E29:N29" si="4">SUM(E25:E28)</f>
        <v>1.2200000000000001E-2</v>
      </c>
      <c r="F29" s="65">
        <f t="shared" si="4"/>
        <v>1.7399999999999999E-2</v>
      </c>
      <c r="G29" s="65">
        <f t="shared" si="4"/>
        <v>1.7500000000000002E-2</v>
      </c>
      <c r="H29" s="65">
        <f t="shared" si="4"/>
        <v>1.77E-2</v>
      </c>
      <c r="I29" s="65">
        <f t="shared" si="4"/>
        <v>1.7899999999999999E-2</v>
      </c>
      <c r="J29" s="65">
        <f t="shared" si="4"/>
        <v>1.7899999999999999E-2</v>
      </c>
      <c r="K29" s="65">
        <f t="shared" si="4"/>
        <v>1.7899999999999999E-2</v>
      </c>
      <c r="L29" s="65">
        <f t="shared" si="4"/>
        <v>0</v>
      </c>
      <c r="M29" s="65">
        <f t="shared" si="4"/>
        <v>0</v>
      </c>
      <c r="N29" s="65">
        <f t="shared" si="4"/>
        <v>0</v>
      </c>
      <c r="O29" s="76"/>
    </row>
    <row r="30" spans="1:15" s="18" customFormat="1">
      <c r="A30" s="4"/>
      <c r="B30" s="492" t="s">
        <v>517</v>
      </c>
      <c r="C30" s="488"/>
      <c r="D30" s="71"/>
      <c r="E30" s="484">
        <f>ROUND(SUM(D29*E16+E29*E17)/12,4)</f>
        <v>1.2200000000000001E-2</v>
      </c>
      <c r="F30" s="484">
        <f t="shared" ref="F30:N30" si="5">ROUND(SUM(E29*F16+F29*F17)/12,4)</f>
        <v>1.7399999999999999E-2</v>
      </c>
      <c r="G30" s="484">
        <f t="shared" si="5"/>
        <v>1.7500000000000002E-2</v>
      </c>
      <c r="H30" s="484">
        <f t="shared" si="5"/>
        <v>1.77E-2</v>
      </c>
      <c r="I30" s="484">
        <f t="shared" si="5"/>
        <v>1.7899999999999999E-2</v>
      </c>
      <c r="J30" s="484">
        <f>ROUND(SUM(I29*J16+J29*J17)/12,4)</f>
        <v>1.7899999999999999E-2</v>
      </c>
      <c r="K30" s="484">
        <f t="shared" si="5"/>
        <v>1.7899999999999999E-2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50kW to 4999 kW</v>
      </c>
      <c r="C32" s="784" t="str">
        <f>'2. LRAMVA Threshold'!F43</f>
        <v>kw</v>
      </c>
      <c r="D32" s="46"/>
      <c r="E32" s="46">
        <v>2.6063999999999998</v>
      </c>
      <c r="F32" s="46">
        <v>3.6404999999999998</v>
      </c>
      <c r="G32" s="46">
        <v>3.6006</v>
      </c>
      <c r="H32" s="46">
        <v>3.5874999999999999</v>
      </c>
      <c r="I32" s="46">
        <v>3.6185</v>
      </c>
      <c r="J32" s="46">
        <v>3.6185</v>
      </c>
      <c r="K32" s="46">
        <v>3.6185</v>
      </c>
      <c r="L32" s="46"/>
      <c r="M32" s="46"/>
      <c r="N32" s="46"/>
      <c r="O32" s="69"/>
    </row>
    <row r="33" spans="1:15" s="18" customFormat="1" outlineLevel="1">
      <c r="A33" s="4"/>
      <c r="B33" s="535" t="s">
        <v>514</v>
      </c>
      <c r="C33" s="785"/>
      <c r="D33" s="46"/>
      <c r="E33" s="46"/>
      <c r="F33" s="46"/>
      <c r="G33" s="46"/>
      <c r="H33" s="46"/>
      <c r="I33" s="46"/>
      <c r="J33" s="46"/>
      <c r="K33" s="46"/>
      <c r="L33" s="46"/>
      <c r="M33" s="46"/>
      <c r="N33" s="46"/>
      <c r="O33" s="69"/>
    </row>
    <row r="34" spans="1:15" s="18" customFormat="1" outlineLevel="1">
      <c r="A34" s="4"/>
      <c r="B34" s="535" t="s">
        <v>515</v>
      </c>
      <c r="C34" s="785"/>
      <c r="D34" s="46"/>
      <c r="E34" s="46"/>
      <c r="F34" s="46"/>
      <c r="G34" s="46"/>
      <c r="H34" s="46"/>
      <c r="I34" s="46"/>
      <c r="J34" s="46"/>
      <c r="K34" s="46"/>
      <c r="L34" s="46"/>
      <c r="M34" s="46"/>
      <c r="N34" s="46"/>
      <c r="O34" s="69"/>
    </row>
    <row r="35" spans="1:15" s="18" customFormat="1" outlineLevel="1">
      <c r="A35" s="4"/>
      <c r="B35" s="535" t="s">
        <v>491</v>
      </c>
      <c r="C35" s="785"/>
      <c r="D35" s="46"/>
      <c r="E35" s="46"/>
      <c r="F35" s="46"/>
      <c r="G35" s="46"/>
      <c r="H35" s="46"/>
      <c r="I35" s="46"/>
      <c r="J35" s="46"/>
      <c r="K35" s="46"/>
      <c r="L35" s="46"/>
      <c r="M35" s="46"/>
      <c r="N35" s="46"/>
      <c r="O35" s="69"/>
    </row>
    <row r="36" spans="1:15" s="18" customFormat="1">
      <c r="A36" s="4"/>
      <c r="B36" s="535" t="s">
        <v>516</v>
      </c>
      <c r="C36" s="786"/>
      <c r="D36" s="65">
        <f>SUM(D32:D35)</f>
        <v>0</v>
      </c>
      <c r="E36" s="65">
        <f>SUM(E32:E35)</f>
        <v>2.6063999999999998</v>
      </c>
      <c r="F36" s="65">
        <f t="shared" ref="F36:M36" si="6">SUM(F32:F35)</f>
        <v>3.6404999999999998</v>
      </c>
      <c r="G36" s="65">
        <f t="shared" si="6"/>
        <v>3.6006</v>
      </c>
      <c r="H36" s="65">
        <f t="shared" si="6"/>
        <v>3.5874999999999999</v>
      </c>
      <c r="I36" s="65">
        <f t="shared" si="6"/>
        <v>3.6185</v>
      </c>
      <c r="J36" s="65">
        <f t="shared" si="6"/>
        <v>3.6185</v>
      </c>
      <c r="K36" s="65">
        <f t="shared" si="6"/>
        <v>3.6185</v>
      </c>
      <c r="L36" s="65">
        <f t="shared" si="6"/>
        <v>0</v>
      </c>
      <c r="M36" s="65">
        <f t="shared" si="6"/>
        <v>0</v>
      </c>
      <c r="N36" s="65">
        <f>SUM(N32:N35)</f>
        <v>0</v>
      </c>
      <c r="O36" s="76"/>
    </row>
    <row r="37" spans="1:15" s="18" customFormat="1">
      <c r="A37" s="4"/>
      <c r="B37" s="492" t="s">
        <v>517</v>
      </c>
      <c r="C37" s="488"/>
      <c r="D37" s="71"/>
      <c r="E37" s="484">
        <f t="shared" ref="E37:N37" si="7">ROUND(SUM(D36*E16+E36*E17)/12,4)</f>
        <v>2.6063999999999998</v>
      </c>
      <c r="F37" s="484">
        <f t="shared" si="7"/>
        <v>3.6404999999999998</v>
      </c>
      <c r="G37" s="484">
        <f t="shared" si="7"/>
        <v>3.6006</v>
      </c>
      <c r="H37" s="484">
        <f t="shared" si="7"/>
        <v>3.5874999999999999</v>
      </c>
      <c r="I37" s="484">
        <f t="shared" si="7"/>
        <v>3.6185</v>
      </c>
      <c r="J37" s="484">
        <f t="shared" si="7"/>
        <v>3.6185</v>
      </c>
      <c r="K37" s="484">
        <f t="shared" si="7"/>
        <v>3.6185</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Unmettered Scattered Load</v>
      </c>
      <c r="C39" s="784" t="str">
        <f>'2. LRAMVA Threshold'!G43</f>
        <v>kWh</v>
      </c>
      <c r="D39" s="46"/>
      <c r="E39" s="46">
        <v>1.2500000000000001E-2</v>
      </c>
      <c r="F39" s="46">
        <v>3.2599999999999997E-2</v>
      </c>
      <c r="G39" s="46">
        <v>3.2800000000000003E-2</v>
      </c>
      <c r="H39" s="46">
        <v>3.32E-2</v>
      </c>
      <c r="I39" s="46">
        <v>3.3599999999999998E-2</v>
      </c>
      <c r="J39" s="46">
        <v>3.3599999999999998E-2</v>
      </c>
      <c r="K39" s="46">
        <v>3.3599999999999998E-2</v>
      </c>
      <c r="L39" s="46"/>
      <c r="M39" s="46"/>
      <c r="N39" s="46"/>
      <c r="O39" s="69"/>
    </row>
    <row r="40" spans="1:15" s="18" customFormat="1" outlineLevel="1">
      <c r="A40" s="4"/>
      <c r="B40" s="535" t="s">
        <v>514</v>
      </c>
      <c r="C40" s="785"/>
      <c r="D40" s="46"/>
      <c r="E40" s="46"/>
      <c r="F40" s="46"/>
      <c r="G40" s="46"/>
      <c r="H40" s="46"/>
      <c r="I40" s="46"/>
      <c r="J40" s="46"/>
      <c r="K40" s="46"/>
      <c r="L40" s="46"/>
      <c r="M40" s="46"/>
      <c r="N40" s="46"/>
      <c r="O40" s="69"/>
    </row>
    <row r="41" spans="1:15" s="18" customFormat="1" outlineLevel="1">
      <c r="A41" s="4"/>
      <c r="B41" s="535" t="s">
        <v>515</v>
      </c>
      <c r="C41" s="785"/>
      <c r="D41" s="46"/>
      <c r="E41" s="46"/>
      <c r="F41" s="46"/>
      <c r="G41" s="46"/>
      <c r="H41" s="46"/>
      <c r="I41" s="46"/>
      <c r="J41" s="46"/>
      <c r="K41" s="46"/>
      <c r="L41" s="46"/>
      <c r="M41" s="46"/>
      <c r="N41" s="46"/>
      <c r="O41" s="69"/>
    </row>
    <row r="42" spans="1:15" s="18" customFormat="1" outlineLevel="1">
      <c r="A42" s="4"/>
      <c r="B42" s="535" t="s">
        <v>491</v>
      </c>
      <c r="C42" s="785"/>
      <c r="D42" s="46"/>
      <c r="E42" s="46"/>
      <c r="F42" s="46"/>
      <c r="G42" s="46"/>
      <c r="H42" s="46"/>
      <c r="I42" s="46"/>
      <c r="J42" s="46"/>
      <c r="K42" s="46"/>
      <c r="L42" s="46"/>
      <c r="M42" s="46"/>
      <c r="N42" s="46"/>
      <c r="O42" s="69"/>
    </row>
    <row r="43" spans="1:15" s="18" customFormat="1">
      <c r="A43" s="4"/>
      <c r="B43" s="535" t="s">
        <v>516</v>
      </c>
      <c r="C43" s="786"/>
      <c r="D43" s="65">
        <f>SUM(D39:D42)</f>
        <v>0</v>
      </c>
      <c r="E43" s="65">
        <f t="shared" ref="E43:N43" si="8">SUM(E39:E42)</f>
        <v>1.2500000000000001E-2</v>
      </c>
      <c r="F43" s="65">
        <f t="shared" si="8"/>
        <v>3.2599999999999997E-2</v>
      </c>
      <c r="G43" s="65">
        <f t="shared" si="8"/>
        <v>3.2800000000000003E-2</v>
      </c>
      <c r="H43" s="65">
        <f t="shared" si="8"/>
        <v>3.32E-2</v>
      </c>
      <c r="I43" s="65">
        <f t="shared" si="8"/>
        <v>3.3599999999999998E-2</v>
      </c>
      <c r="J43" s="65">
        <f t="shared" si="8"/>
        <v>3.3599999999999998E-2</v>
      </c>
      <c r="K43" s="65">
        <f t="shared" si="8"/>
        <v>3.3599999999999998E-2</v>
      </c>
      <c r="L43" s="65">
        <f t="shared" si="8"/>
        <v>0</v>
      </c>
      <c r="M43" s="65">
        <f t="shared" si="8"/>
        <v>0</v>
      </c>
      <c r="N43" s="65">
        <f t="shared" si="8"/>
        <v>0</v>
      </c>
      <c r="O43" s="76"/>
    </row>
    <row r="44" spans="1:15" s="14" customFormat="1">
      <c r="A44" s="72"/>
      <c r="B44" s="492" t="s">
        <v>517</v>
      </c>
      <c r="C44" s="488"/>
      <c r="D44" s="71"/>
      <c r="E44" s="484">
        <f t="shared" ref="E44:N44" si="9">ROUND(SUM(D43*E16+E43*E17)/12,4)</f>
        <v>1.2500000000000001E-2</v>
      </c>
      <c r="F44" s="484">
        <f t="shared" si="9"/>
        <v>3.2599999999999997E-2</v>
      </c>
      <c r="G44" s="484">
        <f t="shared" si="9"/>
        <v>3.2800000000000003E-2</v>
      </c>
      <c r="H44" s="484">
        <f t="shared" si="9"/>
        <v>3.32E-2</v>
      </c>
      <c r="I44" s="484">
        <f t="shared" si="9"/>
        <v>3.3599999999999998E-2</v>
      </c>
      <c r="J44" s="484">
        <f t="shared" si="9"/>
        <v>3.3599999999999998E-2</v>
      </c>
      <c r="K44" s="484">
        <f t="shared" si="9"/>
        <v>3.3599999999999998E-2</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t="str">
        <f>'1.  LRAMVA Summary'!B33</f>
        <v>Sentinel Lighiting</v>
      </c>
      <c r="C46" s="784" t="str">
        <f>'2. LRAMVA Threshold'!H43</f>
        <v>kw</v>
      </c>
      <c r="D46" s="46"/>
      <c r="E46" s="46">
        <v>6.7270000000000003</v>
      </c>
      <c r="F46" s="46">
        <v>8.6067</v>
      </c>
      <c r="G46" s="46">
        <v>10.155200000000001</v>
      </c>
      <c r="H46" s="46">
        <v>13.6395</v>
      </c>
      <c r="I46" s="46">
        <v>15.043699999999999</v>
      </c>
      <c r="J46" s="46">
        <v>15.043699999999999</v>
      </c>
      <c r="K46" s="46">
        <v>15.043699999999999</v>
      </c>
      <c r="L46" s="46"/>
      <c r="M46" s="46"/>
      <c r="N46" s="46"/>
      <c r="O46" s="69"/>
    </row>
    <row r="47" spans="1:15" s="18" customFormat="1" outlineLevel="1">
      <c r="A47" s="4"/>
      <c r="B47" s="535" t="s">
        <v>514</v>
      </c>
      <c r="C47" s="785"/>
      <c r="D47" s="46"/>
      <c r="E47" s="46"/>
      <c r="F47" s="46"/>
      <c r="G47" s="46"/>
      <c r="H47" s="46"/>
      <c r="I47" s="46"/>
      <c r="J47" s="46"/>
      <c r="K47" s="46"/>
      <c r="L47" s="46"/>
      <c r="M47" s="46"/>
      <c r="N47" s="46"/>
      <c r="O47" s="69"/>
    </row>
    <row r="48" spans="1:15" s="18" customFormat="1" outlineLevel="1">
      <c r="A48" s="4"/>
      <c r="B48" s="535" t="s">
        <v>515</v>
      </c>
      <c r="C48" s="785"/>
      <c r="D48" s="46"/>
      <c r="E48" s="46"/>
      <c r="F48" s="46"/>
      <c r="G48" s="46"/>
      <c r="H48" s="46"/>
      <c r="I48" s="46"/>
      <c r="J48" s="46"/>
      <c r="K48" s="46"/>
      <c r="L48" s="46"/>
      <c r="M48" s="46"/>
      <c r="N48" s="46"/>
      <c r="O48" s="69"/>
    </row>
    <row r="49" spans="1:15" s="18" customFormat="1" outlineLevel="1">
      <c r="A49" s="4"/>
      <c r="B49" s="535" t="s">
        <v>491</v>
      </c>
      <c r="C49" s="785"/>
      <c r="D49" s="46"/>
      <c r="E49" s="46"/>
      <c r="F49" s="46"/>
      <c r="G49" s="46"/>
      <c r="H49" s="46"/>
      <c r="I49" s="46"/>
      <c r="J49" s="46"/>
      <c r="K49" s="46"/>
      <c r="L49" s="46"/>
      <c r="M49" s="46"/>
      <c r="N49" s="46"/>
      <c r="O49" s="69"/>
    </row>
    <row r="50" spans="1:15" s="18" customFormat="1">
      <c r="A50" s="4"/>
      <c r="B50" s="535" t="s">
        <v>516</v>
      </c>
      <c r="C50" s="786"/>
      <c r="D50" s="65">
        <f>SUM(D46:D49)</f>
        <v>0</v>
      </c>
      <c r="E50" s="65">
        <f t="shared" ref="E50:N50" si="10">SUM(E46:E49)</f>
        <v>6.7270000000000003</v>
      </c>
      <c r="F50" s="65">
        <f t="shared" si="10"/>
        <v>8.6067</v>
      </c>
      <c r="G50" s="65">
        <f t="shared" si="10"/>
        <v>10.155200000000001</v>
      </c>
      <c r="H50" s="65">
        <f t="shared" si="10"/>
        <v>13.6395</v>
      </c>
      <c r="I50" s="65">
        <f t="shared" si="10"/>
        <v>15.043699999999999</v>
      </c>
      <c r="J50" s="65">
        <f t="shared" si="10"/>
        <v>15.043699999999999</v>
      </c>
      <c r="K50" s="65">
        <f t="shared" si="10"/>
        <v>15.043699999999999</v>
      </c>
      <c r="L50" s="65">
        <f t="shared" si="10"/>
        <v>0</v>
      </c>
      <c r="M50" s="65">
        <f t="shared" si="10"/>
        <v>0</v>
      </c>
      <c r="N50" s="65">
        <f t="shared" si="10"/>
        <v>0</v>
      </c>
      <c r="O50" s="76"/>
    </row>
    <row r="51" spans="1:15" s="14" customFormat="1">
      <c r="A51" s="72"/>
      <c r="B51" s="492" t="s">
        <v>517</v>
      </c>
      <c r="C51" s="488"/>
      <c r="D51" s="71"/>
      <c r="E51" s="484">
        <f t="shared" ref="E51:N51" si="11">ROUND(SUM(D50*E16+E50*E17)/12,4)</f>
        <v>6.7270000000000003</v>
      </c>
      <c r="F51" s="484">
        <f t="shared" si="11"/>
        <v>8.6067</v>
      </c>
      <c r="G51" s="484">
        <f t="shared" si="11"/>
        <v>10.155200000000001</v>
      </c>
      <c r="H51" s="484">
        <f t="shared" si="11"/>
        <v>13.6395</v>
      </c>
      <c r="I51" s="484">
        <f t="shared" si="11"/>
        <v>15.043699999999999</v>
      </c>
      <c r="J51" s="484">
        <f t="shared" si="11"/>
        <v>15.043699999999999</v>
      </c>
      <c r="K51" s="484">
        <f t="shared" si="11"/>
        <v>15.043699999999999</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t="str">
        <f>'1.  LRAMVA Summary'!B34</f>
        <v>Street Lighting</v>
      </c>
      <c r="C53" s="784" t="str">
        <f>'2. LRAMVA Threshold'!I43</f>
        <v>kw</v>
      </c>
      <c r="D53" s="46"/>
      <c r="E53" s="46">
        <v>14.412000000000001</v>
      </c>
      <c r="F53" s="46">
        <v>14.412000000000001</v>
      </c>
      <c r="G53" s="46">
        <v>18.3108</v>
      </c>
      <c r="H53" s="46">
        <v>20.3873</v>
      </c>
      <c r="I53" s="46">
        <v>20.6218</v>
      </c>
      <c r="J53" s="46">
        <v>20.6218</v>
      </c>
      <c r="K53" s="46">
        <v>20.6218</v>
      </c>
      <c r="L53" s="46"/>
      <c r="M53" s="46"/>
      <c r="N53" s="46"/>
      <c r="O53" s="69"/>
    </row>
    <row r="54" spans="1:15" s="18" customFormat="1" outlineLevel="1">
      <c r="A54" s="4"/>
      <c r="B54" s="535" t="s">
        <v>514</v>
      </c>
      <c r="C54" s="785"/>
      <c r="D54" s="46"/>
      <c r="E54" s="46"/>
      <c r="F54" s="46"/>
      <c r="G54" s="46"/>
      <c r="H54" s="46"/>
      <c r="I54" s="46"/>
      <c r="J54" s="46"/>
      <c r="K54" s="46"/>
      <c r="L54" s="46"/>
      <c r="M54" s="46"/>
      <c r="N54" s="46"/>
      <c r="O54" s="69"/>
    </row>
    <row r="55" spans="1:15" s="18" customFormat="1" outlineLevel="1">
      <c r="A55" s="4"/>
      <c r="B55" s="535" t="s">
        <v>515</v>
      </c>
      <c r="C55" s="785"/>
      <c r="D55" s="46"/>
      <c r="E55" s="46"/>
      <c r="F55" s="46"/>
      <c r="G55" s="46"/>
      <c r="H55" s="46"/>
      <c r="I55" s="46"/>
      <c r="J55" s="46"/>
      <c r="K55" s="46"/>
      <c r="L55" s="46"/>
      <c r="M55" s="46"/>
      <c r="N55" s="46"/>
      <c r="O55" s="69"/>
    </row>
    <row r="56" spans="1:15" s="18" customFormat="1" outlineLevel="1">
      <c r="A56" s="4"/>
      <c r="B56" s="535" t="s">
        <v>491</v>
      </c>
      <c r="C56" s="785"/>
      <c r="D56" s="46"/>
      <c r="E56" s="46"/>
      <c r="F56" s="46"/>
      <c r="G56" s="46"/>
      <c r="H56" s="46"/>
      <c r="I56" s="46"/>
      <c r="J56" s="46"/>
      <c r="K56" s="46"/>
      <c r="L56" s="46"/>
      <c r="M56" s="46"/>
      <c r="N56" s="46"/>
      <c r="O56" s="69"/>
    </row>
    <row r="57" spans="1:15" s="18" customFormat="1">
      <c r="A57" s="4"/>
      <c r="B57" s="535" t="s">
        <v>516</v>
      </c>
      <c r="C57" s="786"/>
      <c r="D57" s="65">
        <f>SUM(D53:D56)</f>
        <v>0</v>
      </c>
      <c r="E57" s="65">
        <f t="shared" ref="E57:N57" si="12">SUM(E53:E56)</f>
        <v>14.412000000000001</v>
      </c>
      <c r="F57" s="65">
        <f t="shared" si="12"/>
        <v>14.412000000000001</v>
      </c>
      <c r="G57" s="65">
        <f t="shared" si="12"/>
        <v>18.3108</v>
      </c>
      <c r="H57" s="65">
        <f t="shared" si="12"/>
        <v>20.3873</v>
      </c>
      <c r="I57" s="65">
        <f t="shared" si="12"/>
        <v>20.6218</v>
      </c>
      <c r="J57" s="65">
        <f t="shared" si="12"/>
        <v>20.6218</v>
      </c>
      <c r="K57" s="65">
        <f t="shared" si="12"/>
        <v>20.6218</v>
      </c>
      <c r="L57" s="65">
        <f t="shared" si="12"/>
        <v>0</v>
      </c>
      <c r="M57" s="65">
        <f t="shared" si="12"/>
        <v>0</v>
      </c>
      <c r="N57" s="65">
        <f t="shared" si="12"/>
        <v>0</v>
      </c>
      <c r="O57" s="77"/>
    </row>
    <row r="58" spans="1:15" s="14" customFormat="1">
      <c r="A58" s="72"/>
      <c r="B58" s="492" t="s">
        <v>517</v>
      </c>
      <c r="C58" s="488"/>
      <c r="D58" s="71"/>
      <c r="E58" s="484">
        <f t="shared" ref="E58:N58" si="13">ROUND(SUM(D57*E16+E57*E17)/12,4)</f>
        <v>14.412000000000001</v>
      </c>
      <c r="F58" s="484">
        <f t="shared" si="13"/>
        <v>14.412000000000001</v>
      </c>
      <c r="G58" s="484">
        <f t="shared" si="13"/>
        <v>18.3108</v>
      </c>
      <c r="H58" s="484">
        <f t="shared" si="13"/>
        <v>20.3873</v>
      </c>
      <c r="I58" s="484">
        <f t="shared" si="13"/>
        <v>20.6218</v>
      </c>
      <c r="J58" s="484">
        <f t="shared" si="13"/>
        <v>20.6218</v>
      </c>
      <c r="K58" s="484">
        <f t="shared" si="13"/>
        <v>20.6218</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f>'1.  LRAMVA Summary'!B35</f>
        <v>0</v>
      </c>
      <c r="C60" s="784">
        <f>'2. LRAMVA Threshold'!J43</f>
        <v>0</v>
      </c>
      <c r="D60" s="46"/>
      <c r="E60" s="46"/>
      <c r="F60" s="46"/>
      <c r="G60" s="46"/>
      <c r="H60" s="46"/>
      <c r="I60" s="46"/>
      <c r="J60" s="46"/>
      <c r="K60" s="46"/>
      <c r="L60" s="46"/>
      <c r="M60" s="46"/>
      <c r="N60" s="46"/>
      <c r="O60" s="69"/>
    </row>
    <row r="61" spans="1:15" s="18" customFormat="1" outlineLevel="1">
      <c r="A61" s="4"/>
      <c r="B61" s="535" t="s">
        <v>514</v>
      </c>
      <c r="C61" s="785"/>
      <c r="D61" s="46"/>
      <c r="E61" s="46"/>
      <c r="F61" s="46"/>
      <c r="G61" s="46"/>
      <c r="H61" s="46"/>
      <c r="I61" s="46"/>
      <c r="J61" s="46"/>
      <c r="K61" s="46"/>
      <c r="L61" s="46"/>
      <c r="M61" s="46"/>
      <c r="N61" s="46"/>
      <c r="O61" s="69"/>
    </row>
    <row r="62" spans="1:15" s="18" customFormat="1" outlineLevel="1">
      <c r="A62" s="4"/>
      <c r="B62" s="535" t="s">
        <v>515</v>
      </c>
      <c r="C62" s="785"/>
      <c r="D62" s="46"/>
      <c r="E62" s="46"/>
      <c r="F62" s="46"/>
      <c r="G62" s="46"/>
      <c r="H62" s="46"/>
      <c r="I62" s="46"/>
      <c r="J62" s="46"/>
      <c r="K62" s="46"/>
      <c r="L62" s="46"/>
      <c r="M62" s="46"/>
      <c r="N62" s="46"/>
      <c r="O62" s="69"/>
    </row>
    <row r="63" spans="1:15" s="18" customFormat="1" outlineLevel="1">
      <c r="A63" s="4"/>
      <c r="B63" s="535" t="s">
        <v>491</v>
      </c>
      <c r="C63" s="785"/>
      <c r="D63" s="46"/>
      <c r="E63" s="46"/>
      <c r="F63" s="46"/>
      <c r="G63" s="46"/>
      <c r="H63" s="46"/>
      <c r="I63" s="46"/>
      <c r="J63" s="46"/>
      <c r="K63" s="46"/>
      <c r="L63" s="46"/>
      <c r="M63" s="46"/>
      <c r="N63" s="46"/>
      <c r="O63" s="69"/>
    </row>
    <row r="64" spans="1:15" s="18" customFormat="1">
      <c r="A64" s="4"/>
      <c r="B64" s="535" t="s">
        <v>516</v>
      </c>
      <c r="C64" s="78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784">
        <f>'2. LRAMVA Threshold'!K43</f>
        <v>0</v>
      </c>
      <c r="D67" s="46"/>
      <c r="E67" s="46"/>
      <c r="F67" s="46"/>
      <c r="G67" s="46"/>
      <c r="H67" s="46"/>
      <c r="I67" s="46"/>
      <c r="J67" s="46"/>
      <c r="K67" s="46"/>
      <c r="L67" s="46"/>
      <c r="M67" s="46"/>
      <c r="N67" s="46"/>
      <c r="O67" s="69"/>
    </row>
    <row r="68" spans="1:15" s="18" customFormat="1" outlineLevel="1">
      <c r="A68" s="4"/>
      <c r="B68" s="535" t="s">
        <v>514</v>
      </c>
      <c r="C68" s="785"/>
      <c r="D68" s="46"/>
      <c r="E68" s="46"/>
      <c r="F68" s="46"/>
      <c r="G68" s="46"/>
      <c r="H68" s="46"/>
      <c r="I68" s="46"/>
      <c r="J68" s="46"/>
      <c r="K68" s="46"/>
      <c r="L68" s="46"/>
      <c r="M68" s="46"/>
      <c r="N68" s="46"/>
      <c r="O68" s="69"/>
    </row>
    <row r="69" spans="1:15" s="18" customFormat="1" outlineLevel="1">
      <c r="A69" s="4"/>
      <c r="B69" s="535" t="s">
        <v>515</v>
      </c>
      <c r="C69" s="785"/>
      <c r="D69" s="46"/>
      <c r="E69" s="46"/>
      <c r="F69" s="46"/>
      <c r="G69" s="46"/>
      <c r="H69" s="46"/>
      <c r="I69" s="46"/>
      <c r="J69" s="46"/>
      <c r="K69" s="46"/>
      <c r="L69" s="46"/>
      <c r="M69" s="46"/>
      <c r="N69" s="46"/>
      <c r="O69" s="69"/>
    </row>
    <row r="70" spans="1:15" s="18" customFormat="1" outlineLevel="1">
      <c r="A70" s="4"/>
      <c r="B70" s="535" t="s">
        <v>491</v>
      </c>
      <c r="C70" s="785"/>
      <c r="D70" s="46"/>
      <c r="E70" s="46"/>
      <c r="F70" s="46"/>
      <c r="G70" s="46"/>
      <c r="H70" s="46"/>
      <c r="I70" s="46"/>
      <c r="J70" s="46"/>
      <c r="K70" s="46"/>
      <c r="L70" s="46"/>
      <c r="M70" s="46"/>
      <c r="N70" s="46"/>
      <c r="O70" s="69"/>
    </row>
    <row r="71" spans="1:15" s="18" customFormat="1">
      <c r="A71" s="4"/>
      <c r="B71" s="535" t="s">
        <v>516</v>
      </c>
      <c r="C71" s="78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784">
        <f>'2. LRAMVA Threshold'!L43</f>
        <v>0</v>
      </c>
      <c r="D74" s="46"/>
      <c r="E74" s="46"/>
      <c r="F74" s="46"/>
      <c r="G74" s="46"/>
      <c r="H74" s="46"/>
      <c r="I74" s="46"/>
      <c r="J74" s="46"/>
      <c r="K74" s="46"/>
      <c r="L74" s="46"/>
      <c r="M74" s="46"/>
      <c r="N74" s="46"/>
      <c r="O74" s="69"/>
    </row>
    <row r="75" spans="1:15" s="18" customFormat="1" outlineLevel="1">
      <c r="A75" s="4"/>
      <c r="B75" s="535" t="s">
        <v>514</v>
      </c>
      <c r="C75" s="785"/>
      <c r="D75" s="46"/>
      <c r="E75" s="46"/>
      <c r="F75" s="46"/>
      <c r="G75" s="46"/>
      <c r="H75" s="46"/>
      <c r="I75" s="46"/>
      <c r="J75" s="46"/>
      <c r="K75" s="46"/>
      <c r="L75" s="46"/>
      <c r="M75" s="46"/>
      <c r="N75" s="46"/>
      <c r="O75" s="69"/>
    </row>
    <row r="76" spans="1:15" s="18" customFormat="1" outlineLevel="1">
      <c r="A76" s="4"/>
      <c r="B76" s="535" t="s">
        <v>515</v>
      </c>
      <c r="C76" s="785"/>
      <c r="D76" s="46"/>
      <c r="E76" s="46"/>
      <c r="F76" s="46"/>
      <c r="G76" s="46"/>
      <c r="H76" s="46"/>
      <c r="I76" s="46"/>
      <c r="J76" s="46"/>
      <c r="K76" s="46"/>
      <c r="L76" s="46"/>
      <c r="M76" s="46"/>
      <c r="N76" s="46"/>
      <c r="O76" s="69"/>
    </row>
    <row r="77" spans="1:15" s="18" customFormat="1" outlineLevel="1">
      <c r="A77" s="4"/>
      <c r="B77" s="535" t="s">
        <v>491</v>
      </c>
      <c r="C77" s="785"/>
      <c r="D77" s="46"/>
      <c r="E77" s="46"/>
      <c r="F77" s="46"/>
      <c r="G77" s="46"/>
      <c r="H77" s="46"/>
      <c r="I77" s="46"/>
      <c r="J77" s="46"/>
      <c r="K77" s="46"/>
      <c r="L77" s="46"/>
      <c r="M77" s="46"/>
      <c r="N77" s="46"/>
      <c r="O77" s="69"/>
    </row>
    <row r="78" spans="1:15" s="18" customFormat="1">
      <c r="A78" s="4"/>
      <c r="B78" s="535" t="s">
        <v>516</v>
      </c>
      <c r="C78" s="78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784">
        <f>'2. LRAMVA Threshold'!M43</f>
        <v>0</v>
      </c>
      <c r="D81" s="46"/>
      <c r="E81" s="46"/>
      <c r="F81" s="46"/>
      <c r="G81" s="46"/>
      <c r="H81" s="46"/>
      <c r="I81" s="46"/>
      <c r="J81" s="46"/>
      <c r="K81" s="46"/>
      <c r="L81" s="46"/>
      <c r="M81" s="46"/>
      <c r="N81" s="46"/>
      <c r="O81" s="69"/>
    </row>
    <row r="82" spans="1:15" s="18" customFormat="1" outlineLevel="1">
      <c r="A82" s="4"/>
      <c r="B82" s="535" t="s">
        <v>514</v>
      </c>
      <c r="C82" s="785"/>
      <c r="D82" s="46"/>
      <c r="E82" s="46"/>
      <c r="F82" s="46"/>
      <c r="G82" s="46"/>
      <c r="H82" s="46"/>
      <c r="I82" s="46"/>
      <c r="J82" s="46"/>
      <c r="K82" s="46"/>
      <c r="L82" s="46"/>
      <c r="M82" s="46"/>
      <c r="N82" s="46"/>
      <c r="O82" s="69"/>
    </row>
    <row r="83" spans="1:15" s="18" customFormat="1" outlineLevel="1">
      <c r="A83" s="4"/>
      <c r="B83" s="535" t="s">
        <v>515</v>
      </c>
      <c r="C83" s="785"/>
      <c r="D83" s="46"/>
      <c r="E83" s="46"/>
      <c r="F83" s="46"/>
      <c r="G83" s="46"/>
      <c r="H83" s="46"/>
      <c r="I83" s="46"/>
      <c r="J83" s="46"/>
      <c r="K83" s="46"/>
      <c r="L83" s="46"/>
      <c r="M83" s="46"/>
      <c r="N83" s="46"/>
      <c r="O83" s="69"/>
    </row>
    <row r="84" spans="1:15" s="18" customFormat="1" outlineLevel="1">
      <c r="A84" s="4"/>
      <c r="B84" s="535" t="s">
        <v>491</v>
      </c>
      <c r="C84" s="785"/>
      <c r="D84" s="46"/>
      <c r="E84" s="46"/>
      <c r="F84" s="46"/>
      <c r="G84" s="46"/>
      <c r="H84" s="46"/>
      <c r="I84" s="46"/>
      <c r="J84" s="46"/>
      <c r="K84" s="46"/>
      <c r="L84" s="46"/>
      <c r="M84" s="46"/>
      <c r="N84" s="46"/>
      <c r="O84" s="69"/>
    </row>
    <row r="85" spans="1:15" s="18" customFormat="1">
      <c r="A85" s="4"/>
      <c r="B85" s="535" t="s">
        <v>516</v>
      </c>
      <c r="C85" s="78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784">
        <f>'2. LRAMVA Threshold'!N43</f>
        <v>0</v>
      </c>
      <c r="D88" s="46"/>
      <c r="E88" s="46"/>
      <c r="F88" s="46"/>
      <c r="G88" s="46"/>
      <c r="H88" s="46"/>
      <c r="I88" s="46"/>
      <c r="J88" s="46"/>
      <c r="K88" s="46"/>
      <c r="L88" s="46"/>
      <c r="M88" s="46"/>
      <c r="N88" s="46"/>
      <c r="O88" s="69"/>
    </row>
    <row r="89" spans="1:15" s="18" customFormat="1" outlineLevel="1">
      <c r="A89" s="4"/>
      <c r="B89" s="535" t="s">
        <v>514</v>
      </c>
      <c r="C89" s="785"/>
      <c r="D89" s="46"/>
      <c r="E89" s="46"/>
      <c r="F89" s="46"/>
      <c r="G89" s="46"/>
      <c r="H89" s="46"/>
      <c r="I89" s="46"/>
      <c r="J89" s="46"/>
      <c r="K89" s="46"/>
      <c r="L89" s="46"/>
      <c r="M89" s="46"/>
      <c r="N89" s="46"/>
      <c r="O89" s="69"/>
    </row>
    <row r="90" spans="1:15" s="18" customFormat="1" outlineLevel="1">
      <c r="A90" s="4"/>
      <c r="B90" s="535" t="s">
        <v>515</v>
      </c>
      <c r="C90" s="785"/>
      <c r="D90" s="46"/>
      <c r="E90" s="46"/>
      <c r="F90" s="46"/>
      <c r="G90" s="46"/>
      <c r="H90" s="46"/>
      <c r="I90" s="46"/>
      <c r="J90" s="46"/>
      <c r="K90" s="46"/>
      <c r="L90" s="46"/>
      <c r="M90" s="46"/>
      <c r="N90" s="46"/>
      <c r="O90" s="69"/>
    </row>
    <row r="91" spans="1:15" s="18" customFormat="1" outlineLevel="1">
      <c r="A91" s="4"/>
      <c r="B91" s="535" t="s">
        <v>491</v>
      </c>
      <c r="C91" s="785"/>
      <c r="D91" s="46"/>
      <c r="E91" s="46"/>
      <c r="F91" s="46"/>
      <c r="G91" s="46"/>
      <c r="H91" s="46"/>
      <c r="I91" s="46"/>
      <c r="J91" s="46"/>
      <c r="K91" s="46"/>
      <c r="L91" s="46"/>
      <c r="M91" s="46"/>
      <c r="N91" s="46"/>
      <c r="O91" s="69"/>
    </row>
    <row r="92" spans="1:15" s="18" customFormat="1">
      <c r="A92" s="4"/>
      <c r="B92" s="535" t="s">
        <v>516</v>
      </c>
      <c r="C92" s="78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784">
        <f>'2. LRAMVA Threshold'!O43</f>
        <v>0</v>
      </c>
      <c r="D95" s="46"/>
      <c r="E95" s="46"/>
      <c r="F95" s="46"/>
      <c r="G95" s="46"/>
      <c r="H95" s="46"/>
      <c r="I95" s="46"/>
      <c r="J95" s="46"/>
      <c r="K95" s="46"/>
      <c r="L95" s="46"/>
      <c r="M95" s="46"/>
      <c r="N95" s="46"/>
      <c r="O95" s="69"/>
    </row>
    <row r="96" spans="1:15" s="18" customFormat="1" outlineLevel="1">
      <c r="A96" s="4"/>
      <c r="B96" s="535" t="s">
        <v>514</v>
      </c>
      <c r="C96" s="785"/>
      <c r="D96" s="46"/>
      <c r="E96" s="46"/>
      <c r="F96" s="46"/>
      <c r="G96" s="46"/>
      <c r="H96" s="46"/>
      <c r="I96" s="46"/>
      <c r="J96" s="46"/>
      <c r="K96" s="46"/>
      <c r="L96" s="46"/>
      <c r="M96" s="46"/>
      <c r="N96" s="46"/>
      <c r="O96" s="69"/>
    </row>
    <row r="97" spans="1:15" s="18" customFormat="1" outlineLevel="1">
      <c r="A97" s="4"/>
      <c r="B97" s="535" t="s">
        <v>515</v>
      </c>
      <c r="C97" s="785"/>
      <c r="D97" s="46"/>
      <c r="E97" s="46"/>
      <c r="F97" s="46"/>
      <c r="G97" s="46"/>
      <c r="H97" s="46"/>
      <c r="I97" s="46"/>
      <c r="J97" s="46"/>
      <c r="K97" s="46"/>
      <c r="L97" s="46"/>
      <c r="M97" s="46"/>
      <c r="N97" s="46"/>
      <c r="O97" s="69"/>
    </row>
    <row r="98" spans="1:15" s="18" customFormat="1" outlineLevel="1">
      <c r="A98" s="4"/>
      <c r="B98" s="535" t="s">
        <v>491</v>
      </c>
      <c r="C98" s="785"/>
      <c r="D98" s="46"/>
      <c r="E98" s="46"/>
      <c r="F98" s="46"/>
      <c r="G98" s="46"/>
      <c r="H98" s="46"/>
      <c r="I98" s="46"/>
      <c r="J98" s="46"/>
      <c r="K98" s="46"/>
      <c r="L98" s="46"/>
      <c r="M98" s="46"/>
      <c r="N98" s="46"/>
      <c r="O98" s="69"/>
    </row>
    <row r="99" spans="1:15" s="18" customFormat="1">
      <c r="A99" s="4"/>
      <c r="B99" s="535" t="s">
        <v>516</v>
      </c>
      <c r="C99" s="78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784">
        <f>'2. LRAMVA Threshold'!P43</f>
        <v>0</v>
      </c>
      <c r="D102" s="46"/>
      <c r="E102" s="46"/>
      <c r="F102" s="46"/>
      <c r="G102" s="46"/>
      <c r="H102" s="46"/>
      <c r="I102" s="46"/>
      <c r="J102" s="46"/>
      <c r="K102" s="46"/>
      <c r="L102" s="46"/>
      <c r="M102" s="46"/>
      <c r="N102" s="46"/>
      <c r="O102" s="69"/>
    </row>
    <row r="103" spans="1:15" s="18" customFormat="1" outlineLevel="1">
      <c r="A103" s="4"/>
      <c r="B103" s="535" t="s">
        <v>514</v>
      </c>
      <c r="C103" s="785"/>
      <c r="D103" s="46"/>
      <c r="E103" s="46"/>
      <c r="F103" s="46"/>
      <c r="G103" s="46"/>
      <c r="H103" s="46"/>
      <c r="I103" s="46"/>
      <c r="J103" s="46"/>
      <c r="K103" s="46"/>
      <c r="L103" s="46"/>
      <c r="M103" s="46"/>
      <c r="N103" s="46"/>
      <c r="O103" s="69"/>
    </row>
    <row r="104" spans="1:15" s="18" customFormat="1" outlineLevel="1">
      <c r="A104" s="4"/>
      <c r="B104" s="535" t="s">
        <v>515</v>
      </c>
      <c r="C104" s="785"/>
      <c r="D104" s="46"/>
      <c r="E104" s="46"/>
      <c r="F104" s="46"/>
      <c r="G104" s="46"/>
      <c r="H104" s="46"/>
      <c r="I104" s="46"/>
      <c r="J104" s="46"/>
      <c r="K104" s="46"/>
      <c r="L104" s="46"/>
      <c r="M104" s="46"/>
      <c r="N104" s="46"/>
      <c r="O104" s="69"/>
    </row>
    <row r="105" spans="1:15" s="18" customFormat="1" outlineLevel="1">
      <c r="A105" s="4"/>
      <c r="B105" s="535" t="s">
        <v>491</v>
      </c>
      <c r="C105" s="785"/>
      <c r="D105" s="46"/>
      <c r="E105" s="46"/>
      <c r="F105" s="46"/>
      <c r="G105" s="46"/>
      <c r="H105" s="46"/>
      <c r="I105" s="46"/>
      <c r="J105" s="46"/>
      <c r="K105" s="46"/>
      <c r="L105" s="46"/>
      <c r="M105" s="46"/>
      <c r="N105" s="46"/>
      <c r="O105" s="69"/>
    </row>
    <row r="106" spans="1:15" s="18" customFormat="1">
      <c r="A106" s="4"/>
      <c r="B106" s="535" t="s">
        <v>516</v>
      </c>
      <c r="C106" s="78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784">
        <f>'2. LRAMVA Threshold'!Q43</f>
        <v>0</v>
      </c>
      <c r="D109" s="46"/>
      <c r="E109" s="46"/>
      <c r="F109" s="46"/>
      <c r="G109" s="46"/>
      <c r="H109" s="46"/>
      <c r="I109" s="46"/>
      <c r="J109" s="46"/>
      <c r="K109" s="46"/>
      <c r="L109" s="46"/>
      <c r="M109" s="46"/>
      <c r="N109" s="46"/>
      <c r="O109" s="69"/>
    </row>
    <row r="110" spans="1:15" s="18" customFormat="1" outlineLevel="1">
      <c r="A110" s="4"/>
      <c r="B110" s="535" t="s">
        <v>514</v>
      </c>
      <c r="C110" s="785"/>
      <c r="D110" s="46"/>
      <c r="E110" s="46"/>
      <c r="F110" s="46"/>
      <c r="G110" s="46"/>
      <c r="H110" s="46"/>
      <c r="I110" s="46"/>
      <c r="J110" s="46"/>
      <c r="K110" s="46"/>
      <c r="L110" s="46"/>
      <c r="M110" s="46"/>
      <c r="N110" s="46"/>
      <c r="O110" s="69"/>
    </row>
    <row r="111" spans="1:15" s="18" customFormat="1" outlineLevel="1">
      <c r="A111" s="4"/>
      <c r="B111" s="535" t="s">
        <v>515</v>
      </c>
      <c r="C111" s="785"/>
      <c r="D111" s="46"/>
      <c r="E111" s="46"/>
      <c r="F111" s="46"/>
      <c r="G111" s="46"/>
      <c r="H111" s="46"/>
      <c r="I111" s="46"/>
      <c r="J111" s="46"/>
      <c r="K111" s="46"/>
      <c r="L111" s="46"/>
      <c r="M111" s="46"/>
      <c r="N111" s="46"/>
      <c r="O111" s="69"/>
    </row>
    <row r="112" spans="1:15" s="18" customFormat="1" outlineLevel="1">
      <c r="A112" s="4"/>
      <c r="B112" s="535" t="s">
        <v>491</v>
      </c>
      <c r="C112" s="785"/>
      <c r="D112" s="46"/>
      <c r="E112" s="46"/>
      <c r="F112" s="46"/>
      <c r="G112" s="46"/>
      <c r="H112" s="46"/>
      <c r="I112" s="46"/>
      <c r="J112" s="46"/>
      <c r="K112" s="46"/>
      <c r="L112" s="46"/>
      <c r="M112" s="46"/>
      <c r="N112" s="46"/>
      <c r="O112" s="69"/>
    </row>
    <row r="113" spans="1:17" s="18" customFormat="1">
      <c r="A113" s="4"/>
      <c r="B113" s="535" t="s">
        <v>516</v>
      </c>
      <c r="C113" s="78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625</v>
      </c>
      <c r="C116" s="98"/>
      <c r="D116" s="499"/>
      <c r="E116" s="499"/>
      <c r="F116" s="499"/>
      <c r="G116" s="499"/>
      <c r="H116" s="499"/>
      <c r="I116" s="499"/>
      <c r="J116" s="499"/>
      <c r="K116" s="499"/>
      <c r="L116" s="499"/>
      <c r="M116" s="499"/>
      <c r="N116" s="499"/>
      <c r="O116" s="499"/>
    </row>
    <row r="119" spans="1:17" ht="15.75">
      <c r="B119" s="118" t="s">
        <v>485</v>
      </c>
      <c r="J119" s="18"/>
    </row>
    <row r="120" spans="1:17" s="14" customFormat="1" ht="75.599999999999994" customHeight="1">
      <c r="A120" s="72"/>
      <c r="B120" s="788" t="s">
        <v>689</v>
      </c>
      <c r="C120" s="788"/>
      <c r="D120" s="788"/>
      <c r="E120" s="788"/>
      <c r="F120" s="788"/>
      <c r="G120" s="788"/>
      <c r="H120" s="788"/>
      <c r="I120" s="788"/>
      <c r="J120" s="788"/>
      <c r="K120" s="788"/>
      <c r="L120" s="788"/>
      <c r="M120" s="788"/>
      <c r="N120" s="788"/>
      <c r="O120" s="788"/>
      <c r="P120" s="78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50kW to 4999 kW</v>
      </c>
      <c r="F122" s="244" t="str">
        <f>'1.  LRAMVA Summary'!G52</f>
        <v>Unmettered Scattered Load</v>
      </c>
      <c r="G122" s="244" t="str">
        <f>'1.  LRAMVA Summary'!H52</f>
        <v>Sentinel Lighiting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kWh</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1.0200000000000001E-2</v>
      </c>
      <c r="D124" s="681">
        <f>HLOOKUP(B124,$E$15:$O$114,16,FALSE)</f>
        <v>1.2200000000000001E-2</v>
      </c>
      <c r="E124" s="682">
        <f>HLOOKUP(B124,$E$15:$O$114,23,FALSE)</f>
        <v>2.6063999999999998</v>
      </c>
      <c r="F124" s="681">
        <f>HLOOKUP(B124,$E$15:$O$114,30,FALSE)</f>
        <v>1.2500000000000001E-2</v>
      </c>
      <c r="G124" s="682">
        <f>HLOOKUP(B124,$E$15:$O$114,37,FALSE)</f>
        <v>6.7270000000000003</v>
      </c>
      <c r="H124" s="681">
        <f>HLOOKUP(B124,$E$15:$O$114,44,FALSE)</f>
        <v>14.412000000000001</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1.35E-2</v>
      </c>
      <c r="D125" s="684">
        <f>HLOOKUP(B125,$E$15:$O$114,16,FALSE)</f>
        <v>1.7399999999999999E-2</v>
      </c>
      <c r="E125" s="685">
        <f>HLOOKUP(B125,$E$15:$O$114,23,FALSE)</f>
        <v>3.6404999999999998</v>
      </c>
      <c r="F125" s="684">
        <f>HLOOKUP(B125,$E$15:$O$114,30,FALSE)</f>
        <v>3.2599999999999997E-2</v>
      </c>
      <c r="G125" s="685">
        <f>HLOOKUP(B125,$E$15:$O$114,37,FALSE)</f>
        <v>8.6067</v>
      </c>
      <c r="H125" s="684">
        <f>HLOOKUP(B125,$E$15:$O$114,44,FALSE)</f>
        <v>14.412000000000001</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1.3599999999999999E-2</v>
      </c>
      <c r="D126" s="684">
        <f t="shared" ref="D126:D133" si="32">HLOOKUP(B126,$E$15:$O$114,16,FALSE)</f>
        <v>1.7500000000000002E-2</v>
      </c>
      <c r="E126" s="685">
        <f t="shared" ref="E126:E133" si="33">HLOOKUP(B126,$E$15:$O$114,23,FALSE)</f>
        <v>3.6006</v>
      </c>
      <c r="F126" s="684">
        <f t="shared" ref="F126:F133" si="34">HLOOKUP(B126,$E$15:$O$114,30,FALSE)</f>
        <v>3.2800000000000003E-2</v>
      </c>
      <c r="G126" s="685">
        <f t="shared" ref="G126:G132" si="35">HLOOKUP(B126,$E$15:$O$114,37,FALSE)</f>
        <v>10.155200000000001</v>
      </c>
      <c r="H126" s="684">
        <f t="shared" ref="H126:H133" si="36">HLOOKUP(B126,$E$15:$O$114,44,FALSE)</f>
        <v>18.3108</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1.38E-2</v>
      </c>
      <c r="D127" s="684">
        <f>HLOOKUP(B127,$E$15:$O$114,16,FALSE)</f>
        <v>1.77E-2</v>
      </c>
      <c r="E127" s="685">
        <f>HLOOKUP(B127,$E$15:$O$114,23,FALSE)</f>
        <v>3.5874999999999999</v>
      </c>
      <c r="F127" s="684">
        <f>HLOOKUP(B127,$E$15:$O$114,30,FALSE)</f>
        <v>3.32E-2</v>
      </c>
      <c r="G127" s="685">
        <f>HLOOKUP(B127,$E$15:$O$114,37,FALSE)</f>
        <v>13.6395</v>
      </c>
      <c r="H127" s="684">
        <f>HLOOKUP(B127,$E$15:$O$114,44,FALSE)</f>
        <v>20.3873</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1.4E-2</v>
      </c>
      <c r="D128" s="684">
        <f t="shared" si="32"/>
        <v>1.7899999999999999E-2</v>
      </c>
      <c r="E128" s="685">
        <f t="shared" si="33"/>
        <v>3.6185</v>
      </c>
      <c r="F128" s="684">
        <f t="shared" si="34"/>
        <v>3.3599999999999998E-2</v>
      </c>
      <c r="G128" s="685">
        <f t="shared" si="35"/>
        <v>15.043699999999999</v>
      </c>
      <c r="H128" s="684">
        <f t="shared" si="36"/>
        <v>20.6218</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1.4E-2</v>
      </c>
      <c r="D129" s="684">
        <f t="shared" si="32"/>
        <v>1.7899999999999999E-2</v>
      </c>
      <c r="E129" s="685">
        <f t="shared" si="33"/>
        <v>3.6185</v>
      </c>
      <c r="F129" s="684">
        <f t="shared" si="34"/>
        <v>3.3599999999999998E-2</v>
      </c>
      <c r="G129" s="685">
        <f t="shared" si="35"/>
        <v>15.043699999999999</v>
      </c>
      <c r="H129" s="684">
        <f t="shared" si="36"/>
        <v>20.6218</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1.4E-2</v>
      </c>
      <c r="D130" s="684">
        <f t="shared" si="32"/>
        <v>1.7899999999999999E-2</v>
      </c>
      <c r="E130" s="685">
        <f t="shared" si="33"/>
        <v>3.6185</v>
      </c>
      <c r="F130" s="684">
        <f t="shared" si="34"/>
        <v>3.3599999999999998E-2</v>
      </c>
      <c r="G130" s="685">
        <f t="shared" si="35"/>
        <v>15.043699999999999</v>
      </c>
      <c r="H130" s="684">
        <f t="shared" si="36"/>
        <v>20.6218</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1">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1">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2">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642</v>
      </c>
      <c r="C134" s="597"/>
      <c r="D134" s="598"/>
      <c r="E134" s="599"/>
      <c r="F134" s="598"/>
      <c r="G134" s="598"/>
      <c r="H134" s="598"/>
      <c r="I134" s="598"/>
      <c r="J134" s="598"/>
      <c r="K134" s="598"/>
      <c r="L134" s="598"/>
      <c r="M134" s="598"/>
      <c r="N134" s="598"/>
      <c r="O134" s="598"/>
      <c r="P134" s="598"/>
    </row>
    <row r="136" spans="2:16">
      <c r="B136" s="591" t="s">
        <v>529</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O42" sqref="O42"/>
    </sheetView>
  </sheetViews>
  <sheetFormatPr defaultColWidth="9.140625" defaultRowHeight="15"/>
  <cols>
    <col min="1" max="16384" width="9.140625" style="12"/>
  </cols>
  <sheetData>
    <row r="14" spans="2:24" ht="15.75">
      <c r="B14" s="587" t="s">
        <v>507</v>
      </c>
    </row>
    <row r="15" spans="2:24" ht="15.75">
      <c r="B15" s="587"/>
    </row>
    <row r="16" spans="2:24" s="667" customFormat="1" ht="28.5" customHeight="1">
      <c r="B16" s="794" t="s">
        <v>645</v>
      </c>
      <c r="C16" s="794"/>
      <c r="D16" s="794"/>
      <c r="E16" s="794"/>
      <c r="F16" s="794"/>
      <c r="G16" s="794"/>
      <c r="H16" s="794"/>
      <c r="I16" s="794"/>
      <c r="J16" s="794"/>
      <c r="K16" s="794"/>
      <c r="L16" s="794"/>
      <c r="M16" s="794"/>
      <c r="N16" s="794"/>
      <c r="O16" s="794"/>
      <c r="P16" s="794"/>
      <c r="Q16" s="794"/>
      <c r="R16" s="794"/>
      <c r="S16" s="794"/>
      <c r="T16" s="794"/>
      <c r="U16" s="794"/>
      <c r="V16" s="794"/>
      <c r="W16" s="794"/>
      <c r="X16" s="794"/>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2018-08-26T14:04:54Z</dcterms:modified>
</cp:coreProperties>
</file>