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CPUC\CPUC 2019 CoS\Models\"/>
    </mc:Choice>
  </mc:AlternateContent>
  <xr:revisionPtr revIDLastSave="0" documentId="8_{A1489028-35B7-4643-95A7-6D8BCDB0585A}" xr6:coauthVersionLast="34" xr6:coauthVersionMax="34" xr10:uidLastSave="{00000000-0000-0000-0000-000000000000}"/>
  <bookViews>
    <workbookView xWindow="0" yWindow="0" windowWidth="28800" windowHeight="11625" xr2:uid="{E219039E-0301-4351-BDC1-8F9A253DB19F}"/>
  </bookViews>
  <sheets>
    <sheet name="4.12 PowerSupplEx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tn1">"#N/A"</definedName>
    <definedName name="_ftnref1">"#N/A"</definedName>
    <definedName name="_Parse_Out" hidden="1">#REF!</definedName>
    <definedName name="ApprovedYr">'[3]Z1.ModelVariables'!$C$12</definedName>
    <definedName name="AS2DocOpenMode" hidden="1">"AS2DocumentEdit"</definedName>
    <definedName name="BI_LDCLIST">'[4]3. Rate Class Selection'!$B$19:$B$21</definedName>
    <definedName name="Bridge_Year">'[1]0.1 LDC Info'!$E$23</definedName>
    <definedName name="BridgeYear">"#N/A"</definedName>
    <definedName name="contactf">"#REF!"</definedName>
    <definedName name="CRLF">'[3]Z1.ModelVariables'!$C$10</definedName>
    <definedName name="CustomerAdministration">#REF!</definedName>
    <definedName name="EBCaseNumber">"#N/A"</definedName>
    <definedName name="EBNumber">'[1]0.1 LDC Info'!$E$15</definedName>
    <definedName name="Fixed_Charges">#REF!</definedName>
    <definedName name="histdate">[5]Financials!$E$76</definedName>
    <definedName name="holidays">#N/A</definedName>
    <definedName name="Incr2000">"#REF!"</definedName>
    <definedName name="infra">"#REF!"</definedName>
    <definedName name="IRMWG">"#N/A"</definedName>
    <definedName name="IRMWG_1">"#N/A"</definedName>
    <definedName name="Last_Rebasing_Year">'[1]0.1 LDC Info'!$E$27</definedName>
    <definedName name="LDC_LIST">[6]lists!$AM$1:$AM$80</definedName>
    <definedName name="LDC_LIST_1">#REF!</definedName>
    <definedName name="LDC_LIST_2">[7]lists!$AM$1:$AM$80</definedName>
    <definedName name="LDCLIST">"#REF!"</definedName>
    <definedName name="LDCLIST_1">"#REF!"</definedName>
    <definedName name="LDCLIST_10">"#N/A"</definedName>
    <definedName name="LDCLIST_2">"#REF!"</definedName>
    <definedName name="LDCLIST_3">"#REF!"</definedName>
    <definedName name="LDCLIST_4">"#REF!"</definedName>
    <definedName name="LDCLIST_5">"#REF!"</definedName>
    <definedName name="LDCLIST_6">"#N/A"</definedName>
    <definedName name="LDCLIST_7">"#REF!"</definedName>
    <definedName name="LDCLIST_8">"#REF!"</definedName>
    <definedName name="LDCLIST_9">"#REF!"</definedName>
    <definedName name="LDCNAMES">#REF!</definedName>
    <definedName name="LIMIT">"#REF!"</definedName>
    <definedName name="LossFactors">#REF!</definedName>
    <definedName name="man_beg_bud">"#REF!"</definedName>
    <definedName name="man_end_bud">"#REF!"</definedName>
    <definedName name="man12ACT">"#REF!"</definedName>
    <definedName name="MANBUD">"#REF!"</definedName>
    <definedName name="manCYACT">"#REF!"</definedName>
    <definedName name="manCYBUD">"#REF!"</definedName>
    <definedName name="manCYF">"#REF!"</definedName>
    <definedName name="MANEND">"#REF!"</definedName>
    <definedName name="manNYbud">"#REF!"</definedName>
    <definedName name="manpower_costs">"#REF!"</definedName>
    <definedName name="manPYACT">"#REF!"</definedName>
    <definedName name="MANSTART">"#REF!"</definedName>
    <definedName name="mat_beg_bud">"#REF!"</definedName>
    <definedName name="mat_end_bud">"#REF!"</definedName>
    <definedName name="mat12ACT">"#REF!"</definedName>
    <definedName name="MATBUD">"#REF!"</definedName>
    <definedName name="matCYACT">"#REF!"</definedName>
    <definedName name="matCYBUD">"#REF!"</definedName>
    <definedName name="matCYF">"#REF!"</definedName>
    <definedName name="MATEND">"#REF!"</definedName>
    <definedName name="material_costs">"#REF!"</definedName>
    <definedName name="matNYbud">"#REF!"</definedName>
    <definedName name="matPYACT">"#REF!"</definedName>
    <definedName name="MATSTART">"#REF!"</definedName>
    <definedName name="NonPayment">#REF!</definedName>
    <definedName name="OLE_LINK1">"#REF!"</definedName>
    <definedName name="OLE_LINK7">"#REF!"</definedName>
    <definedName name="oth_beg_bud">"#REF!"</definedName>
    <definedName name="oth_end_bud">"#REF!"</definedName>
    <definedName name="oth12ACT">"#REF!"</definedName>
    <definedName name="othCYACT">"#REF!"</definedName>
    <definedName name="othCYBUD">"#REF!"</definedName>
    <definedName name="othCYF">"#REF!"</definedName>
    <definedName name="OTHEND">"#REF!"</definedName>
    <definedName name="other_costs">"#REF!"</definedName>
    <definedName name="OTHERBUD">"#REF!"</definedName>
    <definedName name="othNYbud">"#REF!"</definedName>
    <definedName name="othPYACT">"#REF!"</definedName>
    <definedName name="OTHSTART">"#REF!"</definedName>
    <definedName name="_xlnm.Print_Area" localSheetId="0">'4.12 PowerSupplExp'!#REF!</definedName>
    <definedName name="print_end">"#REF!"</definedName>
    <definedName name="Rate_Class">#REF!</definedName>
    <definedName name="ratedescription">[8]hidden1!$D$1:$D$122</definedName>
    <definedName name="RebaseYear">"#N/A"</definedName>
    <definedName name="RebaseYear_1">'[9]LDC Info'!$E$24</definedName>
    <definedName name="RMpilsVer">'[3]Z1.ModelVariables'!$C$13</definedName>
    <definedName name="RMversion">'[10]Z1.ModelVariables'!$C$13</definedName>
    <definedName name="SALBENF">"#REF!"</definedName>
    <definedName name="salreg">"#REF!"</definedName>
    <definedName name="SALREGF">"#REF!"</definedName>
    <definedName name="sdfvgsdfsf">#REF!</definedName>
    <definedName name="Start_12">#REF!</definedName>
    <definedName name="Start_5">#REF!</definedName>
    <definedName name="TEMPA">"#REF!"</definedName>
    <definedName name="Test_Year">'[1]0.1 LDC Info'!$E$25</definedName>
    <definedName name="TestYear">"#N/A"</definedName>
    <definedName name="TestYr">'[3]P0.Admin'!$C$13</definedName>
    <definedName name="total_dept">"#REF!"</definedName>
    <definedName name="total_manpower">"#REF!"</definedName>
    <definedName name="total_material">"#REF!"</definedName>
    <definedName name="total_other">"#REF!"</definedName>
    <definedName name="total_transportation">"#REF!"</definedName>
    <definedName name="TRANBUD">"#REF!"</definedName>
    <definedName name="TRANEND">"#REF!"</definedName>
    <definedName name="transportation_costs">"#REF!"</definedName>
    <definedName name="TRANSTART">"#REF!"</definedName>
    <definedName name="trn_beg_bud">"#REF!"</definedName>
    <definedName name="trn_end_bud">"#REF!"</definedName>
    <definedName name="trn12ACT">"#REF!"</definedName>
    <definedName name="trnCYACT">"#REF!"</definedName>
    <definedName name="trnCYBUD">"#REF!"</definedName>
    <definedName name="trnCYF">"#REF!"</definedName>
    <definedName name="trnNYbud">"#REF!"</definedName>
    <definedName name="trnPYACT">"#REF!"</definedName>
    <definedName name="Units">#REF!</definedName>
    <definedName name="Units1">#REF!</definedName>
    <definedName name="Units2">#REF!</definedName>
    <definedName name="Utility">[5]Financials!$A$1</definedName>
    <definedName name="utitliy1">[11]Financials!$A$1</definedName>
    <definedName name="valuevx">42.314159</definedName>
    <definedName name="WAGBENF">"#REF!"</definedName>
    <definedName name="wagdob">"#REF!"</definedName>
    <definedName name="wagdobf">"#REF!"</definedName>
    <definedName name="wagreg">"#REF!"</definedName>
    <definedName name="wagregf">"#REF!"</definedName>
    <definedName name="Z_258F368B_AF27_44ED_A772_A0C4A2AFB945_.wvu.Cols">#REF!</definedName>
    <definedName name="Z_258F368B_AF27_44ED_A772_A0C4A2AFB945_.wvu.Cols_1">#REF!</definedName>
    <definedName name="Z_258F368B_AF27_44ED_A772_A0C4A2AFB945_.wvu.Cols_2">#N/A</definedName>
    <definedName name="Z_258F368B_AF27_44ED_A772_A0C4A2AFB945_.wvu.FilterData">#REF!</definedName>
    <definedName name="Z_258F368B_AF27_44ED_A772_A0C4A2AFB945_.wvu.PrintArea">#REF!</definedName>
    <definedName name="Z_258F368B_AF27_44ED_A772_A0C4A2AFB945_.wvu.PrintArea_1">#N/A</definedName>
    <definedName name="Z_258F368B_AF27_44ED_A772_A0C4A2AFB945_.wvu.PrintArea_1_1">#N/A</definedName>
    <definedName name="Z_258F368B_AF27_44ED_A772_A0C4A2AFB945_.wvu.PrintArea_1_2">#N/A</definedName>
    <definedName name="Z_258F368B_AF27_44ED_A772_A0C4A2AFB945_.wvu.PrintArea_1_3">#N/A</definedName>
    <definedName name="Z_258F368B_AF27_44ED_A772_A0C4A2AFB945_.wvu.PrintArea_1_4">#N/A</definedName>
    <definedName name="Z_258F368B_AF27_44ED_A772_A0C4A2AFB945_.wvu.PrintArea_1_5">#N/A</definedName>
    <definedName name="Z_258F368B_AF27_44ED_A772_A0C4A2AFB945_.wvu.PrintArea_10">#REF!</definedName>
    <definedName name="Z_258F368B_AF27_44ED_A772_A0C4A2AFB945_.wvu.PrintArea_11">#REF!</definedName>
    <definedName name="Z_258F368B_AF27_44ED_A772_A0C4A2AFB945_.wvu.PrintArea_12">#REF!</definedName>
    <definedName name="Z_258F368B_AF27_44ED_A772_A0C4A2AFB945_.wvu.PrintArea_13">#REF!</definedName>
    <definedName name="Z_258F368B_AF27_44ED_A772_A0C4A2AFB945_.wvu.PrintArea_14">#REF!</definedName>
    <definedName name="Z_258F368B_AF27_44ED_A772_A0C4A2AFB945_.wvu.PrintArea_15">#REF!</definedName>
    <definedName name="Z_258F368B_AF27_44ED_A772_A0C4A2AFB945_.wvu.PrintArea_16">#REF!</definedName>
    <definedName name="Z_258F368B_AF27_44ED_A772_A0C4A2AFB945_.wvu.PrintArea_17">#REF!</definedName>
    <definedName name="Z_258F368B_AF27_44ED_A772_A0C4A2AFB945_.wvu.PrintArea_18">#REF!</definedName>
    <definedName name="Z_258F368B_AF27_44ED_A772_A0C4A2AFB945_.wvu.PrintArea_19">#REF!</definedName>
    <definedName name="Z_258F368B_AF27_44ED_A772_A0C4A2AFB945_.wvu.PrintArea_2">#REF!</definedName>
    <definedName name="Z_258F368B_AF27_44ED_A772_A0C4A2AFB945_.wvu.PrintArea_2_1">#REF!</definedName>
    <definedName name="Z_258F368B_AF27_44ED_A772_A0C4A2AFB945_.wvu.PrintArea_2_2">#REF!</definedName>
    <definedName name="Z_258F368B_AF27_44ED_A772_A0C4A2AFB945_.wvu.PrintArea_2_3">#REF!</definedName>
    <definedName name="Z_258F368B_AF27_44ED_A772_A0C4A2AFB945_.wvu.PrintArea_2_4">#REF!</definedName>
    <definedName name="Z_258F368B_AF27_44ED_A772_A0C4A2AFB945_.wvu.PrintArea_2_5">#REF!</definedName>
    <definedName name="Z_258F368B_AF27_44ED_A772_A0C4A2AFB945_.wvu.PrintArea_2_6">#REF!</definedName>
    <definedName name="Z_258F368B_AF27_44ED_A772_A0C4A2AFB945_.wvu.PrintArea_20">#REF!</definedName>
    <definedName name="Z_258F368B_AF27_44ED_A772_A0C4A2AFB945_.wvu.PrintArea_21">#REF!</definedName>
    <definedName name="Z_258F368B_AF27_44ED_A772_A0C4A2AFB945_.wvu.PrintArea_21_1">#REF!</definedName>
    <definedName name="Z_258F368B_AF27_44ED_A772_A0C4A2AFB945_.wvu.PrintArea_21_2">#REF!</definedName>
    <definedName name="Z_258F368B_AF27_44ED_A772_A0C4A2AFB945_.wvu.PrintArea_21_3">#REF!</definedName>
    <definedName name="Z_258F368B_AF27_44ED_A772_A0C4A2AFB945_.wvu.PrintArea_22">#REF!</definedName>
    <definedName name="Z_258F368B_AF27_44ED_A772_A0C4A2AFB945_.wvu.PrintArea_23">#REF!</definedName>
    <definedName name="Z_258F368B_AF27_44ED_A772_A0C4A2AFB945_.wvu.PrintArea_24">#REF!</definedName>
    <definedName name="Z_258F368B_AF27_44ED_A772_A0C4A2AFB945_.wvu.PrintArea_24_1">#REF!</definedName>
    <definedName name="Z_258F368B_AF27_44ED_A772_A0C4A2AFB945_.wvu.PrintArea_24_2">#REF!</definedName>
    <definedName name="Z_258F368B_AF27_44ED_A772_A0C4A2AFB945_.wvu.PrintArea_25">#REF!</definedName>
    <definedName name="Z_258F368B_AF27_44ED_A772_A0C4A2AFB945_.wvu.PrintArea_26">#REF!</definedName>
    <definedName name="Z_258F368B_AF27_44ED_A772_A0C4A2AFB945_.wvu.PrintArea_27">#REF!</definedName>
    <definedName name="Z_258F368B_AF27_44ED_A772_A0C4A2AFB945_.wvu.PrintArea_28">#REF!</definedName>
    <definedName name="Z_258F368B_AF27_44ED_A772_A0C4A2AFB945_.wvu.PrintArea_29">#REF!</definedName>
    <definedName name="Z_258F368B_AF27_44ED_A772_A0C4A2AFB945_.wvu.PrintArea_3">#REF!</definedName>
    <definedName name="Z_258F368B_AF27_44ED_A772_A0C4A2AFB945_.wvu.PrintArea_30">#REF!</definedName>
    <definedName name="Z_258F368B_AF27_44ED_A772_A0C4A2AFB945_.wvu.PrintArea_31">#REF!</definedName>
    <definedName name="Z_258F368B_AF27_44ED_A772_A0C4A2AFB945_.wvu.PrintArea_32">#REF!</definedName>
    <definedName name="Z_258F368B_AF27_44ED_A772_A0C4A2AFB945_.wvu.PrintArea_33">#REF!</definedName>
    <definedName name="Z_258F368B_AF27_44ED_A772_A0C4A2AFB945_.wvu.PrintArea_34">#REF!</definedName>
    <definedName name="Z_258F368B_AF27_44ED_A772_A0C4A2AFB945_.wvu.PrintArea_35">#REF!</definedName>
    <definedName name="Z_258F368B_AF27_44ED_A772_A0C4A2AFB945_.wvu.PrintArea_36">#REF!</definedName>
    <definedName name="Z_258F368B_AF27_44ED_A772_A0C4A2AFB945_.wvu.PrintArea_37">#REF!</definedName>
    <definedName name="Z_258F368B_AF27_44ED_A772_A0C4A2AFB945_.wvu.PrintArea_38">#REF!</definedName>
    <definedName name="Z_258F368B_AF27_44ED_A772_A0C4A2AFB945_.wvu.PrintArea_39">#REF!</definedName>
    <definedName name="Z_258F368B_AF27_44ED_A772_A0C4A2AFB945_.wvu.PrintArea_4">#REF!</definedName>
    <definedName name="Z_258F368B_AF27_44ED_A772_A0C4A2AFB945_.wvu.PrintArea_41">#REF!</definedName>
    <definedName name="Z_258F368B_AF27_44ED_A772_A0C4A2AFB945_.wvu.PrintArea_42">#REF!</definedName>
    <definedName name="Z_258F368B_AF27_44ED_A772_A0C4A2AFB945_.wvu.PrintArea_43">#REF!</definedName>
    <definedName name="Z_258F368B_AF27_44ED_A772_A0C4A2AFB945_.wvu.PrintArea_44">#REF!</definedName>
    <definedName name="Z_258F368B_AF27_44ED_A772_A0C4A2AFB945_.wvu.PrintArea_45">#REF!</definedName>
    <definedName name="Z_258F368B_AF27_44ED_A772_A0C4A2AFB945_.wvu.PrintArea_46">#REF!</definedName>
    <definedName name="Z_258F368B_AF27_44ED_A772_A0C4A2AFB945_.wvu.PrintArea_46_1">#REF!</definedName>
    <definedName name="Z_258F368B_AF27_44ED_A772_A0C4A2AFB945_.wvu.PrintArea_46_2">#REF!</definedName>
    <definedName name="Z_258F368B_AF27_44ED_A772_A0C4A2AFB945_.wvu.PrintArea_46_3">#REF!</definedName>
    <definedName name="Z_258F368B_AF27_44ED_A772_A0C4A2AFB945_.wvu.PrintArea_46_4">#REF!</definedName>
    <definedName name="Z_258F368B_AF27_44ED_A772_A0C4A2AFB945_.wvu.PrintArea_46_5">#REF!</definedName>
    <definedName name="Z_258F368B_AF27_44ED_A772_A0C4A2AFB945_.wvu.PrintArea_46_6">#REF!</definedName>
    <definedName name="Z_258F368B_AF27_44ED_A772_A0C4A2AFB945_.wvu.PrintArea_46_7">#REF!</definedName>
    <definedName name="Z_258F368B_AF27_44ED_A772_A0C4A2AFB945_.wvu.PrintArea_46_8">#REF!</definedName>
    <definedName name="Z_258F368B_AF27_44ED_A772_A0C4A2AFB945_.wvu.PrintArea_46_9">#REF!</definedName>
    <definedName name="Z_258F368B_AF27_44ED_A772_A0C4A2AFB945_.wvu.PrintArea_47">"#REF!"</definedName>
    <definedName name="Z_258F368B_AF27_44ED_A772_A0C4A2AFB945_.wvu.PrintArea_49">#REF!</definedName>
    <definedName name="Z_258F368B_AF27_44ED_A772_A0C4A2AFB945_.wvu.PrintArea_5">#REF!</definedName>
    <definedName name="Z_258F368B_AF27_44ED_A772_A0C4A2AFB945_.wvu.PrintArea_6">#REF!</definedName>
    <definedName name="Z_258F368B_AF27_44ED_A772_A0C4A2AFB945_.wvu.PrintArea_7">#REF!</definedName>
    <definedName name="Z_258F368B_AF27_44ED_A772_A0C4A2AFB945_.wvu.PrintArea_8">#REF!</definedName>
    <definedName name="Z_258F368B_AF27_44ED_A772_A0C4A2AFB945_.wvu.PrintArea_9">#REF!</definedName>
    <definedName name="Z_258F368B_AF27_44ED_A772_A0C4A2AFB945_.wvu.Rows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J15" i="1" s="1"/>
  <c r="H15" i="1"/>
  <c r="K15" i="1"/>
  <c r="C16" i="1"/>
  <c r="H16" i="1"/>
  <c r="J16" i="1"/>
  <c r="K16" i="1"/>
  <c r="L16" i="1"/>
  <c r="C17" i="1"/>
  <c r="C18" i="1"/>
  <c r="H18" i="1"/>
  <c r="J18" i="1"/>
  <c r="K18" i="1"/>
  <c r="L18" i="1"/>
  <c r="C19" i="1"/>
  <c r="J19" i="1" s="1"/>
  <c r="L19" i="1" s="1"/>
  <c r="H19" i="1"/>
  <c r="K19" i="1" s="1"/>
  <c r="C20" i="1"/>
  <c r="J20" i="1" s="1"/>
  <c r="L20" i="1" s="1"/>
  <c r="H20" i="1"/>
  <c r="K20" i="1" s="1"/>
  <c r="H21" i="1"/>
  <c r="J21" i="1"/>
  <c r="J22" i="1"/>
  <c r="J23" i="1"/>
  <c r="F24" i="1"/>
  <c r="G30" i="1"/>
  <c r="F32" i="1"/>
  <c r="F33" i="1" s="1"/>
  <c r="G32" i="1"/>
  <c r="G33" i="1" s="1"/>
  <c r="J33" i="1"/>
  <c r="E39" i="1"/>
  <c r="H39" i="1"/>
  <c r="A42" i="1"/>
  <c r="E42" i="1"/>
  <c r="H42" i="1"/>
  <c r="A43" i="1"/>
  <c r="E43" i="1"/>
  <c r="H43" i="1"/>
  <c r="A44" i="1"/>
  <c r="E44" i="1"/>
  <c r="H44" i="1"/>
  <c r="A45" i="1"/>
  <c r="E45" i="1"/>
  <c r="E51" i="1" s="1"/>
  <c r="H45" i="1"/>
  <c r="A46" i="1"/>
  <c r="E46" i="1"/>
  <c r="H46" i="1"/>
  <c r="A47" i="1"/>
  <c r="E47" i="1"/>
  <c r="H47" i="1"/>
  <c r="A48" i="1"/>
  <c r="E48" i="1"/>
  <c r="H48" i="1"/>
  <c r="A49" i="1"/>
  <c r="E49" i="1"/>
  <c r="H49" i="1"/>
  <c r="A50" i="1"/>
  <c r="E50" i="1"/>
  <c r="H50" i="1"/>
  <c r="E55" i="1"/>
  <c r="H55" i="1"/>
  <c r="A58" i="1"/>
  <c r="B58" i="1"/>
  <c r="H58" i="1" s="1"/>
  <c r="E58" i="1"/>
  <c r="F58" i="1"/>
  <c r="I58" i="1"/>
  <c r="A59" i="1"/>
  <c r="B59" i="1"/>
  <c r="E59" i="1" s="1"/>
  <c r="G59" i="1" s="1"/>
  <c r="F59" i="1"/>
  <c r="H59" i="1"/>
  <c r="I59" i="1"/>
  <c r="A60" i="1"/>
  <c r="B60" i="1"/>
  <c r="E60" i="1" s="1"/>
  <c r="G60" i="1" s="1"/>
  <c r="F60" i="1"/>
  <c r="I60" i="1"/>
  <c r="A61" i="1"/>
  <c r="B61" i="1"/>
  <c r="H61" i="1" s="1"/>
  <c r="E61" i="1"/>
  <c r="G61" i="1" s="1"/>
  <c r="F61" i="1"/>
  <c r="I61" i="1"/>
  <c r="A62" i="1"/>
  <c r="B62" i="1"/>
  <c r="E62" i="1" s="1"/>
  <c r="G62" i="1" s="1"/>
  <c r="F62" i="1"/>
  <c r="H62" i="1"/>
  <c r="I62" i="1"/>
  <c r="A63" i="1"/>
  <c r="B63" i="1"/>
  <c r="E63" i="1" s="1"/>
  <c r="G63" i="1" s="1"/>
  <c r="F63" i="1"/>
  <c r="I63" i="1"/>
  <c r="A64" i="1"/>
  <c r="B64" i="1"/>
  <c r="H64" i="1" s="1"/>
  <c r="E64" i="1"/>
  <c r="G64" i="1" s="1"/>
  <c r="A65" i="1"/>
  <c r="B65" i="1"/>
  <c r="E65" i="1" s="1"/>
  <c r="G65" i="1" s="1"/>
  <c r="A66" i="1"/>
  <c r="B66" i="1"/>
  <c r="H66" i="1" s="1"/>
  <c r="E66" i="1"/>
  <c r="G66" i="1" s="1"/>
  <c r="E71" i="1"/>
  <c r="H71" i="1"/>
  <c r="A74" i="1"/>
  <c r="B74" i="1"/>
  <c r="H74" i="1" s="1"/>
  <c r="E74" i="1"/>
  <c r="F74" i="1"/>
  <c r="I74" i="1"/>
  <c r="A75" i="1"/>
  <c r="B75" i="1"/>
  <c r="E75" i="1" s="1"/>
  <c r="G75" i="1" s="1"/>
  <c r="F75" i="1"/>
  <c r="H75" i="1"/>
  <c r="I75" i="1"/>
  <c r="C150" i="1" s="1"/>
  <c r="F150" i="1" s="1"/>
  <c r="A76" i="1"/>
  <c r="B76" i="1"/>
  <c r="E76" i="1" s="1"/>
  <c r="G76" i="1" s="1"/>
  <c r="F76" i="1"/>
  <c r="I76" i="1"/>
  <c r="A77" i="1"/>
  <c r="B77" i="1"/>
  <c r="H77" i="1" s="1"/>
  <c r="J77" i="1" s="1"/>
  <c r="E77" i="1"/>
  <c r="G77" i="1" s="1"/>
  <c r="F77" i="1"/>
  <c r="I77" i="1"/>
  <c r="A78" i="1"/>
  <c r="B78" i="1"/>
  <c r="E78" i="1" s="1"/>
  <c r="G78" i="1" s="1"/>
  <c r="F78" i="1"/>
  <c r="H78" i="1"/>
  <c r="I78" i="1"/>
  <c r="C153" i="1" s="1"/>
  <c r="A79" i="1"/>
  <c r="B79" i="1"/>
  <c r="E79" i="1" s="1"/>
  <c r="G79" i="1" s="1"/>
  <c r="F79" i="1"/>
  <c r="I79" i="1"/>
  <c r="A80" i="1"/>
  <c r="B80" i="1"/>
  <c r="H80" i="1" s="1"/>
  <c r="J80" i="1" s="1"/>
  <c r="E80" i="1"/>
  <c r="G80" i="1" s="1"/>
  <c r="A81" i="1"/>
  <c r="B81" i="1"/>
  <c r="E81" i="1" s="1"/>
  <c r="G81" i="1" s="1"/>
  <c r="A82" i="1"/>
  <c r="B82" i="1"/>
  <c r="H82" i="1" s="1"/>
  <c r="J82" i="1" s="1"/>
  <c r="E82" i="1"/>
  <c r="G82" i="1" s="1"/>
  <c r="E87" i="1"/>
  <c r="H87" i="1"/>
  <c r="A90" i="1"/>
  <c r="B90" i="1"/>
  <c r="H90" i="1" s="1"/>
  <c r="E90" i="1"/>
  <c r="A91" i="1"/>
  <c r="B91" i="1"/>
  <c r="E91" i="1" s="1"/>
  <c r="G91" i="1" s="1"/>
  <c r="A92" i="1"/>
  <c r="B92" i="1"/>
  <c r="H92" i="1" s="1"/>
  <c r="J92" i="1" s="1"/>
  <c r="E92" i="1"/>
  <c r="G92" i="1" s="1"/>
  <c r="A93" i="1"/>
  <c r="B93" i="1"/>
  <c r="E93" i="1" s="1"/>
  <c r="G93" i="1" s="1"/>
  <c r="A94" i="1"/>
  <c r="B94" i="1"/>
  <c r="H94" i="1" s="1"/>
  <c r="J94" i="1" s="1"/>
  <c r="E94" i="1"/>
  <c r="G94" i="1" s="1"/>
  <c r="A95" i="1"/>
  <c r="B95" i="1"/>
  <c r="E95" i="1" s="1"/>
  <c r="G95" i="1" s="1"/>
  <c r="A96" i="1"/>
  <c r="B96" i="1"/>
  <c r="H96" i="1" s="1"/>
  <c r="J96" i="1" s="1"/>
  <c r="E96" i="1"/>
  <c r="G96" i="1" s="1"/>
  <c r="A97" i="1"/>
  <c r="B97" i="1"/>
  <c r="E97" i="1" s="1"/>
  <c r="G97" i="1" s="1"/>
  <c r="A98" i="1"/>
  <c r="B98" i="1"/>
  <c r="H98" i="1" s="1"/>
  <c r="J98" i="1" s="1"/>
  <c r="E98" i="1"/>
  <c r="G98" i="1" s="1"/>
  <c r="E103" i="1"/>
  <c r="H103" i="1"/>
  <c r="A106" i="1"/>
  <c r="B106" i="1"/>
  <c r="F165" i="1" s="1"/>
  <c r="H181" i="1" s="1"/>
  <c r="E106" i="1"/>
  <c r="A107" i="1"/>
  <c r="B107" i="1"/>
  <c r="E107" i="1" s="1"/>
  <c r="G107" i="1" s="1"/>
  <c r="A108" i="1"/>
  <c r="B108" i="1"/>
  <c r="H108" i="1" s="1"/>
  <c r="J108" i="1" s="1"/>
  <c r="E108" i="1"/>
  <c r="G108" i="1" s="1"/>
  <c r="A109" i="1"/>
  <c r="B109" i="1"/>
  <c r="E109" i="1" s="1"/>
  <c r="G109" i="1" s="1"/>
  <c r="A110" i="1"/>
  <c r="B110" i="1"/>
  <c r="F169" i="1" s="1"/>
  <c r="H185" i="1" s="1"/>
  <c r="E110" i="1"/>
  <c r="G110" i="1" s="1"/>
  <c r="A111" i="1"/>
  <c r="B111" i="1"/>
  <c r="E111" i="1" s="1"/>
  <c r="G111" i="1" s="1"/>
  <c r="A112" i="1"/>
  <c r="B112" i="1"/>
  <c r="H112" i="1" s="1"/>
  <c r="J112" i="1" s="1"/>
  <c r="E112" i="1"/>
  <c r="G112" i="1" s="1"/>
  <c r="A113" i="1"/>
  <c r="B113" i="1"/>
  <c r="E113" i="1" s="1"/>
  <c r="G113" i="1" s="1"/>
  <c r="A114" i="1"/>
  <c r="B114" i="1"/>
  <c r="F173" i="1" s="1"/>
  <c r="H189" i="1" s="1"/>
  <c r="E114" i="1"/>
  <c r="G114" i="1" s="1"/>
  <c r="E119" i="1"/>
  <c r="H119" i="1"/>
  <c r="A122" i="1"/>
  <c r="E122" i="1"/>
  <c r="E125" i="1" s="1"/>
  <c r="G122" i="1"/>
  <c r="G125" i="1" s="1"/>
  <c r="H122" i="1"/>
  <c r="J122" i="1"/>
  <c r="A123" i="1"/>
  <c r="E123" i="1"/>
  <c r="G123" i="1"/>
  <c r="H123" i="1"/>
  <c r="J123" i="1"/>
  <c r="A124" i="1"/>
  <c r="E124" i="1"/>
  <c r="G124" i="1"/>
  <c r="H124" i="1"/>
  <c r="H125" i="1" s="1"/>
  <c r="J124" i="1"/>
  <c r="J125" i="1" s="1"/>
  <c r="E129" i="1"/>
  <c r="H129" i="1"/>
  <c r="A132" i="1"/>
  <c r="B132" i="1"/>
  <c r="E132" i="1"/>
  <c r="E134" i="1" s="1"/>
  <c r="G132" i="1"/>
  <c r="G134" i="1" s="1"/>
  <c r="H132" i="1"/>
  <c r="H134" i="1" s="1"/>
  <c r="J132" i="1"/>
  <c r="A133" i="1"/>
  <c r="B133" i="1"/>
  <c r="E133" i="1"/>
  <c r="G133" i="1"/>
  <c r="H133" i="1"/>
  <c r="J133" i="1" s="1"/>
  <c r="E139" i="1"/>
  <c r="F139" i="1"/>
  <c r="G139" i="1"/>
  <c r="H139" i="1"/>
  <c r="I139" i="1"/>
  <c r="A141" i="1"/>
  <c r="K141" i="1"/>
  <c r="A142" i="1"/>
  <c r="K142" i="1"/>
  <c r="E174" i="1" s="1"/>
  <c r="E143" i="1"/>
  <c r="F143" i="1"/>
  <c r="G143" i="1"/>
  <c r="H143" i="1"/>
  <c r="I143" i="1"/>
  <c r="J143" i="1"/>
  <c r="A149" i="1"/>
  <c r="B149" i="1"/>
  <c r="C149" i="1"/>
  <c r="A150" i="1"/>
  <c r="B150" i="1"/>
  <c r="D150" i="1"/>
  <c r="A151" i="1"/>
  <c r="B151" i="1"/>
  <c r="C151" i="1"/>
  <c r="A152" i="1"/>
  <c r="B152" i="1"/>
  <c r="E184" i="1" s="1"/>
  <c r="G184" i="1" s="1"/>
  <c r="C152" i="1"/>
  <c r="A153" i="1"/>
  <c r="B153" i="1"/>
  <c r="E185" i="1" s="1"/>
  <c r="G185" i="1" s="1"/>
  <c r="A154" i="1"/>
  <c r="B154" i="1"/>
  <c r="C154" i="1"/>
  <c r="A155" i="1"/>
  <c r="B155" i="1"/>
  <c r="C155" i="1"/>
  <c r="A156" i="1"/>
  <c r="B156" i="1"/>
  <c r="C156" i="1"/>
  <c r="A157" i="1"/>
  <c r="B157" i="1"/>
  <c r="E189" i="1" s="1"/>
  <c r="G189" i="1" s="1"/>
  <c r="C157" i="1"/>
  <c r="A165" i="1"/>
  <c r="H165" i="1"/>
  <c r="A166" i="1"/>
  <c r="H166" i="1"/>
  <c r="A167" i="1"/>
  <c r="H167" i="1"/>
  <c r="A168" i="1"/>
  <c r="H168" i="1"/>
  <c r="A169" i="1"/>
  <c r="H169" i="1"/>
  <c r="A170" i="1"/>
  <c r="H170" i="1"/>
  <c r="A171" i="1"/>
  <c r="H171" i="1"/>
  <c r="A172" i="1"/>
  <c r="H172" i="1"/>
  <c r="A173" i="1"/>
  <c r="H173" i="1"/>
  <c r="A181" i="1"/>
  <c r="B181" i="1"/>
  <c r="E181" i="1"/>
  <c r="G181" i="1"/>
  <c r="G190" i="1" s="1"/>
  <c r="A182" i="1"/>
  <c r="B182" i="1"/>
  <c r="E182" i="1"/>
  <c r="G182" i="1" s="1"/>
  <c r="A183" i="1"/>
  <c r="B183" i="1"/>
  <c r="E183" i="1"/>
  <c r="G183" i="1" s="1"/>
  <c r="A184" i="1"/>
  <c r="B184" i="1"/>
  <c r="A185" i="1"/>
  <c r="B185" i="1"/>
  <c r="A186" i="1"/>
  <c r="B186" i="1"/>
  <c r="E186" i="1"/>
  <c r="G186" i="1"/>
  <c r="A187" i="1"/>
  <c r="B187" i="1"/>
  <c r="E187" i="1"/>
  <c r="G187" i="1"/>
  <c r="A188" i="1"/>
  <c r="B188" i="1"/>
  <c r="E188" i="1"/>
  <c r="G188" i="1"/>
  <c r="A189" i="1"/>
  <c r="B189" i="1"/>
  <c r="E190" i="1"/>
  <c r="L15" i="1" l="1"/>
  <c r="J75" i="1"/>
  <c r="D157" i="1"/>
  <c r="F157" i="1" s="1"/>
  <c r="J66" i="1"/>
  <c r="J62" i="1"/>
  <c r="J59" i="1"/>
  <c r="E99" i="1"/>
  <c r="G90" i="1"/>
  <c r="G99" i="1" s="1"/>
  <c r="H51" i="1"/>
  <c r="E115" i="1"/>
  <c r="G106" i="1"/>
  <c r="G115" i="1" s="1"/>
  <c r="J17" i="1"/>
  <c r="L17" i="1" s="1"/>
  <c r="G17" i="1"/>
  <c r="J90" i="1"/>
  <c r="J64" i="1"/>
  <c r="D155" i="1"/>
  <c r="F155" i="1" s="1"/>
  <c r="J134" i="1"/>
  <c r="G74" i="1"/>
  <c r="G83" i="1" s="1"/>
  <c r="E83" i="1"/>
  <c r="F149" i="1"/>
  <c r="J74" i="1"/>
  <c r="J61" i="1"/>
  <c r="D152" i="1"/>
  <c r="F152" i="1" s="1"/>
  <c r="E67" i="1"/>
  <c r="G58" i="1"/>
  <c r="G67" i="1" s="1"/>
  <c r="D149" i="1"/>
  <c r="J58" i="1"/>
  <c r="J78" i="1"/>
  <c r="D153" i="1"/>
  <c r="F153" i="1" s="1"/>
  <c r="F171" i="1"/>
  <c r="H187" i="1" s="1"/>
  <c r="F167" i="1"/>
  <c r="H183" i="1" s="1"/>
  <c r="H114" i="1"/>
  <c r="J114" i="1" s="1"/>
  <c r="H110" i="1"/>
  <c r="J110" i="1" s="1"/>
  <c r="H106" i="1"/>
  <c r="C24" i="1"/>
  <c r="C25" i="1" s="1"/>
  <c r="F172" i="1"/>
  <c r="H188" i="1" s="1"/>
  <c r="F170" i="1"/>
  <c r="H186" i="1" s="1"/>
  <c r="F168" i="1"/>
  <c r="H184" i="1" s="1"/>
  <c r="F166" i="1"/>
  <c r="H182" i="1" s="1"/>
  <c r="H113" i="1"/>
  <c r="J113" i="1" s="1"/>
  <c r="H111" i="1"/>
  <c r="J111" i="1" s="1"/>
  <c r="H109" i="1"/>
  <c r="J109" i="1" s="1"/>
  <c r="H107" i="1"/>
  <c r="J107" i="1" s="1"/>
  <c r="H97" i="1"/>
  <c r="J97" i="1" s="1"/>
  <c r="H95" i="1"/>
  <c r="J95" i="1" s="1"/>
  <c r="H93" i="1"/>
  <c r="J93" i="1" s="1"/>
  <c r="H91" i="1"/>
  <c r="J91" i="1" s="1"/>
  <c r="H81" i="1"/>
  <c r="J81" i="1" s="1"/>
  <c r="H65" i="1"/>
  <c r="H79" i="1"/>
  <c r="J79" i="1" s="1"/>
  <c r="H76" i="1"/>
  <c r="J76" i="1" s="1"/>
  <c r="H63" i="1"/>
  <c r="H60" i="1"/>
  <c r="J83" i="1" l="1"/>
  <c r="J106" i="1"/>
  <c r="J115" i="1" s="1"/>
  <c r="H115" i="1"/>
  <c r="J24" i="1"/>
  <c r="J25" i="1" s="1"/>
  <c r="J34" i="1" s="1"/>
  <c r="J35" i="1" s="1"/>
  <c r="D156" i="1"/>
  <c r="F156" i="1" s="1"/>
  <c r="J65" i="1"/>
  <c r="F174" i="1"/>
  <c r="D151" i="1"/>
  <c r="F151" i="1" s="1"/>
  <c r="F158" i="1" s="1"/>
  <c r="J60" i="1"/>
  <c r="J67" i="1" s="1"/>
  <c r="H99" i="1"/>
  <c r="F25" i="1"/>
  <c r="F34" i="1" s="1"/>
  <c r="F35" i="1" s="1"/>
  <c r="C35" i="1" s="1"/>
  <c r="H83" i="1"/>
  <c r="H67" i="1"/>
  <c r="J63" i="1"/>
  <c r="D154" i="1"/>
  <c r="F154" i="1" s="1"/>
  <c r="J99" i="1"/>
  <c r="G24" i="1"/>
  <c r="G25" i="1" s="1"/>
  <c r="G34" i="1" s="1"/>
  <c r="G35" i="1" s="1"/>
  <c r="H17" i="1"/>
  <c r="H190" i="1"/>
  <c r="G150" i="1" l="1"/>
  <c r="B166" i="1" s="1"/>
  <c r="E166" i="1" s="1"/>
  <c r="G166" i="1" s="1"/>
  <c r="I182" i="1" s="1"/>
  <c r="J182" i="1" s="1"/>
  <c r="G153" i="1"/>
  <c r="B169" i="1" s="1"/>
  <c r="E169" i="1" s="1"/>
  <c r="G169" i="1" s="1"/>
  <c r="I185" i="1" s="1"/>
  <c r="J185" i="1" s="1"/>
  <c r="G155" i="1"/>
  <c r="B171" i="1" s="1"/>
  <c r="E171" i="1" s="1"/>
  <c r="G171" i="1" s="1"/>
  <c r="I187" i="1" s="1"/>
  <c r="J187" i="1" s="1"/>
  <c r="G157" i="1"/>
  <c r="B173" i="1" s="1"/>
  <c r="E173" i="1" s="1"/>
  <c r="G173" i="1" s="1"/>
  <c r="I189" i="1" s="1"/>
  <c r="J189" i="1" s="1"/>
  <c r="G149" i="1"/>
  <c r="G152" i="1"/>
  <c r="B168" i="1" s="1"/>
  <c r="E168" i="1" s="1"/>
  <c r="G168" i="1" s="1"/>
  <c r="I184" i="1" s="1"/>
  <c r="J184" i="1" s="1"/>
  <c r="F42" i="1"/>
  <c r="G42" i="1" s="1"/>
  <c r="I45" i="1"/>
  <c r="J45" i="1" s="1"/>
  <c r="F49" i="1"/>
  <c r="G49" i="1" s="1"/>
  <c r="F44" i="1"/>
  <c r="G44" i="1" s="1"/>
  <c r="I47" i="1"/>
  <c r="J47" i="1" s="1"/>
  <c r="I42" i="1"/>
  <c r="J42" i="1" s="1"/>
  <c r="J51" i="1" s="1"/>
  <c r="F46" i="1"/>
  <c r="G46" i="1" s="1"/>
  <c r="I49" i="1"/>
  <c r="J49" i="1" s="1"/>
  <c r="I44" i="1"/>
  <c r="J44" i="1" s="1"/>
  <c r="F50" i="1"/>
  <c r="G50" i="1" s="1"/>
  <c r="F48" i="1"/>
  <c r="G48" i="1" s="1"/>
  <c r="F43" i="1"/>
  <c r="G43" i="1" s="1"/>
  <c r="I46" i="1"/>
  <c r="J46" i="1" s="1"/>
  <c r="I43" i="1"/>
  <c r="J43" i="1" s="1"/>
  <c r="F47" i="1"/>
  <c r="G47" i="1" s="1"/>
  <c r="I50" i="1"/>
  <c r="J50" i="1" s="1"/>
  <c r="I48" i="1"/>
  <c r="J48" i="1" s="1"/>
  <c r="F45" i="1"/>
  <c r="G45" i="1" s="1"/>
  <c r="K17" i="1"/>
  <c r="H24" i="1"/>
  <c r="G154" i="1"/>
  <c r="B170" i="1" s="1"/>
  <c r="E170" i="1" s="1"/>
  <c r="G170" i="1" s="1"/>
  <c r="I186" i="1" s="1"/>
  <c r="J186" i="1" s="1"/>
  <c r="G156" i="1"/>
  <c r="B172" i="1" s="1"/>
  <c r="E172" i="1" s="1"/>
  <c r="G172" i="1" s="1"/>
  <c r="I188" i="1" s="1"/>
  <c r="J188" i="1" s="1"/>
  <c r="G151" i="1"/>
  <c r="B167" i="1" s="1"/>
  <c r="E167" i="1" s="1"/>
  <c r="G167" i="1" s="1"/>
  <c r="I183" i="1" s="1"/>
  <c r="J183" i="1" s="1"/>
  <c r="D158" i="1"/>
  <c r="G51" i="1" l="1"/>
  <c r="G193" i="1" s="1"/>
  <c r="G158" i="1"/>
  <c r="B165" i="1"/>
  <c r="B174" i="1" l="1"/>
  <c r="E165" i="1"/>
  <c r="G165" i="1" s="1"/>
  <c r="I181" i="1" s="1"/>
  <c r="J181" i="1" s="1"/>
  <c r="J190" i="1" s="1"/>
  <c r="J19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Manuela Ris-Schofield</author>
  </authors>
  <commentList>
    <comment ref="G27" authorId="0" shapeId="0" xr:uid="{AFC957B3-A8F0-4E48-8C09-D310BF9C2CC2}">
      <text>
        <r>
          <rPr>
            <b/>
            <sz val="8"/>
            <color indexed="81"/>
            <rFont val="Tahoma"/>
            <family val="2"/>
          </rPr>
          <t>Manuela Ris-Schofield:</t>
        </r>
        <r>
          <rPr>
            <sz val="8"/>
            <color indexed="81"/>
            <rFont val="Tahoma"/>
            <family val="2"/>
          </rPr>
          <t xml:space="preserve">
Regulated Price Plan Prices and the Global Adjustment Modifier for the Period May 1, 2018 to April 30, 2019</t>
        </r>
      </text>
    </comment>
    <comment ref="J32" authorId="0" shapeId="0" xr:uid="{F824A54C-6ECA-457F-AA62-907F193BFB47}">
      <text>
        <r>
          <rPr>
            <b/>
            <sz val="8"/>
            <color indexed="81"/>
            <rFont val="Tahoma"/>
            <family val="2"/>
          </rPr>
          <t>Manuela Ris-Schofield:</t>
        </r>
        <r>
          <rPr>
            <sz val="8"/>
            <color indexed="81"/>
            <rFont val="Tahoma"/>
            <family val="2"/>
          </rPr>
          <t xml:space="preserve">
Regulated Price Plan Price Report May 1, 2017 to April 30, 2018 Ontario Energy Board
April 20, 2017. Table ES-1: Average RPP Supply Cost Summary. </t>
        </r>
      </text>
    </comment>
  </commentList>
</comments>
</file>

<file path=xl/sharedStrings.xml><?xml version="1.0" encoding="utf-8"?>
<sst xmlns="http://schemas.openxmlformats.org/spreadsheetml/2006/main" count="239" uniqueCount="72">
  <si>
    <t>Projected Power Supply Expense</t>
  </si>
  <si>
    <t xml:space="preserve"> </t>
  </si>
  <si>
    <t>TOTAL</t>
  </si>
  <si>
    <t>Amount</t>
  </si>
  <si>
    <t>Rate</t>
  </si>
  <si>
    <t>Volume</t>
  </si>
  <si>
    <t>USA #</t>
  </si>
  <si>
    <t>Class Name</t>
  </si>
  <si>
    <t>Expense</t>
  </si>
  <si>
    <t>Revenue</t>
  </si>
  <si>
    <t>Customer</t>
  </si>
  <si>
    <t>(volumes are not loss adjusted)</t>
  </si>
  <si>
    <t>Low Voltage Charges to be added to power supply expense for bridge and test year.</t>
  </si>
  <si>
    <t>per</t>
  </si>
  <si>
    <t>Not Uplifted Volumes</t>
  </si>
  <si>
    <t>Charges</t>
  </si>
  <si>
    <t>% Allocation</t>
  </si>
  <si>
    <t>Customer Class Name</t>
  </si>
  <si>
    <t>PROPOSED LOW VOLTAGE CHARGES &amp; RATES</t>
  </si>
  <si>
    <t>Low Voltage Charges Rate Rider Calculations</t>
  </si>
  <si>
    <t>% Alloc</t>
  </si>
  <si>
    <t>Uplifted Volumes</t>
  </si>
  <si>
    <t>RTSR Rate</t>
  </si>
  <si>
    <t>ALLOCATON BASED ON TRANSMISSION-CONNECTION REVENUE</t>
  </si>
  <si>
    <t>Low Voltage Charges - Allocation of LV Charges based on Transmission Connection Revenues</t>
  </si>
  <si>
    <t>1551 LV Charges</t>
  </si>
  <si>
    <t>AVG</t>
  </si>
  <si>
    <t>Low Voltage Charges - Historical and Proposed LV Charges</t>
  </si>
  <si>
    <t>rate ($/kWh):</t>
  </si>
  <si>
    <t>(volumes for the bridge and test year are automatically loss adjusted)</t>
  </si>
  <si>
    <t>OESP</t>
  </si>
  <si>
    <t>Cust</t>
  </si>
  <si>
    <t>(per customer)</t>
  </si>
  <si>
    <t>Smart Meter Entity Charge</t>
  </si>
  <si>
    <t>Rural Rate Protection</t>
  </si>
  <si>
    <t>Wholesale Market Service</t>
  </si>
  <si>
    <t>Transmission - Connection</t>
  </si>
  <si>
    <t>Transmission - Network</t>
  </si>
  <si>
    <t>kWh</t>
  </si>
  <si>
    <t>Electricity Projections</t>
  </si>
  <si>
    <t>WEIGHTED AVERAGE PRICE</t>
  </si>
  <si>
    <t>%</t>
  </si>
  <si>
    <t>$/kWh</t>
  </si>
  <si>
    <t>TOTAL ($/MWh)</t>
  </si>
  <si>
    <t>Adjustments</t>
  </si>
  <si>
    <t>Global Adjustment ($/MWh)</t>
  </si>
  <si>
    <t>HOEP ($/MWh)</t>
  </si>
  <si>
    <t xml:space="preserve">GA modifiler </t>
  </si>
  <si>
    <t>Forecast Price</t>
  </si>
  <si>
    <t> </t>
  </si>
  <si>
    <t>other</t>
  </si>
  <si>
    <t xml:space="preserve">Street Lighting </t>
  </si>
  <si>
    <t>Sentinel Lighting</t>
  </si>
  <si>
    <t>Unmetered Scattered Load</t>
  </si>
  <si>
    <t>General Service &gt; 50 to 4999 kW</t>
  </si>
  <si>
    <t>General Service &lt; 50 kW</t>
  </si>
  <si>
    <t>Residential</t>
  </si>
  <si>
    <t>non-RPP</t>
  </si>
  <si>
    <t>Last Actual kWh's</t>
  </si>
  <si>
    <t>RPP</t>
  </si>
  <si>
    <t xml:space="preserve">Total </t>
  </si>
  <si>
    <t>GA mod</t>
  </si>
  <si>
    <t>non GA mod</t>
  </si>
  <si>
    <t>Determination of Commodity</t>
  </si>
  <si>
    <t>Power Supply Expense</t>
  </si>
  <si>
    <t>Date:</t>
  </si>
  <si>
    <t>Page:</t>
  </si>
  <si>
    <t>Schedule:</t>
  </si>
  <si>
    <t>Tab:</t>
  </si>
  <si>
    <t>Exhibit:</t>
  </si>
  <si>
    <t>File Number:</t>
  </si>
  <si>
    <t>EB-2018-0087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</si>
</sst>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$#,##0"/>
    <numFmt numFmtId="165" formatCode="_-* #,##0.00_-;\-* #,##0.00_-;_-* \-??_-;_-@_-"/>
    <numFmt numFmtId="166" formatCode="\$#,##0.0000_);&quot;($&quot;#,##0.0000\)"/>
    <numFmt numFmtId="167" formatCode="\$#,##0_);&quot;($&quot;#,##0\)"/>
    <numFmt numFmtId="168" formatCode="0.00000"/>
    <numFmt numFmtId="169" formatCode="0.0000"/>
    <numFmt numFmtId="170" formatCode="\$#,##0.00000_);&quot;($&quot;#,##0.00000\)"/>
    <numFmt numFmtId="171" formatCode="\$#,##0.00_);&quot;($&quot;#,##0.00\)"/>
    <numFmt numFmtId="172" formatCode="_-* #,##0_-;\-* #,##0_-;_-* \-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Mangal"/>
      <family val="2"/>
      <charset val="1"/>
    </font>
    <font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u/>
      <sz val="10"/>
      <name val="Arial"/>
      <family val="2"/>
      <charset val="1"/>
    </font>
    <font>
      <i/>
      <sz val="8.5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</font>
    <font>
      <i/>
      <sz val="10"/>
      <color theme="0" tint="-0.34998626667073579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i/>
      <sz val="10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i/>
      <sz val="8"/>
      <color theme="0" tint="-0.14999847407452621"/>
      <name val="Arial"/>
      <family val="2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theme="0"/>
        <bgColor indexed="58"/>
      </patternFill>
    </fill>
    <fill>
      <patternFill patternType="solid">
        <fgColor theme="6" tint="0.79998168889431442"/>
        <bgColor indexed="58"/>
      </patternFill>
    </fill>
    <fill>
      <patternFill patternType="solid">
        <fgColor theme="9" tint="0.79998168889431442"/>
        <bgColor indexed="58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0" fontId="3" fillId="0" borderId="0" xfId="1" applyNumberForma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37" fontId="0" fillId="0" borderId="1" xfId="0" quotePrefix="1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 applyProtection="1">
      <alignment vertical="center"/>
    </xf>
    <xf numFmtId="0" fontId="0" fillId="0" borderId="1" xfId="0" applyFont="1" applyBorder="1"/>
    <xf numFmtId="0" fontId="2" fillId="3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37" fontId="7" fillId="0" borderId="0" xfId="1" applyNumberFormat="1" applyFont="1" applyFill="1" applyBorder="1" applyAlignment="1" applyProtection="1">
      <alignment vertical="center" wrapText="1"/>
    </xf>
    <xf numFmtId="37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37" fontId="2" fillId="0" borderId="1" xfId="1" applyNumberFormat="1" applyFont="1" applyFill="1" applyBorder="1" applyAlignment="1" applyProtection="1">
      <alignment vertical="center"/>
    </xf>
    <xf numFmtId="10" fontId="2" fillId="0" borderId="3" xfId="1" applyNumberFormat="1" applyFont="1" applyFill="1" applyBorder="1" applyAlignment="1" applyProtection="1">
      <alignment horizontal="center" vertical="center" wrapText="1"/>
    </xf>
    <xf numFmtId="10" fontId="2" fillId="0" borderId="4" xfId="1" applyNumberFormat="1" applyFont="1" applyFill="1" applyBorder="1" applyAlignment="1" applyProtection="1">
      <alignment horizontal="center" vertical="center" wrapText="1"/>
    </xf>
    <xf numFmtId="1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indent="1"/>
    </xf>
    <xf numFmtId="0" fontId="0" fillId="0" borderId="1" xfId="0" applyBorder="1" applyAlignment="1">
      <alignment horizontal="center" vertical="center"/>
    </xf>
    <xf numFmtId="166" fontId="3" fillId="0" borderId="1" xfId="1" applyNumberFormat="1" applyFont="1" applyFill="1" applyBorder="1" applyAlignment="1" applyProtection="1">
      <alignment vertical="center"/>
    </xf>
    <xf numFmtId="37" fontId="0" fillId="0" borderId="1" xfId="0" applyNumberFormat="1" applyFill="1" applyBorder="1" applyAlignment="1">
      <alignment vertical="center"/>
    </xf>
    <xf numFmtId="37" fontId="3" fillId="0" borderId="1" xfId="1" applyNumberFormat="1" applyFill="1" applyBorder="1" applyAlignment="1" applyProtection="1">
      <alignment horizontal="center" vertical="center"/>
    </xf>
    <xf numFmtId="10" fontId="4" fillId="0" borderId="1" xfId="1" applyNumberFormat="1" applyFont="1" applyFill="1" applyBorder="1" applyAlignment="1" applyProtection="1">
      <alignment horizontal="center" vertical="center" wrapText="1"/>
    </xf>
    <xf numFmtId="165" fontId="2" fillId="0" borderId="6" xfId="1" applyFont="1" applyFill="1" applyBorder="1" applyAlignment="1" applyProtection="1">
      <alignment horizontal="center" vertical="center" wrapText="1"/>
    </xf>
    <xf numFmtId="165" fontId="2" fillId="0" borderId="6" xfId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1" fontId="2" fillId="3" borderId="7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37" fontId="4" fillId="0" borderId="0" xfId="1" applyNumberFormat="1" applyFont="1" applyFill="1" applyBorder="1" applyAlignment="1" applyProtection="1">
      <alignment vertical="center" wrapText="1"/>
    </xf>
    <xf numFmtId="37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/>
    <xf numFmtId="166" fontId="2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1" applyNumberForma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37" fontId="2" fillId="0" borderId="7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/>
    <xf numFmtId="10" fontId="3" fillId="0" borderId="1" xfId="1" applyNumberFormat="1" applyFill="1" applyBorder="1" applyAlignment="1" applyProtection="1">
      <alignment horizontal="center" vertical="center"/>
    </xf>
    <xf numFmtId="164" fontId="3" fillId="0" borderId="10" xfId="1" applyNumberFormat="1" applyFill="1" applyBorder="1" applyAlignment="1" applyProtection="1">
      <alignment horizontal="center" vertical="center"/>
    </xf>
    <xf numFmtId="37" fontId="0" fillId="0" borderId="3" xfId="0" quotePrefix="1" applyNumberFormat="1" applyFill="1" applyBorder="1" applyAlignment="1">
      <alignment horizontal="center"/>
    </xf>
    <xf numFmtId="37" fontId="0" fillId="0" borderId="5" xfId="0" quotePrefix="1" applyNumberFormat="1" applyFill="1" applyBorder="1" applyAlignment="1">
      <alignment horizontal="center"/>
    </xf>
    <xf numFmtId="166" fontId="2" fillId="0" borderId="1" xfId="1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vertical="center"/>
    </xf>
    <xf numFmtId="164" fontId="3" fillId="0" borderId="1" xfId="1" applyNumberFormat="1" applyFill="1" applyBorder="1" applyAlignment="1" applyProtection="1">
      <alignment horizontal="center" vertical="center"/>
    </xf>
    <xf numFmtId="37" fontId="2" fillId="0" borderId="6" xfId="1" applyNumberFormat="1" applyFont="1" applyFill="1" applyBorder="1" applyAlignment="1" applyProtection="1">
      <alignment horizontal="center" vertical="center" wrapText="1"/>
    </xf>
    <xf numFmtId="37" fontId="2" fillId="0" borderId="11" xfId="1" applyNumberFormat="1" applyFont="1" applyFill="1" applyBorder="1" applyAlignment="1" applyProtection="1">
      <alignment horizontal="center" vertical="center" wrapText="1"/>
    </xf>
    <xf numFmtId="37" fontId="2" fillId="0" borderId="12" xfId="1" applyNumberFormat="1" applyFont="1" applyFill="1" applyBorder="1" applyAlignment="1" applyProtection="1">
      <alignment horizontal="center" vertical="center" wrapText="1"/>
    </xf>
    <xf numFmtId="166" fontId="2" fillId="0" borderId="6" xfId="1" applyNumberFormat="1" applyFont="1" applyFill="1" applyBorder="1" applyAlignment="1" applyProtection="1">
      <alignment horizontal="center" vertical="center" wrapText="1"/>
    </xf>
    <xf numFmtId="166" fontId="2" fillId="0" borderId="13" xfId="1" applyNumberFormat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/>
    </xf>
    <xf numFmtId="167" fontId="10" fillId="2" borderId="2" xfId="1" applyNumberFormat="1" applyFont="1" applyFill="1" applyBorder="1" applyAlignment="1" applyProtection="1">
      <alignment horizontal="center" vertical="center" wrapText="1"/>
    </xf>
    <xf numFmtId="166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Fill="1" applyBorder="1" applyAlignment="1" applyProtection="1">
      <alignment vertical="center"/>
    </xf>
    <xf numFmtId="167" fontId="4" fillId="2" borderId="2" xfId="1" applyNumberFormat="1" applyFont="1" applyFill="1" applyBorder="1" applyAlignment="1" applyProtection="1">
      <alignment horizontal="center" vertical="center" wrapText="1"/>
    </xf>
    <xf numFmtId="166" fontId="4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5" xfId="0" applyFont="1" applyFill="1" applyBorder="1" applyAlignment="1" applyProtection="1">
      <alignment vertical="center"/>
    </xf>
    <xf numFmtId="0" fontId="0" fillId="0" borderId="2" xfId="0" applyBorder="1"/>
    <xf numFmtId="166" fontId="2" fillId="0" borderId="2" xfId="1" applyNumberFormat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37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quotePrefix="1"/>
    <xf numFmtId="170" fontId="0" fillId="0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top"/>
    </xf>
    <xf numFmtId="166" fontId="2" fillId="0" borderId="1" xfId="0" applyNumberFormat="1" applyFont="1" applyFill="1" applyBorder="1"/>
    <xf numFmtId="0" fontId="2" fillId="0" borderId="1" xfId="0" applyFont="1" applyFill="1" applyBorder="1" applyAlignment="1">
      <alignment horizontal="left" indent="1"/>
    </xf>
    <xf numFmtId="10" fontId="4" fillId="0" borderId="1" xfId="0" applyNumberFormat="1" applyFont="1" applyFill="1" applyBorder="1"/>
    <xf numFmtId="0" fontId="11" fillId="0" borderId="1" xfId="0" applyFont="1" applyFill="1" applyBorder="1"/>
    <xf numFmtId="170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vertical="top"/>
    </xf>
    <xf numFmtId="171" fontId="2" fillId="0" borderId="1" xfId="0" applyNumberFormat="1" applyFont="1" applyFill="1" applyBorder="1"/>
    <xf numFmtId="0" fontId="2" fillId="0" borderId="1" xfId="0" applyFont="1" applyFill="1" applyBorder="1"/>
    <xf numFmtId="171" fontId="11" fillId="0" borderId="1" xfId="0" applyNumberFormat="1" applyFont="1" applyFill="1" applyBorder="1"/>
    <xf numFmtId="0" fontId="4" fillId="0" borderId="1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0" fontId="11" fillId="2" borderId="2" xfId="0" applyFont="1" applyFill="1" applyBorder="1"/>
    <xf numFmtId="10" fontId="8" fillId="0" borderId="1" xfId="2" applyNumberFormat="1" applyFont="1" applyFill="1" applyBorder="1" applyAlignment="1" applyProtection="1">
      <alignment horizontal="right"/>
    </xf>
    <xf numFmtId="10" fontId="8" fillId="0" borderId="1" xfId="2" applyNumberFormat="1" applyFont="1" applyFill="1" applyBorder="1" applyAlignment="1" applyProtection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indent="1"/>
    </xf>
    <xf numFmtId="37" fontId="2" fillId="0" borderId="1" xfId="1" applyNumberFormat="1" applyFont="1" applyFill="1" applyBorder="1" applyAlignment="1" applyProtection="1">
      <alignment horizontal="center" vertical="center"/>
    </xf>
    <xf numFmtId="17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indent="1"/>
    </xf>
    <xf numFmtId="37" fontId="4" fillId="0" borderId="1" xfId="1" applyNumberFormat="1" applyFont="1" applyFill="1" applyBorder="1" applyAlignment="1" applyProtection="1">
      <alignment horizontal="center" vertical="center"/>
    </xf>
    <xf numFmtId="172" fontId="1" fillId="5" borderId="1" xfId="1" applyNumberFormat="1" applyFont="1" applyFill="1" applyBorder="1" applyAlignment="1" applyProtection="1">
      <alignment vertical="center"/>
    </xf>
    <xf numFmtId="172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2" fontId="4" fillId="6" borderId="1" xfId="1" applyNumberFormat="1" applyFont="1" applyFill="1" applyBorder="1" applyAlignment="1" applyProtection="1">
      <alignment vertical="center"/>
    </xf>
    <xf numFmtId="165" fontId="2" fillId="0" borderId="1" xfId="1" applyFont="1" applyFill="1" applyBorder="1" applyAlignment="1" applyProtection="1">
      <alignment horizontal="center" vertical="center" wrapText="1"/>
    </xf>
    <xf numFmtId="165" fontId="2" fillId="0" borderId="3" xfId="1" applyFont="1" applyFill="1" applyBorder="1" applyAlignment="1" applyProtection="1">
      <alignment horizontal="center" vertical="center" wrapText="1"/>
    </xf>
    <xf numFmtId="165" fontId="2" fillId="0" borderId="4" xfId="1" applyFont="1" applyFill="1" applyBorder="1" applyAlignment="1" applyProtection="1">
      <alignment horizontal="center" vertical="center" wrapText="1"/>
    </xf>
    <xf numFmtId="165" fontId="2" fillId="0" borderId="5" xfId="1" applyFont="1" applyFill="1" applyBorder="1" applyAlignment="1" applyProtection="1">
      <alignment horizontal="center" vertical="center" wrapText="1"/>
    </xf>
    <xf numFmtId="166" fontId="2" fillId="0" borderId="3" xfId="1" applyNumberFormat="1" applyFont="1" applyFill="1" applyBorder="1" applyAlignment="1" applyProtection="1">
      <alignment horizontal="center" vertical="center" wrapText="1"/>
    </xf>
    <xf numFmtId="166" fontId="2" fillId="0" borderId="5" xfId="1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9" fillId="0" borderId="1" xfId="1" applyFont="1" applyFill="1" applyBorder="1" applyAlignment="1" applyProtection="1">
      <alignment horizontal="center" vertical="center" wrapText="1"/>
    </xf>
    <xf numFmtId="37" fontId="2" fillId="0" borderId="3" xfId="1" applyNumberFormat="1" applyFont="1" applyFill="1" applyBorder="1" applyAlignment="1" applyProtection="1">
      <alignment horizontal="center" vertical="center"/>
    </xf>
    <xf numFmtId="37" fontId="2" fillId="0" borderId="5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/>
    <xf numFmtId="172" fontId="4" fillId="7" borderId="1" xfId="1" applyNumberFormat="1" applyFont="1" applyFill="1" applyBorder="1" applyAlignment="1" applyProtection="1">
      <alignment vertical="center"/>
    </xf>
    <xf numFmtId="171" fontId="4" fillId="7" borderId="1" xfId="0" applyNumberFormat="1" applyFont="1" applyFill="1" applyBorder="1" applyProtection="1"/>
    <xf numFmtId="171" fontId="2" fillId="7" borderId="1" xfId="0" applyNumberFormat="1" applyFont="1" applyFill="1" applyBorder="1" applyProtection="1"/>
    <xf numFmtId="0" fontId="15" fillId="7" borderId="0" xfId="0" applyFont="1" applyFill="1" applyBorder="1" applyAlignment="1">
      <alignment horizontal="center" vertical="top"/>
    </xf>
    <xf numFmtId="0" fontId="15" fillId="7" borderId="0" xfId="0" applyFont="1" applyFill="1" applyAlignment="1">
      <alignment horizontal="center" vertical="top"/>
    </xf>
    <xf numFmtId="168" fontId="0" fillId="7" borderId="1" xfId="0" applyNumberFormat="1" applyFill="1" applyBorder="1" applyAlignment="1">
      <alignment horizontal="right"/>
    </xf>
    <xf numFmtId="169" fontId="0" fillId="7" borderId="1" xfId="0" applyNumberForma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36</xdr:row>
      <xdr:rowOff>76201</xdr:rowOff>
    </xdr:from>
    <xdr:to>
      <xdr:col>8</xdr:col>
      <xdr:colOff>500884</xdr:colOff>
      <xdr:row>36</xdr:row>
      <xdr:rowOff>78007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07EA7C3-3C1F-4F6E-9645-C39740443B2B}"/>
            </a:ext>
          </a:extLst>
        </xdr:cNvPr>
        <xdr:cNvCxnSpPr/>
      </xdr:nvCxnSpPr>
      <xdr:spPr bwMode="auto">
        <a:xfrm>
          <a:off x="1504950" y="5905501"/>
          <a:ext cx="3644134" cy="180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498092</xdr:colOff>
      <xdr:row>36</xdr:row>
      <xdr:rowOff>76035</xdr:rowOff>
    </xdr:from>
    <xdr:to>
      <xdr:col>8</xdr:col>
      <xdr:colOff>499878</xdr:colOff>
      <xdr:row>37</xdr:row>
      <xdr:rowOff>155776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5DFBF98-C653-4B0B-A11B-3788D6670A03}"/>
            </a:ext>
          </a:extLst>
        </xdr:cNvPr>
        <xdr:cNvCxnSpPr/>
      </xdr:nvCxnSpPr>
      <xdr:spPr bwMode="auto">
        <a:xfrm>
          <a:off x="5146292" y="5905335"/>
          <a:ext cx="1786" cy="2416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342900</xdr:colOff>
      <xdr:row>35</xdr:row>
      <xdr:rowOff>28575</xdr:rowOff>
    </xdr:from>
    <xdr:to>
      <xdr:col>2</xdr:col>
      <xdr:colOff>342900</xdr:colOff>
      <xdr:row>36</xdr:row>
      <xdr:rowOff>85725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1B60F54-988B-4751-87C0-57A2EAE5AC93}"/>
            </a:ext>
          </a:extLst>
        </xdr:cNvPr>
        <xdr:cNvCxnSpPr/>
      </xdr:nvCxnSpPr>
      <xdr:spPr bwMode="auto">
        <a:xfrm flipV="1">
          <a:off x="1504950" y="5695950"/>
          <a:ext cx="0" cy="2190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516442</xdr:colOff>
      <xdr:row>158</xdr:row>
      <xdr:rowOff>0</xdr:rowOff>
    </xdr:from>
    <xdr:to>
      <xdr:col>6</xdr:col>
      <xdr:colOff>518772</xdr:colOff>
      <xdr:row>159</xdr:row>
      <xdr:rowOff>156930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2057D6D-EFB8-4317-BAD7-E376D036AC33}"/>
            </a:ext>
          </a:extLst>
        </xdr:cNvPr>
        <xdr:cNvCxnSpPr/>
      </xdr:nvCxnSpPr>
      <xdr:spPr bwMode="auto">
        <a:xfrm flipH="1">
          <a:off x="4002592" y="25584150"/>
          <a:ext cx="2330" cy="31885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379314</xdr:colOff>
      <xdr:row>159</xdr:row>
      <xdr:rowOff>151726</xdr:rowOff>
    </xdr:from>
    <xdr:to>
      <xdr:col>6</xdr:col>
      <xdr:colOff>518396</xdr:colOff>
      <xdr:row>159</xdr:row>
      <xdr:rowOff>155941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51EAEE3-4F2A-4C53-8745-D6DD92E6260A}"/>
            </a:ext>
          </a:extLst>
        </xdr:cNvPr>
        <xdr:cNvCxnSpPr/>
      </xdr:nvCxnSpPr>
      <xdr:spPr bwMode="auto">
        <a:xfrm flipH="1">
          <a:off x="1541364" y="25897801"/>
          <a:ext cx="2463182" cy="421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375099</xdr:colOff>
      <xdr:row>159</xdr:row>
      <xdr:rowOff>155941</xdr:rowOff>
    </xdr:from>
    <xdr:to>
      <xdr:col>2</xdr:col>
      <xdr:colOff>377515</xdr:colOff>
      <xdr:row>161</xdr:row>
      <xdr:rowOff>153910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0AC3282-A8D5-4EDC-87FF-84B9A3FFC955}"/>
            </a:ext>
          </a:extLst>
        </xdr:cNvPr>
        <xdr:cNvCxnSpPr/>
      </xdr:nvCxnSpPr>
      <xdr:spPr bwMode="auto">
        <a:xfrm>
          <a:off x="1537149" y="25902016"/>
          <a:ext cx="2416" cy="32181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193573</xdr:colOff>
      <xdr:row>141</xdr:row>
      <xdr:rowOff>126590</xdr:rowOff>
    </xdr:from>
    <xdr:to>
      <xdr:col>11</xdr:col>
      <xdr:colOff>250723</xdr:colOff>
      <xdr:row>174</xdr:row>
      <xdr:rowOff>155165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2AFF617B-E176-497C-89D3-09DF74CD3F2E}"/>
            </a:ext>
          </a:extLst>
        </xdr:cNvPr>
        <xdr:cNvCxnSpPr/>
      </xdr:nvCxnSpPr>
      <xdr:spPr bwMode="auto">
        <a:xfrm flipH="1">
          <a:off x="6584848" y="22958015"/>
          <a:ext cx="57150" cy="53721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333376</xdr:colOff>
      <xdr:row>174</xdr:row>
      <xdr:rowOff>152400</xdr:rowOff>
    </xdr:from>
    <xdr:to>
      <xdr:col>11</xdr:col>
      <xdr:colOff>200025</xdr:colOff>
      <xdr:row>174</xdr:row>
      <xdr:rowOff>152400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BC734F6-D027-4C33-8FDB-CE10859022CB}"/>
            </a:ext>
          </a:extLst>
        </xdr:cNvPr>
        <xdr:cNvCxnSpPr/>
      </xdr:nvCxnSpPr>
      <xdr:spPr bwMode="auto">
        <a:xfrm flipH="1">
          <a:off x="2657476" y="28327350"/>
          <a:ext cx="3933824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334782</xdr:colOff>
      <xdr:row>174</xdr:row>
      <xdr:rowOff>27060</xdr:rowOff>
    </xdr:from>
    <xdr:to>
      <xdr:col>4</xdr:col>
      <xdr:colOff>335539</xdr:colOff>
      <xdr:row>174</xdr:row>
      <xdr:rowOff>156405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DE0EA7C-A1FB-4E14-B36E-221ECBB0C01C}"/>
            </a:ext>
          </a:extLst>
        </xdr:cNvPr>
        <xdr:cNvCxnSpPr/>
      </xdr:nvCxnSpPr>
      <xdr:spPr bwMode="auto">
        <a:xfrm flipV="1">
          <a:off x="2658882" y="28202010"/>
          <a:ext cx="757" cy="12934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12597</xdr:colOff>
      <xdr:row>141</xdr:row>
      <xdr:rowOff>127204</xdr:rowOff>
    </xdr:from>
    <xdr:to>
      <xdr:col>11</xdr:col>
      <xdr:colOff>250722</xdr:colOff>
      <xdr:row>141</xdr:row>
      <xdr:rowOff>127204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D6CEBB3-6292-49D5-AB36-16142D9874A4}"/>
            </a:ext>
          </a:extLst>
        </xdr:cNvPr>
        <xdr:cNvCxnSpPr/>
      </xdr:nvCxnSpPr>
      <xdr:spPr bwMode="auto">
        <a:xfrm flipH="1">
          <a:off x="6403872" y="22958629"/>
          <a:ext cx="23812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UC%202019%20CoS%20Data%20Vault%202018083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tine/Local%20Settings/Temporary%20Internet%20Files/Content.IE5/4JL8EBEO/Finance/Rates/RATE%20APPLICATION%20-%202009/ERA%20Model%20Info/2009%20Model/RateMak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UC%202019%20RTSR_Workform%2020180083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Documents/TANDEM%20ENERGY%20SERVICES%20INC/Documents/Hearst/RateMaker/Hearst_RMpils%202010ED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ations%20Department\Department%20Applications\Application%20Review%20Process\Rec%20%231%20-%20Application%20Filing%20Requirements\Testing%20Protocols%20for%20Models%20and%20Appendices\2014%20IRM%20Rate%20Generator_V2.3_FOR%20TESTIN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AppData/Local/Microsoft/Windows/Temporary%20Internet%20Files/Content.Outlook/7VFETQWL/CHEC_Rate%20Design%20Maste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Documents/TESI/TESI%20UTILITIES/CHEC/CHEC%20Models/CHEC_Rate%20Design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Table of Contents"/>
      <sheetName val="0.2 Customer Classes"/>
      <sheetName val="Exhibit 1 -&gt;"/>
      <sheetName val="1.1 Trial Balance Summary"/>
      <sheetName val="1.2 TB Historical Balances"/>
      <sheetName val="1.3 TB Projected Balances"/>
      <sheetName val="1.3 TB Projected Balances (Ben)"/>
      <sheetName val="Exhibit 2 -&gt;"/>
      <sheetName val="2.1. Rate Base Trend "/>
      <sheetName val="2.2 RateBase VarAnalysis"/>
      <sheetName val="2.3 Summary of Capital Projects"/>
      <sheetName val="2.5 DSP Input Tables"/>
      <sheetName val="FIXED ASSET CONTINUITY STMT -&gt;"/>
      <sheetName val="2.5 Service Life Comp"/>
      <sheetName val="2.6 Fixed Asset Cont Stmt"/>
      <sheetName val="2.7 Overhead"/>
      <sheetName val="Reconciliation Sheet"/>
      <sheetName val="2.6 Capex Vs RRR"/>
      <sheetName val="Balance of 1576"/>
      <sheetName val="DEPRECIATION EXPENSES -&gt;"/>
      <sheetName val="2.9 Depreciation Expenses"/>
      <sheetName val="2.10 DeprExp Bridge NewGAAP"/>
      <sheetName val="2.11 DeprExp Test NewGAAP"/>
      <sheetName val="2.12 Proposed REG Invest."/>
      <sheetName val="Exhibit 3 -&gt;"/>
      <sheetName val="OPERATING REVENUES -&gt;"/>
      <sheetName val="3.1 Other Oper Rev Detail"/>
      <sheetName val="3.1 Summary of Oper_Rev 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 PILs.Final PILs"/>
      <sheetName val="LOAD FORECAST -&gt;"/>
      <sheetName val="3.10 Load Forecast Inputs"/>
      <sheetName val="3.11 LoadForecast"/>
      <sheetName val="Exhibit 4 -&gt;"/>
      <sheetName val="OM&amp;A -&gt;"/>
      <sheetName val="4.1 OM&amp;A_Detailed_Analysis"/>
      <sheetName val="4.2 OM&amp;A_Summary_Analys"/>
      <sheetName val="4.3 OMA Programs"/>
      <sheetName val="4.4 OM&amp;A_Cost _Drivers"/>
      <sheetName val="4.5 Monthly Staff Lvl"/>
      <sheetName val="4.6 Yearly Staff Turnover"/>
      <sheetName val="4.7 Employee Costs"/>
      <sheetName val="4.7 Salaries Analysis"/>
      <sheetName val="4.8 Charitable Donations"/>
      <sheetName val="4.9 OM&amp;A_per_Cust_FTEE"/>
      <sheetName val="4.10 Regulatory_Costs"/>
      <sheetName val="4.11 Supplier Purchases"/>
      <sheetName val="4.13 Corp_Cost_Allocation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 (2)"/>
      <sheetName val="6.3 Rev Deficiency Sufficie Bak"/>
      <sheetName val="Rev DefSuf 2016"/>
      <sheetName val="ROE Calcs -&gt;"/>
      <sheetName val="6.4 ROE"/>
      <sheetName val="6.5 OEB Input Appendices"/>
      <sheetName val="6.3 Rev Deficiency Sufficie "/>
      <sheetName val="6.6 OEB ROE Summary"/>
      <sheetName val="6.8 Over_Under-earning Driv"/>
      <sheetName val="6.8 Scorecard"/>
      <sheetName val="Exhibit 8 -&gt;"/>
      <sheetName val="8.1 Loss Factors"/>
      <sheetName val="Rate Design"/>
      <sheetName val="A. Cost Allocation &amp; RevAllocn"/>
      <sheetName val="B. RateDesign"/>
      <sheetName val="D. Rev_Reconciliation"/>
      <sheetName val="C. Res Rate Design"/>
      <sheetName val="E. Revenues at Curr Rates"/>
      <sheetName val="F.Cost Allocation"/>
      <sheetName val="Intergrity Check"/>
      <sheetName val="Integrity Check"/>
      <sheetName val="Intervener Tool"/>
      <sheetName val="TablesEx1"/>
      <sheetName val="TablesEx2"/>
      <sheetName val="TablesEx3"/>
      <sheetName val="TableEx4"/>
      <sheetName val="TableEx5"/>
      <sheetName val="TableEx6"/>
      <sheetName val="TableEx7"/>
      <sheetName val="TableEx8"/>
      <sheetName val="TableEx9"/>
      <sheetName val="8.2 IFRS Transition Costs"/>
    </sheetNames>
    <sheetDataSet>
      <sheetData sheetId="0"/>
      <sheetData sheetId="1">
        <row r="23">
          <cell r="E23">
            <v>2018</v>
          </cell>
        </row>
        <row r="25">
          <cell r="E25">
            <v>2019</v>
          </cell>
        </row>
        <row r="27">
          <cell r="E27">
            <v>2012</v>
          </cell>
        </row>
      </sheetData>
      <sheetData sheetId="2"/>
      <sheetData sheetId="3">
        <row r="13">
          <cell r="D13" t="str">
            <v>kWh</v>
          </cell>
        </row>
        <row r="14">
          <cell r="D14" t="str">
            <v>kWh</v>
          </cell>
        </row>
        <row r="15">
          <cell r="D15" t="str">
            <v>kW</v>
          </cell>
        </row>
        <row r="16">
          <cell r="D16" t="str">
            <v>kWh</v>
          </cell>
        </row>
        <row r="17">
          <cell r="D17" t="str">
            <v>kW</v>
          </cell>
        </row>
        <row r="18">
          <cell r="D18" t="str">
            <v>kW</v>
          </cell>
        </row>
      </sheetData>
      <sheetData sheetId="4"/>
      <sheetData sheetId="5"/>
      <sheetData sheetId="6">
        <row r="84">
          <cell r="J84">
            <v>-31254.43</v>
          </cell>
          <cell r="M84">
            <v>7220.02</v>
          </cell>
          <cell r="P84">
            <v>39576.28</v>
          </cell>
          <cell r="S84">
            <v>110948.96</v>
          </cell>
          <cell r="V84">
            <v>153699.85</v>
          </cell>
          <cell r="Y84">
            <v>200139.14</v>
          </cell>
        </row>
        <row r="313">
          <cell r="B313" t="str">
            <v xml:space="preserve">4075-Billed - LV
</v>
          </cell>
        </row>
        <row r="404">
          <cell r="B404" t="str">
            <v xml:space="preserve">4750-Charges - LV
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4">
          <cell r="I14">
            <v>1043.4883679087588</v>
          </cell>
          <cell r="J14">
            <v>1033.0815692228512</v>
          </cell>
        </row>
        <row r="15">
          <cell r="I15">
            <v>150.21997525073792</v>
          </cell>
          <cell r="J15">
            <v>148.46079581797576</v>
          </cell>
        </row>
        <row r="16">
          <cell r="I16">
            <v>15.115429989783037</v>
          </cell>
          <cell r="J16">
            <v>15.231748251735494</v>
          </cell>
        </row>
        <row r="28">
          <cell r="H28">
            <v>12775802</v>
          </cell>
        </row>
        <row r="29">
          <cell r="H29">
            <v>4702580</v>
          </cell>
        </row>
        <row r="30">
          <cell r="H30">
            <v>6797046</v>
          </cell>
        </row>
        <row r="31">
          <cell r="H31">
            <v>2892</v>
          </cell>
        </row>
        <row r="32">
          <cell r="H32">
            <v>20629</v>
          </cell>
        </row>
        <row r="33">
          <cell r="H33">
            <v>274259</v>
          </cell>
        </row>
        <row r="43">
          <cell r="I43">
            <v>14078629.261565378</v>
          </cell>
          <cell r="J43">
            <v>13831680.835737046</v>
          </cell>
        </row>
        <row r="44">
          <cell r="I44">
            <v>4880501.8683751496</v>
          </cell>
          <cell r="J44">
            <v>4880501.8683751496</v>
          </cell>
        </row>
        <row r="45">
          <cell r="I45">
            <v>7147173.587435727</v>
          </cell>
          <cell r="J45">
            <v>7147173.587435727</v>
          </cell>
        </row>
        <row r="46">
          <cell r="I46">
            <v>5231.8999999999996</v>
          </cell>
          <cell r="J46">
            <v>5231.8999999999996</v>
          </cell>
        </row>
        <row r="47">
          <cell r="I47">
            <v>24760.3</v>
          </cell>
          <cell r="J47">
            <v>24760.3</v>
          </cell>
        </row>
        <row r="48">
          <cell r="I48">
            <v>283967.2</v>
          </cell>
          <cell r="J48">
            <v>283967.2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19002.189647847106</v>
          </cell>
          <cell r="J75">
            <v>18883.313345201033</v>
          </cell>
        </row>
        <row r="76">
          <cell r="I76">
            <v>0</v>
          </cell>
        </row>
        <row r="77">
          <cell r="I77">
            <v>65</v>
          </cell>
          <cell r="J77">
            <v>65</v>
          </cell>
        </row>
        <row r="78">
          <cell r="I78">
            <v>774</v>
          </cell>
          <cell r="J78">
            <v>773.69999999999982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7">
          <cell r="B87">
            <v>1.0555000000000001</v>
          </cell>
          <cell r="C87">
            <v>1.0756850542833321</v>
          </cell>
        </row>
        <row r="88">
          <cell r="B88">
            <v>1.0555000000000001</v>
          </cell>
          <cell r="C88">
            <v>1.0756850542833321</v>
          </cell>
        </row>
        <row r="89">
          <cell r="B89">
            <v>1.0555000000000001</v>
          </cell>
          <cell r="C89">
            <v>1.0756850542833321</v>
          </cell>
        </row>
        <row r="90">
          <cell r="B90">
            <v>1.0555000000000001</v>
          </cell>
          <cell r="C90">
            <v>1.0756850542833321</v>
          </cell>
        </row>
        <row r="91">
          <cell r="B91">
            <v>1.0555000000000001</v>
          </cell>
          <cell r="C91">
            <v>1.0756850542833321</v>
          </cell>
        </row>
        <row r="92">
          <cell r="B92">
            <v>1.0555000000000001</v>
          </cell>
          <cell r="C92">
            <v>1.0756850542833321</v>
          </cell>
        </row>
        <row r="93">
          <cell r="B93">
            <v>1.0555000000000001</v>
          </cell>
          <cell r="C93">
            <v>1.0756850542833321</v>
          </cell>
        </row>
        <row r="94">
          <cell r="B94">
            <v>1.0555000000000001</v>
          </cell>
          <cell r="C94">
            <v>1.0756850542833321</v>
          </cell>
        </row>
        <row r="95">
          <cell r="B95">
            <v>1.0555000000000001</v>
          </cell>
          <cell r="C95">
            <v>1.0756850542833321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3">
          <cell r="C13" t="str">
            <v>v1.02</v>
          </cell>
        </row>
      </sheetData>
      <sheetData sheetId="59"/>
      <sheetData sheetId="6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RTSR Rates to Forecast"/>
      <sheetName val="hidden1"/>
      <sheetName val="CPUC 2019 RTSR_Workform 2018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D17">
            <v>6.7999999999999996E-3</v>
          </cell>
        </row>
        <row r="18">
          <cell r="D18">
            <v>6.0000000000000001E-3</v>
          </cell>
        </row>
        <row r="19">
          <cell r="D19">
            <v>2.5062000000000002</v>
          </cell>
        </row>
        <row r="20">
          <cell r="D20">
            <v>6.0000000000000001E-3</v>
          </cell>
        </row>
        <row r="21">
          <cell r="D21">
            <v>1.8997999999999999</v>
          </cell>
        </row>
        <row r="22">
          <cell r="D22">
            <v>1.8902000000000001</v>
          </cell>
        </row>
        <row r="27">
          <cell r="D27">
            <v>1.6000000000000001E-3</v>
          </cell>
        </row>
        <row r="28">
          <cell r="D28">
            <v>1.6000000000000001E-3</v>
          </cell>
        </row>
        <row r="29">
          <cell r="D29">
            <v>0.57630000000000003</v>
          </cell>
        </row>
        <row r="30">
          <cell r="D30">
            <v>1.6000000000000001E-3</v>
          </cell>
        </row>
        <row r="31">
          <cell r="D31">
            <v>0.45490000000000003</v>
          </cell>
        </row>
        <row r="32">
          <cell r="D32">
            <v>0.4456</v>
          </cell>
        </row>
        <row r="37">
          <cell r="J37">
            <v>6.6952430887484704E-3</v>
          </cell>
        </row>
        <row r="38">
          <cell r="J38">
            <v>5.9075673062744284E-3</v>
          </cell>
        </row>
        <row r="39">
          <cell r="J39">
            <v>2.4675905894666483</v>
          </cell>
        </row>
        <row r="40">
          <cell r="J40">
            <v>5.9079233424661082E-3</v>
          </cell>
        </row>
        <row r="41">
          <cell r="J41">
            <v>1.8705263180554361</v>
          </cell>
        </row>
        <row r="42">
          <cell r="J42">
            <v>1.8610807314211864</v>
          </cell>
        </row>
        <row r="47">
          <cell r="J47">
            <v>1.8441881424219467E-3</v>
          </cell>
        </row>
        <row r="48">
          <cell r="J48">
            <v>1.8441886848932279E-3</v>
          </cell>
        </row>
        <row r="49">
          <cell r="J49">
            <v>0.66425379605818846</v>
          </cell>
        </row>
        <row r="50">
          <cell r="J50">
            <v>1.8441680984475173E-3</v>
          </cell>
        </row>
        <row r="51">
          <cell r="J51">
            <v>0.52438604429548841</v>
          </cell>
        </row>
        <row r="52">
          <cell r="J52">
            <v>0.51360684858475258</v>
          </cell>
        </row>
      </sheetData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0.Admin"/>
      <sheetName val="P1.UCC"/>
      <sheetName val="P2.CEC"/>
      <sheetName val="P3.Interest"/>
      <sheetName val="P4.LCF"/>
      <sheetName val="P5.Reserves"/>
      <sheetName val="P6.TxblIncome"/>
      <sheetName val="P7.CapitalTax"/>
      <sheetName val="P8.TotalPILs"/>
      <sheetName val="Y1.TaxRates"/>
      <sheetName val="Y2.CCA"/>
      <sheetName val="Z1.ModelVariables"/>
      <sheetName val="Z0.Disclaimer"/>
    </sheetNames>
    <sheetDataSet>
      <sheetData sheetId="0"/>
      <sheetData sheetId="1">
        <row r="13">
          <cell r="C13">
            <v>2010</v>
          </cell>
        </row>
      </sheetData>
      <sheetData sheetId="2">
        <row r="35">
          <cell r="N35">
            <v>131419.23125993941</v>
          </cell>
        </row>
      </sheetData>
      <sheetData sheetId="3">
        <row r="22">
          <cell r="F22">
            <v>860.65000000000009</v>
          </cell>
        </row>
      </sheetData>
      <sheetData sheetId="4"/>
      <sheetData sheetId="5">
        <row r="12">
          <cell r="F12">
            <v>41525</v>
          </cell>
        </row>
      </sheetData>
      <sheetData sheetId="6">
        <row r="19">
          <cell r="E19">
            <v>0</v>
          </cell>
        </row>
      </sheetData>
      <sheetData sheetId="7">
        <row r="88">
          <cell r="G88">
            <v>58113.1187400606</v>
          </cell>
        </row>
      </sheetData>
      <sheetData sheetId="8">
        <row r="15">
          <cell r="C15">
            <v>0</v>
          </cell>
        </row>
      </sheetData>
      <sheetData sheetId="9"/>
      <sheetData sheetId="10">
        <row r="12">
          <cell r="B12">
            <v>1.0000000000000001E-5</v>
          </cell>
        </row>
      </sheetData>
      <sheetData sheetId="11">
        <row r="10">
          <cell r="B10">
            <v>1</v>
          </cell>
        </row>
      </sheetData>
      <sheetData sheetId="12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3">
          <cell r="C13" t="str">
            <v>v1.02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  <sheetName val="2016 List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LDC Info"/>
      <sheetName val="CurrentTariff"/>
      <sheetName val="Revenues at Curr Rates"/>
      <sheetName val="RATEBASE &amp; REV REQ -&gt;"/>
      <sheetName val="Rate Base"/>
      <sheetName val="Revenue Requirement"/>
      <sheetName val="COST ALLOC. &amp; RATE DESIGN -&gt;"/>
      <sheetName val="Cost Allocation &amp; RevAllocation"/>
      <sheetName val="RateDesign"/>
      <sheetName val="Loss Factor"/>
      <sheetName val="Rev_Reconciliation"/>
      <sheetName val="RATE RIDERS -&gt;"/>
      <sheetName val="SMRR"/>
      <sheetName val="DVA"/>
      <sheetName val="Summary of Tariffs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 RRWF_Rev_Reqt"/>
      <sheetName val="Update to COS Application"/>
      <sheetName val="CHEC_Rate Design Model"/>
    </sheetNames>
    <sheetDataSet>
      <sheetData sheetId="0"/>
      <sheetData sheetId="1">
        <row r="24">
          <cell r="E24">
            <v>2015</v>
          </cell>
        </row>
      </sheetData>
      <sheetData sheetId="2"/>
      <sheetData sheetId="3"/>
      <sheetData sheetId="4"/>
      <sheetData sheetId="5"/>
      <sheetData sheetId="6">
        <row r="26">
          <cell r="C26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AA8C-DAF6-42AC-970C-AB5FB73C335B}">
  <sheetPr codeName="Sheet235">
    <tabColor rgb="FFFFFF00"/>
  </sheetPr>
  <dimension ref="A1:S223"/>
  <sheetViews>
    <sheetView showGridLines="0" tabSelected="1" zoomScaleNormal="100" workbookViewId="0">
      <selection activeCell="M2" sqref="M2"/>
    </sheetView>
  </sheetViews>
  <sheetFormatPr defaultColWidth="8.7109375" defaultRowHeight="12.75" x14ac:dyDescent="0.2"/>
  <cols>
    <col min="1" max="1" width="29" customWidth="1"/>
    <col min="2" max="2" width="9.28515625" customWidth="1"/>
    <col min="3" max="3" width="13.42578125" customWidth="1"/>
    <col min="4" max="4" width="9.28515625" customWidth="1"/>
    <col min="5" max="10" width="12.5703125" customWidth="1"/>
    <col min="11" max="11" width="14.5703125" customWidth="1"/>
    <col min="12" max="12" width="12.5703125" customWidth="1"/>
    <col min="13" max="13" width="14" bestFit="1" customWidth="1"/>
    <col min="14" max="14" width="11.28515625" bestFit="1" customWidth="1"/>
  </cols>
  <sheetData>
    <row r="1" spans="1:15" x14ac:dyDescent="0.2">
      <c r="A1" s="148"/>
      <c r="I1" s="4"/>
      <c r="L1" s="1" t="s">
        <v>70</v>
      </c>
      <c r="M1" s="147" t="s">
        <v>71</v>
      </c>
    </row>
    <row r="2" spans="1:15" x14ac:dyDescent="0.2">
      <c r="A2" s="2"/>
      <c r="I2" s="4"/>
      <c r="L2" s="1" t="s">
        <v>69</v>
      </c>
      <c r="M2" s="152"/>
    </row>
    <row r="3" spans="1:15" x14ac:dyDescent="0.2">
      <c r="A3" s="2"/>
      <c r="I3" s="4"/>
      <c r="L3" s="1" t="s">
        <v>68</v>
      </c>
      <c r="M3" s="152"/>
    </row>
    <row r="4" spans="1:15" x14ac:dyDescent="0.2">
      <c r="A4" s="2"/>
      <c r="I4" s="4"/>
      <c r="L4" s="1" t="s">
        <v>67</v>
      </c>
      <c r="M4" s="152"/>
    </row>
    <row r="5" spans="1:15" x14ac:dyDescent="0.2">
      <c r="A5" s="2"/>
      <c r="I5" s="4"/>
      <c r="L5" s="1" t="s">
        <v>66</v>
      </c>
      <c r="M5" s="153"/>
    </row>
    <row r="6" spans="1:15" x14ac:dyDescent="0.2">
      <c r="A6" s="2"/>
      <c r="I6" s="4"/>
      <c r="L6" s="1"/>
    </row>
    <row r="7" spans="1:15" x14ac:dyDescent="0.2">
      <c r="A7" s="2"/>
      <c r="I7" s="4"/>
      <c r="L7" s="1" t="s">
        <v>65</v>
      </c>
      <c r="M7" s="153"/>
    </row>
    <row r="8" spans="1:15" x14ac:dyDescent="0.2">
      <c r="A8" s="2"/>
      <c r="I8" s="4"/>
      <c r="K8" s="4"/>
    </row>
    <row r="9" spans="1:15" ht="18" x14ac:dyDescent="0.2">
      <c r="A9" s="146" t="s">
        <v>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8" x14ac:dyDescent="0.2">
      <c r="A10" s="146" t="s">
        <v>64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x14ac:dyDescent="0.2">
      <c r="A11" s="29" t="s">
        <v>63</v>
      </c>
    </row>
    <row r="12" spans="1:15" x14ac:dyDescent="0.2">
      <c r="A12" s="29"/>
    </row>
    <row r="13" spans="1:15" s="140" customFormat="1" ht="25.5" x14ac:dyDescent="0.2">
      <c r="A13" s="145" t="s">
        <v>1</v>
      </c>
      <c r="B13" s="144" t="s">
        <v>49</v>
      </c>
      <c r="C13" s="143" t="s">
        <v>58</v>
      </c>
      <c r="D13" s="142"/>
      <c r="F13" s="133" t="s">
        <v>62</v>
      </c>
      <c r="G13" s="133" t="s">
        <v>61</v>
      </c>
      <c r="H13" s="141" t="s">
        <v>60</v>
      </c>
      <c r="J13" s="124" t="s">
        <v>59</v>
      </c>
      <c r="K13" s="124" t="s">
        <v>57</v>
      </c>
      <c r="L13" s="124" t="s">
        <v>59</v>
      </c>
    </row>
    <row r="14" spans="1:15" s="103" customFormat="1" ht="15" customHeight="1" x14ac:dyDescent="0.2">
      <c r="A14" s="45" t="s">
        <v>17</v>
      </c>
      <c r="B14" s="139"/>
      <c r="C14" s="138" t="s">
        <v>58</v>
      </c>
      <c r="D14" s="137"/>
      <c r="F14" s="136" t="s">
        <v>57</v>
      </c>
      <c r="G14" s="135"/>
      <c r="H14" s="134"/>
      <c r="J14" s="133"/>
      <c r="K14" s="133" t="s">
        <v>41</v>
      </c>
      <c r="L14" s="133" t="s">
        <v>41</v>
      </c>
    </row>
    <row r="15" spans="1:15" s="103" customFormat="1" ht="15" customHeight="1" x14ac:dyDescent="0.2">
      <c r="A15" s="24" t="s">
        <v>56</v>
      </c>
      <c r="B15" s="131"/>
      <c r="C15" s="130">
        <f>'[1]3.11 LoadForecast'!H28</f>
        <v>12775802</v>
      </c>
      <c r="D15" s="130"/>
      <c r="F15" s="132"/>
      <c r="G15" s="132"/>
      <c r="H15" s="129">
        <f>SUM(F15:G15)</f>
        <v>0</v>
      </c>
      <c r="J15" s="128">
        <f>C15-(F15+G15)</f>
        <v>12775802</v>
      </c>
      <c r="K15" s="120">
        <f>+H15/C15</f>
        <v>0</v>
      </c>
      <c r="L15" s="120">
        <f>+J15/C15</f>
        <v>1</v>
      </c>
    </row>
    <row r="16" spans="1:15" s="103" customFormat="1" ht="14.25" x14ac:dyDescent="0.2">
      <c r="A16" s="24" t="s">
        <v>55</v>
      </c>
      <c r="B16" s="131"/>
      <c r="C16" s="130">
        <f>'[1]3.11 LoadForecast'!H29</f>
        <v>4702580</v>
      </c>
      <c r="D16" s="130"/>
      <c r="F16" s="132"/>
      <c r="G16" s="132"/>
      <c r="H16" s="129">
        <f>SUM(F16:G16)</f>
        <v>0</v>
      </c>
      <c r="J16" s="128">
        <f>C16-(F16+G16)</f>
        <v>4702580</v>
      </c>
      <c r="K16" s="120">
        <f>+H16/C16</f>
        <v>0</v>
      </c>
      <c r="L16" s="120">
        <f>+J16/C16</f>
        <v>1</v>
      </c>
    </row>
    <row r="17" spans="1:19" s="103" customFormat="1" ht="12.75" customHeight="1" x14ac:dyDescent="0.2">
      <c r="A17" s="24" t="s">
        <v>54</v>
      </c>
      <c r="B17" s="131"/>
      <c r="C17" s="130">
        <f>'[1]3.11 LoadForecast'!H30</f>
        <v>6797046</v>
      </c>
      <c r="D17" s="130"/>
      <c r="F17" s="132"/>
      <c r="G17" s="132">
        <f>C17</f>
        <v>6797046</v>
      </c>
      <c r="H17" s="129">
        <f>SUM(F17:G17)</f>
        <v>6797046</v>
      </c>
      <c r="J17" s="128">
        <f>C17-(F17+G17)</f>
        <v>0</v>
      </c>
      <c r="K17" s="120">
        <f>+H17/C17</f>
        <v>1</v>
      </c>
      <c r="L17" s="120">
        <f>+J17/C17</f>
        <v>0</v>
      </c>
    </row>
    <row r="18" spans="1:19" s="103" customFormat="1" ht="12.75" customHeight="1" x14ac:dyDescent="0.2">
      <c r="A18" s="24" t="s">
        <v>53</v>
      </c>
      <c r="B18" s="131"/>
      <c r="C18" s="130">
        <f>'[1]3.11 LoadForecast'!H31</f>
        <v>2892</v>
      </c>
      <c r="D18" s="130"/>
      <c r="F18" s="132"/>
      <c r="G18" s="132"/>
      <c r="H18" s="129">
        <f>SUM(F18:G18)</f>
        <v>0</v>
      </c>
      <c r="J18" s="128">
        <f>C18-(F18+G18)</f>
        <v>2892</v>
      </c>
      <c r="K18" s="120">
        <f>+H18/C18</f>
        <v>0</v>
      </c>
      <c r="L18" s="120">
        <f>+J18/C18</f>
        <v>1</v>
      </c>
    </row>
    <row r="19" spans="1:19" s="103" customFormat="1" ht="12.75" customHeight="1" x14ac:dyDescent="0.2">
      <c r="A19" s="24" t="s">
        <v>52</v>
      </c>
      <c r="B19" s="131"/>
      <c r="C19" s="130">
        <f>'[1]3.11 LoadForecast'!H32</f>
        <v>20629</v>
      </c>
      <c r="D19" s="130"/>
      <c r="F19" s="132"/>
      <c r="G19" s="132"/>
      <c r="H19" s="129">
        <f>SUM(F19:G19)</f>
        <v>0</v>
      </c>
      <c r="J19" s="128">
        <f>C19-(F19+G19)</f>
        <v>20629</v>
      </c>
      <c r="K19" s="120">
        <f>+H19/C19</f>
        <v>0</v>
      </c>
      <c r="L19" s="120">
        <f>+J19/C19</f>
        <v>1</v>
      </c>
    </row>
    <row r="20" spans="1:19" s="103" customFormat="1" ht="12.75" customHeight="1" x14ac:dyDescent="0.2">
      <c r="A20" s="24" t="s">
        <v>51</v>
      </c>
      <c r="B20" s="131"/>
      <c r="C20" s="130">
        <f>'[1]3.11 LoadForecast'!H33</f>
        <v>274259</v>
      </c>
      <c r="D20" s="130"/>
      <c r="F20" s="132"/>
      <c r="G20" s="132"/>
      <c r="H20" s="129">
        <f>SUM(F20:G20)</f>
        <v>0</v>
      </c>
      <c r="J20" s="128">
        <f>C20-(F20+G20)</f>
        <v>274259</v>
      </c>
      <c r="K20" s="120">
        <f>+H20/C20</f>
        <v>0</v>
      </c>
      <c r="L20" s="120">
        <f>+J20/C20</f>
        <v>1</v>
      </c>
    </row>
    <row r="21" spans="1:19" s="103" customFormat="1" ht="12.75" customHeight="1" x14ac:dyDescent="0.2">
      <c r="A21" s="24" t="s">
        <v>50</v>
      </c>
      <c r="B21" s="131"/>
      <c r="C21" s="130">
        <v>0</v>
      </c>
      <c r="D21" s="130"/>
      <c r="F21" s="132"/>
      <c r="G21" s="132"/>
      <c r="H21" s="129">
        <f>SUM(F21:G21)</f>
        <v>0</v>
      </c>
      <c r="J21" s="128">
        <f>C21-(F21+G21)</f>
        <v>0</v>
      </c>
      <c r="K21" s="120"/>
      <c r="L21" s="120"/>
    </row>
    <row r="22" spans="1:19" s="103" customFormat="1" ht="12.75" customHeight="1" x14ac:dyDescent="0.2">
      <c r="A22" s="24"/>
      <c r="B22" s="131"/>
      <c r="C22" s="130">
        <v>0</v>
      </c>
      <c r="D22" s="130"/>
      <c r="F22" s="132"/>
      <c r="G22" s="132"/>
      <c r="H22" s="129"/>
      <c r="J22" s="128">
        <f>C22-F22</f>
        <v>0</v>
      </c>
      <c r="K22" s="120"/>
      <c r="L22" s="120"/>
    </row>
    <row r="23" spans="1:19" s="103" customFormat="1" ht="12.75" customHeight="1" x14ac:dyDescent="0.2">
      <c r="A23" s="24"/>
      <c r="B23" s="131"/>
      <c r="C23" s="130">
        <v>0</v>
      </c>
      <c r="D23" s="130"/>
      <c r="F23" s="149"/>
      <c r="G23" s="149"/>
      <c r="H23" s="129"/>
      <c r="J23" s="128">
        <f>C23-F23</f>
        <v>0</v>
      </c>
      <c r="K23" s="120"/>
      <c r="L23" s="120"/>
    </row>
    <row r="24" spans="1:19" s="103" customFormat="1" ht="12.75" customHeight="1" x14ac:dyDescent="0.2">
      <c r="A24" s="127" t="s">
        <v>2</v>
      </c>
      <c r="B24" s="126" t="s">
        <v>49</v>
      </c>
      <c r="C24" s="125">
        <f>SUM(C15:D23)</f>
        <v>24573208</v>
      </c>
      <c r="D24" s="125"/>
      <c r="F24" s="33">
        <f>SUM(F15:F23)</f>
        <v>0</v>
      </c>
      <c r="G24" s="33">
        <f>SUM(G15:G23)</f>
        <v>6797046</v>
      </c>
      <c r="H24" s="33">
        <f>SUM(H15:H23)</f>
        <v>6797046</v>
      </c>
      <c r="J24" s="124">
        <f>SUM(J15:J23)</f>
        <v>17776162</v>
      </c>
      <c r="K24" s="124"/>
      <c r="L24" s="124"/>
    </row>
    <row r="25" spans="1:19" s="103" customFormat="1" ht="12.75" customHeight="1" x14ac:dyDescent="0.2">
      <c r="A25" s="123" t="s">
        <v>41</v>
      </c>
      <c r="B25" s="122" t="s">
        <v>49</v>
      </c>
      <c r="C25" s="121">
        <f>$C$24/$C$24</f>
        <v>1</v>
      </c>
      <c r="D25" s="121"/>
      <c r="F25" s="120">
        <f>$F$24/$C$24</f>
        <v>0</v>
      </c>
      <c r="G25" s="120">
        <f>$G$24/$C$24</f>
        <v>0.27660393384534898</v>
      </c>
      <c r="J25" s="120">
        <f>$J$24/$C$24</f>
        <v>0.72339606615465102</v>
      </c>
      <c r="K25" s="120"/>
      <c r="L25" s="120"/>
    </row>
    <row r="26" spans="1:19" s="103" customFormat="1" ht="12.75" customHeight="1" x14ac:dyDescent="0.2">
      <c r="A26" s="117" t="s">
        <v>49</v>
      </c>
      <c r="B26" s="117"/>
      <c r="C26" s="117"/>
      <c r="D26" s="117"/>
      <c r="F26" s="117"/>
      <c r="G26" s="117"/>
      <c r="J26" s="117"/>
      <c r="K26" s="117"/>
      <c r="L26" s="117"/>
      <c r="M26" s="104"/>
      <c r="N26" s="104"/>
    </row>
    <row r="27" spans="1:19" s="103" customFormat="1" ht="12.75" customHeight="1" x14ac:dyDescent="0.2">
      <c r="A27" s="118" t="s">
        <v>48</v>
      </c>
      <c r="B27" s="117"/>
      <c r="C27" s="117"/>
      <c r="D27" s="117"/>
      <c r="F27" s="103" t="s">
        <v>47</v>
      </c>
      <c r="G27" s="119">
        <v>44.38</v>
      </c>
      <c r="J27" s="117"/>
      <c r="K27" s="117"/>
      <c r="L27" s="117"/>
      <c r="M27" s="104"/>
      <c r="N27" s="104"/>
    </row>
    <row r="28" spans="1:19" s="103" customFormat="1" ht="12.75" customHeight="1" x14ac:dyDescent="0.2">
      <c r="A28" s="118"/>
      <c r="B28" s="117"/>
      <c r="C28" s="117"/>
      <c r="D28" s="117"/>
      <c r="F28" s="117"/>
      <c r="G28" s="117"/>
      <c r="J28" s="117"/>
      <c r="K28" s="117"/>
      <c r="L28" s="117"/>
      <c r="M28" s="104"/>
      <c r="N28" s="104"/>
    </row>
    <row r="29" spans="1:19" s="103" customFormat="1" ht="12.75" customHeight="1" x14ac:dyDescent="0.2">
      <c r="A29" s="108" t="s">
        <v>46</v>
      </c>
      <c r="B29" s="108"/>
      <c r="C29" s="108"/>
      <c r="D29" s="108"/>
      <c r="F29" s="150">
        <v>21.57</v>
      </c>
      <c r="G29" s="150">
        <v>21.57</v>
      </c>
      <c r="J29" s="115"/>
      <c r="K29" s="112"/>
      <c r="L29" s="112"/>
    </row>
    <row r="30" spans="1:19" s="103" customFormat="1" ht="12.75" customHeight="1" x14ac:dyDescent="0.2">
      <c r="A30" s="108" t="s">
        <v>45</v>
      </c>
      <c r="B30" s="108"/>
      <c r="C30" s="108"/>
      <c r="D30" s="108"/>
      <c r="F30" s="150">
        <v>103.8</v>
      </c>
      <c r="G30" s="150">
        <f>F30-G27</f>
        <v>59.419999999999995</v>
      </c>
      <c r="J30" s="115"/>
      <c r="K30" s="112"/>
      <c r="L30" s="112"/>
    </row>
    <row r="31" spans="1:19" s="103" customFormat="1" ht="12.75" customHeight="1" x14ac:dyDescent="0.2">
      <c r="A31" s="116" t="s">
        <v>44</v>
      </c>
      <c r="B31" s="108"/>
      <c r="C31" s="108"/>
      <c r="D31" s="108"/>
      <c r="F31" s="150">
        <v>1</v>
      </c>
      <c r="G31" s="150">
        <v>1</v>
      </c>
      <c r="J31" s="115"/>
    </row>
    <row r="32" spans="1:19" s="103" customFormat="1" ht="12.75" customHeight="1" x14ac:dyDescent="0.2">
      <c r="A32" s="106" t="s">
        <v>43</v>
      </c>
      <c r="B32" s="114"/>
      <c r="C32" s="114"/>
      <c r="D32" s="114"/>
      <c r="F32" s="113">
        <f>SUM(F29:F31)</f>
        <v>126.37</v>
      </c>
      <c r="G32" s="113">
        <f>SUM(G29:G31)</f>
        <v>81.99</v>
      </c>
      <c r="J32" s="151">
        <v>82</v>
      </c>
      <c r="K32" s="112"/>
      <c r="L32" s="112"/>
      <c r="S32" s="103" t="s">
        <v>1</v>
      </c>
    </row>
    <row r="33" spans="1:12" s="103" customFormat="1" ht="12.75" customHeight="1" x14ac:dyDescent="0.2">
      <c r="A33" s="111" t="s">
        <v>42</v>
      </c>
      <c r="B33" s="110"/>
      <c r="C33" s="110"/>
      <c r="D33" s="110"/>
      <c r="F33" s="109">
        <f>F32/1000</f>
        <v>0.12637000000000001</v>
      </c>
      <c r="G33" s="109">
        <f>G32/1000</f>
        <v>8.1989999999999993E-2</v>
      </c>
      <c r="J33" s="109">
        <f>J32/1000</f>
        <v>8.2000000000000003E-2</v>
      </c>
      <c r="K33" s="104"/>
      <c r="L33" s="104"/>
    </row>
    <row r="34" spans="1:12" s="103" customFormat="1" ht="12.75" customHeight="1" x14ac:dyDescent="0.2">
      <c r="A34" s="108" t="s">
        <v>41</v>
      </c>
      <c r="B34" s="108"/>
      <c r="C34" s="108"/>
      <c r="D34" s="108"/>
      <c r="F34" s="107">
        <f>F25</f>
        <v>0</v>
      </c>
      <c r="G34" s="107">
        <f>G25</f>
        <v>0.27660393384534898</v>
      </c>
      <c r="J34" s="107">
        <f>J25</f>
        <v>0.72339606615465102</v>
      </c>
      <c r="K34" s="104"/>
      <c r="L34" s="104"/>
    </row>
    <row r="35" spans="1:12" s="103" customFormat="1" ht="12.75" customHeight="1" x14ac:dyDescent="0.2">
      <c r="A35" s="106" t="s">
        <v>40</v>
      </c>
      <c r="B35" s="105"/>
      <c r="C35" s="105">
        <f>SUM(F35:J35)</f>
        <v>8.1997233960661553E-2</v>
      </c>
      <c r="D35" s="105"/>
      <c r="F35" s="105">
        <f>F33*F34</f>
        <v>0</v>
      </c>
      <c r="G35" s="105">
        <f>G33*G34</f>
        <v>2.2678756535980161E-2</v>
      </c>
      <c r="J35" s="105">
        <f>J33*J34</f>
        <v>5.9318477424681389E-2</v>
      </c>
      <c r="K35" s="104"/>
      <c r="L35" s="104"/>
    </row>
    <row r="36" spans="1:12" s="103" customFormat="1" ht="14.25" x14ac:dyDescent="0.2"/>
    <row r="37" spans="1:12" s="103" customFormat="1" ht="14.25" x14ac:dyDescent="0.2">
      <c r="A37" s="29" t="s">
        <v>39</v>
      </c>
    </row>
    <row r="38" spans="1:12" s="103" customFormat="1" ht="14.25" x14ac:dyDescent="0.2">
      <c r="A38" s="28" t="s">
        <v>29</v>
      </c>
    </row>
    <row r="39" spans="1:12" x14ac:dyDescent="0.2">
      <c r="E39" s="91">
        <f>'[1]0.1 LDC Info'!$E$23</f>
        <v>2018</v>
      </c>
      <c r="F39" s="89"/>
      <c r="G39" s="89"/>
      <c r="H39" s="90">
        <f>'[1]0.1 LDC Info'!$E$25</f>
        <v>2019</v>
      </c>
      <c r="I39" s="89"/>
      <c r="J39" s="89"/>
    </row>
    <row r="40" spans="1:12" s="1" customFormat="1" x14ac:dyDescent="0.2">
      <c r="A40" s="8" t="s">
        <v>10</v>
      </c>
      <c r="B40" s="6"/>
      <c r="C40" s="6" t="s">
        <v>9</v>
      </c>
      <c r="D40" s="6" t="s">
        <v>8</v>
      </c>
      <c r="E40" s="6" t="s">
        <v>1</v>
      </c>
      <c r="F40" s="6"/>
      <c r="G40" s="6"/>
      <c r="H40" s="6"/>
      <c r="I40" s="6"/>
      <c r="J40" s="6"/>
    </row>
    <row r="41" spans="1:12" x14ac:dyDescent="0.2">
      <c r="A41" s="25" t="s">
        <v>7</v>
      </c>
      <c r="B41" s="23"/>
      <c r="C41" s="23" t="s">
        <v>6</v>
      </c>
      <c r="D41" s="23" t="s">
        <v>6</v>
      </c>
      <c r="E41" s="23" t="s">
        <v>5</v>
      </c>
      <c r="F41" s="102" t="s">
        <v>28</v>
      </c>
      <c r="G41" s="102" t="s">
        <v>3</v>
      </c>
      <c r="H41" s="102" t="s">
        <v>5</v>
      </c>
      <c r="I41" s="102" t="s">
        <v>28</v>
      </c>
      <c r="J41" s="23" t="s">
        <v>3</v>
      </c>
    </row>
    <row r="42" spans="1:12" x14ac:dyDescent="0.2">
      <c r="A42" s="24" t="str">
        <f>A15</f>
        <v>Residential</v>
      </c>
      <c r="B42" s="88" t="s">
        <v>38</v>
      </c>
      <c r="C42" s="88">
        <v>4006</v>
      </c>
      <c r="D42" s="88">
        <v>4705</v>
      </c>
      <c r="E42" s="20">
        <f>CHOOSE(MATCH(B42,{0,"kWh","kW"},0),1,'[1]3.11 LoadForecast'!$I43*'[1]3.11 LoadForecast'!B87,'[1]3.11 LoadForecast'!$I$3)</f>
        <v>14859993.185582258</v>
      </c>
      <c r="F42" s="154">
        <f>$C$35</f>
        <v>8.1997233960661553E-2</v>
      </c>
      <c r="G42" s="21">
        <f>E42*F42</f>
        <v>1218478.3378920248</v>
      </c>
      <c r="H42" s="20">
        <f>CHOOSE(MATCH(B42,{0,"kWh","kW"},0),1,'[1]3.11 LoadForecast'!$J43*'[1]3.11 LoadForecast'!C87,'[1]3.11 LoadForecast'!$J73)</f>
        <v>14878532.350619528</v>
      </c>
      <c r="I42" s="101">
        <f>$C$35</f>
        <v>8.1997233960661553E-2</v>
      </c>
      <c r="J42" s="21">
        <f>H42*I42</f>
        <v>1219998.4981450213</v>
      </c>
    </row>
    <row r="43" spans="1:12" x14ac:dyDescent="0.2">
      <c r="A43" s="24" t="str">
        <f>A16</f>
        <v>General Service &lt; 50 kW</v>
      </c>
      <c r="B43" s="88" t="s">
        <v>38</v>
      </c>
      <c r="C43" s="88">
        <v>4010</v>
      </c>
      <c r="D43" s="88">
        <v>4705</v>
      </c>
      <c r="E43" s="20">
        <f>CHOOSE(MATCH(B43,{0,"kWh","kW"},0),1,'[1]3.11 LoadForecast'!$I44*'[1]3.11 LoadForecast'!B88,'[1]3.11 LoadForecast'!$I$3)</f>
        <v>5151369.7220699713</v>
      </c>
      <c r="F43" s="154">
        <f>$C$35</f>
        <v>8.1997233960661553E-2</v>
      </c>
      <c r="G43" s="21">
        <f>E43*F43</f>
        <v>422398.06831843953</v>
      </c>
      <c r="H43" s="20">
        <f>CHOOSE(MATCH(B43,{0,"kWh","kW"},0),1,'[1]3.11 LoadForecast'!$J44*'[1]3.11 LoadForecast'!C88,'[1]3.11 LoadForecast'!$J74)</f>
        <v>5249882.9172130264</v>
      </c>
      <c r="I43" s="101">
        <f>$C$35</f>
        <v>8.1997233960661553E-2</v>
      </c>
      <c r="J43" s="21">
        <f>H43*I43</f>
        <v>430475.87782879692</v>
      </c>
    </row>
    <row r="44" spans="1:12" x14ac:dyDescent="0.2">
      <c r="A44" s="24" t="str">
        <f>A17</f>
        <v>General Service &gt; 50 to 4999 kW</v>
      </c>
      <c r="B44" s="88" t="s">
        <v>38</v>
      </c>
      <c r="C44" s="88">
        <v>4035</v>
      </c>
      <c r="D44" s="88">
        <v>4705</v>
      </c>
      <c r="E44" s="20">
        <f>CHOOSE(MATCH(B44,{0,"kWh","kW"},0),1,'[1]3.11 LoadForecast'!$I45*'[1]3.11 LoadForecast'!B89,'[1]3.11 LoadForecast'!$I$3)</f>
        <v>7543841.7215384105</v>
      </c>
      <c r="F44" s="154">
        <f>$C$35</f>
        <v>8.1997233960661553E-2</v>
      </c>
      <c r="G44" s="21">
        <f>E44*F44</f>
        <v>618574.1546031849</v>
      </c>
      <c r="H44" s="20">
        <f>CHOOSE(MATCH(B44,{0,"kWh","kW"},0),1,'[1]3.11 LoadForecast'!$J45*'[1]3.11 LoadForecast'!C89,'[1]3.11 LoadForecast'!$J75)</f>
        <v>7688107.808373197</v>
      </c>
      <c r="I44" s="101">
        <f>$C$35</f>
        <v>8.1997233960661553E-2</v>
      </c>
      <c r="J44" s="21">
        <f>H44*I44</f>
        <v>630403.57467796595</v>
      </c>
    </row>
    <row r="45" spans="1:12" x14ac:dyDescent="0.2">
      <c r="A45" s="24" t="str">
        <f>A18</f>
        <v>Unmetered Scattered Load</v>
      </c>
      <c r="B45" s="88" t="s">
        <v>38</v>
      </c>
      <c r="C45" s="88">
        <v>4010</v>
      </c>
      <c r="D45" s="88">
        <v>4705</v>
      </c>
      <c r="E45" s="20">
        <f>CHOOSE(MATCH(B45,{0,"kWh","kW"},0),1,'[1]3.11 LoadForecast'!$I46*'[1]3.11 LoadForecast'!B90,'[1]3.11 LoadForecast'!$I$3)</f>
        <v>5522.27045</v>
      </c>
      <c r="F45" s="154">
        <f>$C$35</f>
        <v>8.1997233960661553E-2</v>
      </c>
      <c r="G45" s="21">
        <f>E45*F45</f>
        <v>452.81090208269774</v>
      </c>
      <c r="H45" s="20">
        <f>CHOOSE(MATCH(B45,{0,"kWh","kW"},0),1,'[1]3.11 LoadForecast'!$J46*'[1]3.11 LoadForecast'!C90,'[1]3.11 LoadForecast'!$J76)</f>
        <v>5627.8766355049647</v>
      </c>
      <c r="I45" s="101">
        <f>$C$35</f>
        <v>8.1997233960661553E-2</v>
      </c>
      <c r="J45" s="21">
        <f>H45*I45</f>
        <v>461.47031718324138</v>
      </c>
    </row>
    <row r="46" spans="1:12" x14ac:dyDescent="0.2">
      <c r="A46" s="24" t="str">
        <f>A19</f>
        <v>Sentinel Lighting</v>
      </c>
      <c r="B46" s="88" t="s">
        <v>38</v>
      </c>
      <c r="C46" s="88">
        <v>4025</v>
      </c>
      <c r="D46" s="88">
        <v>4705</v>
      </c>
      <c r="E46" s="20">
        <f>CHOOSE(MATCH(B46,{0,"kWh","kW"},0),1,'[1]3.11 LoadForecast'!$I47*'[1]3.11 LoadForecast'!B91,'[1]3.11 LoadForecast'!$I$3)</f>
        <v>26134.496650000001</v>
      </c>
      <c r="F46" s="154">
        <f>$C$35</f>
        <v>8.1997233960661553E-2</v>
      </c>
      <c r="G46" s="21">
        <f>E46*F46</f>
        <v>2142.9564362541755</v>
      </c>
      <c r="H46" s="20">
        <f>CHOOSE(MATCH(B46,{0,"kWh","kW"},0),1,'[1]3.11 LoadForecast'!$J47*'[1]3.11 LoadForecast'!C91,'[1]3.11 LoadForecast'!$J77)</f>
        <v>26634.284649571586</v>
      </c>
      <c r="I46" s="101">
        <f>$C$35</f>
        <v>8.1997233960661553E-2</v>
      </c>
      <c r="J46" s="21">
        <f>H46*I46</f>
        <v>2183.9376697857779</v>
      </c>
    </row>
    <row r="47" spans="1:12" x14ac:dyDescent="0.2">
      <c r="A47" s="24" t="str">
        <f>A20</f>
        <v xml:space="preserve">Street Lighting </v>
      </c>
      <c r="B47" s="88" t="s">
        <v>38</v>
      </c>
      <c r="C47" s="88">
        <v>4025</v>
      </c>
      <c r="D47" s="88">
        <v>4705</v>
      </c>
      <c r="E47" s="20">
        <f>CHOOSE(MATCH(B47,{0,"kWh","kW"},0),1,'[1]3.11 LoadForecast'!$I48*'[1]3.11 LoadForecast'!B92,'[1]3.11 LoadForecast'!$I$3)</f>
        <v>299727.37960000004</v>
      </c>
      <c r="F47" s="154">
        <f>$C$35</f>
        <v>8.1997233960661553E-2</v>
      </c>
      <c r="G47" s="21">
        <f>E47*F47</f>
        <v>24576.81606947722</v>
      </c>
      <c r="H47" s="20">
        <f>CHOOSE(MATCH(B47,{0,"kWh","kW"},0),1,'[1]3.11 LoadForecast'!$J48*'[1]3.11 LoadForecast'!C92,'[1]3.11 LoadForecast'!$J78)</f>
        <v>305459.27294668584</v>
      </c>
      <c r="I47" s="101">
        <f>$C$35</f>
        <v>8.1997233960661553E-2</v>
      </c>
      <c r="J47" s="21">
        <f>H47*I47</f>
        <v>25046.815469262976</v>
      </c>
    </row>
    <row r="48" spans="1:12" x14ac:dyDescent="0.2">
      <c r="A48" s="24" t="str">
        <f>A21</f>
        <v>other</v>
      </c>
      <c r="B48" s="88" t="s">
        <v>38</v>
      </c>
      <c r="C48" s="88">
        <v>4025</v>
      </c>
      <c r="D48" s="88">
        <v>4705</v>
      </c>
      <c r="E48" s="20">
        <f>CHOOSE(MATCH(B48,{0,"kWh","kW"},0),1,'[1]3.11 LoadForecast'!$I49*'[1]3.11 LoadForecast'!B93,'[1]3.11 LoadForecast'!$I$3)</f>
        <v>0</v>
      </c>
      <c r="F48" s="154">
        <f>$C$35</f>
        <v>8.1997233960661553E-2</v>
      </c>
      <c r="G48" s="21">
        <f>E48*F48</f>
        <v>0</v>
      </c>
      <c r="H48" s="20">
        <f>CHOOSE(MATCH(B48,{0,"kWh","kW"},0),1,'[1]3.11 LoadForecast'!$J49*'[1]3.11 LoadForecast'!C93,'[1]3.11 LoadForecast'!$J79)</f>
        <v>0</v>
      </c>
      <c r="I48" s="101">
        <f>$C$35</f>
        <v>8.1997233960661553E-2</v>
      </c>
      <c r="J48" s="21">
        <f>H48*I48</f>
        <v>0</v>
      </c>
    </row>
    <row r="49" spans="1:12" x14ac:dyDescent="0.2">
      <c r="A49" s="24">
        <f>A22</f>
        <v>0</v>
      </c>
      <c r="B49" s="88" t="s">
        <v>38</v>
      </c>
      <c r="C49" s="88">
        <v>4025</v>
      </c>
      <c r="D49" s="88">
        <v>4705</v>
      </c>
      <c r="E49" s="20">
        <f>CHOOSE(MATCH(B49,{0,"kWh","kW"},0),1,'[1]3.11 LoadForecast'!$I50*'[1]3.11 LoadForecast'!B94,'[1]3.11 LoadForecast'!$I$3)</f>
        <v>0</v>
      </c>
      <c r="F49" s="154">
        <f>$C$35</f>
        <v>8.1997233960661553E-2</v>
      </c>
      <c r="G49" s="21">
        <f>E49*F49</f>
        <v>0</v>
      </c>
      <c r="H49" s="20">
        <f>CHOOSE(MATCH(B49,{0,"kWh","kW"},0),1,'[1]3.11 LoadForecast'!$J50*'[1]3.11 LoadForecast'!C94,'[1]3.11 LoadForecast'!$J80)</f>
        <v>0</v>
      </c>
      <c r="I49" s="101">
        <f>$C$35</f>
        <v>8.1997233960661553E-2</v>
      </c>
      <c r="J49" s="21">
        <f>H49*I49</f>
        <v>0</v>
      </c>
    </row>
    <row r="50" spans="1:12" x14ac:dyDescent="0.2">
      <c r="A50" s="24">
        <f>A23</f>
        <v>0</v>
      </c>
      <c r="B50" s="88" t="s">
        <v>38</v>
      </c>
      <c r="C50" s="88">
        <v>4025</v>
      </c>
      <c r="D50" s="88">
        <v>4705</v>
      </c>
      <c r="E50" s="20">
        <f>CHOOSE(MATCH(B50,{0,"kWh","kW"},0),1,'[1]3.11 LoadForecast'!$I51*'[1]3.11 LoadForecast'!B95,'[1]3.11 LoadForecast'!$I$3)</f>
        <v>0</v>
      </c>
      <c r="F50" s="154">
        <f>$C$35</f>
        <v>8.1997233960661553E-2</v>
      </c>
      <c r="G50" s="21">
        <f>E50*F50</f>
        <v>0</v>
      </c>
      <c r="H50" s="20">
        <f>CHOOSE(MATCH(B50,{0,"kWh","kW"},0),1,'[1]3.11 LoadForecast'!$J51*'[1]3.11 LoadForecast'!C95,'[1]3.11 LoadForecast'!$J81)</f>
        <v>0</v>
      </c>
      <c r="I50" s="101">
        <f>$C$35</f>
        <v>8.1997233960661553E-2</v>
      </c>
      <c r="J50" s="21">
        <f>H50*I50</f>
        <v>0</v>
      </c>
      <c r="L50" s="100"/>
    </row>
    <row r="51" spans="1:12" x14ac:dyDescent="0.2">
      <c r="A51" s="8" t="s">
        <v>2</v>
      </c>
      <c r="B51" s="23" t="s">
        <v>1</v>
      </c>
      <c r="C51" s="6"/>
      <c r="D51" s="6"/>
      <c r="E51" s="16">
        <f>SUM(E42:E50)</f>
        <v>27886588.775890637</v>
      </c>
      <c r="F51" s="99"/>
      <c r="G51" s="5">
        <f>SUM(G42:G46)</f>
        <v>2262046.3281519865</v>
      </c>
      <c r="H51" s="16">
        <f>SUM(H42:H50)</f>
        <v>28154244.510437518</v>
      </c>
      <c r="I51" s="98"/>
      <c r="J51" s="16">
        <f>SUM(J42:J50)</f>
        <v>2308570.1741080158</v>
      </c>
    </row>
    <row r="52" spans="1:12" x14ac:dyDescent="0.2">
      <c r="A52" s="4"/>
      <c r="B52" s="3"/>
      <c r="C52" s="3"/>
      <c r="D52" s="3"/>
      <c r="E52" s="3"/>
      <c r="F52" s="3"/>
      <c r="G52" s="3"/>
      <c r="H52" s="3"/>
      <c r="I52" s="3"/>
      <c r="J52" s="3"/>
    </row>
    <row r="53" spans="1:12" x14ac:dyDescent="0.2">
      <c r="A53" s="29" t="s">
        <v>37</v>
      </c>
      <c r="B53" s="3"/>
      <c r="C53" s="3"/>
      <c r="D53" s="3"/>
      <c r="E53" s="3"/>
      <c r="F53" s="3"/>
      <c r="G53" s="3"/>
      <c r="H53" s="3"/>
      <c r="I53" s="3"/>
      <c r="J53" s="3"/>
    </row>
    <row r="54" spans="1:12" x14ac:dyDescent="0.2">
      <c r="A54" s="28" t="s">
        <v>29</v>
      </c>
      <c r="B54" s="3"/>
      <c r="C54" s="3"/>
      <c r="D54" s="3"/>
      <c r="E54" s="3"/>
      <c r="F54" s="3"/>
      <c r="G54" s="3"/>
      <c r="H54" s="3"/>
      <c r="I54" s="3"/>
      <c r="J54" s="3"/>
    </row>
    <row r="55" spans="1:12" x14ac:dyDescent="0.2">
      <c r="B55" s="3"/>
      <c r="C55" s="3"/>
      <c r="D55" s="3"/>
      <c r="E55" s="91">
        <f>'[1]0.1 LDC Info'!$E$23</f>
        <v>2018</v>
      </c>
      <c r="F55" s="89"/>
      <c r="G55" s="89"/>
      <c r="H55" s="90">
        <f>'[1]0.1 LDC Info'!$E$25</f>
        <v>2019</v>
      </c>
      <c r="I55" s="89"/>
      <c r="J55" s="89"/>
    </row>
    <row r="56" spans="1:12" s="1" customFormat="1" x14ac:dyDescent="0.2">
      <c r="A56" s="8" t="s">
        <v>10</v>
      </c>
      <c r="B56" s="6"/>
      <c r="C56" s="6" t="s">
        <v>9</v>
      </c>
      <c r="D56" s="6" t="s">
        <v>8</v>
      </c>
      <c r="E56" s="6"/>
      <c r="F56" s="6" t="s">
        <v>1</v>
      </c>
      <c r="G56" s="6"/>
      <c r="H56" s="6"/>
      <c r="I56" s="6" t="s">
        <v>1</v>
      </c>
      <c r="J56" s="6"/>
    </row>
    <row r="57" spans="1:12" x14ac:dyDescent="0.2">
      <c r="A57" s="25" t="s">
        <v>7</v>
      </c>
      <c r="B57" s="23"/>
      <c r="C57" s="23" t="s">
        <v>6</v>
      </c>
      <c r="D57" s="23" t="s">
        <v>6</v>
      </c>
      <c r="E57" s="23" t="s">
        <v>5</v>
      </c>
      <c r="F57" s="23" t="s">
        <v>4</v>
      </c>
      <c r="G57" s="23" t="s">
        <v>3</v>
      </c>
      <c r="H57" s="23" t="s">
        <v>5</v>
      </c>
      <c r="I57" s="23" t="s">
        <v>4</v>
      </c>
      <c r="J57" s="23" t="s">
        <v>3</v>
      </c>
    </row>
    <row r="58" spans="1:12" x14ac:dyDescent="0.2">
      <c r="A58" s="24" t="str">
        <f>A15</f>
        <v>Residential</v>
      </c>
      <c r="B58" s="23" t="str">
        <f>'[1]0.2 Customer Classes'!$D$13</f>
        <v>kWh</v>
      </c>
      <c r="C58" s="88">
        <v>4066</v>
      </c>
      <c r="D58" s="88">
        <v>4714</v>
      </c>
      <c r="E58" s="20">
        <f>CHOOSE(MATCH(B58,{0,"kWh","kW"},0),1,'[1]3.11 LoadForecast'!$I43*'[1]3.11 LoadForecast'!B87,'[1]3.11 LoadForecast'!$I73)</f>
        <v>14859993.185582258</v>
      </c>
      <c r="F58" s="155">
        <f>'[2]9. RTSR Rates to Forecast'!D17</f>
        <v>6.7999999999999996E-3</v>
      </c>
      <c r="G58" s="21">
        <f>E58*F58</f>
        <v>101047.95366195934</v>
      </c>
      <c r="H58" s="20">
        <f>CHOOSE(MATCH(B58,{0,"kWh","kW"},0),1,'[1]3.11 LoadForecast'!$J43*'[1]3.11 LoadForecast'!C87,'[1]3.11 LoadForecast'!$J73)</f>
        <v>14878532.350619528</v>
      </c>
      <c r="I58" s="155">
        <f>'[2]9. RTSR Rates to Forecast'!J37</f>
        <v>6.6952430887484704E-3</v>
      </c>
      <c r="J58" s="21">
        <f>H58*I58</f>
        <v>99615.390891205927</v>
      </c>
    </row>
    <row r="59" spans="1:12" x14ac:dyDescent="0.2">
      <c r="A59" s="24" t="str">
        <f>A16</f>
        <v>General Service &lt; 50 kW</v>
      </c>
      <c r="B59" s="23" t="str">
        <f>'[1]0.2 Customer Classes'!$D$14</f>
        <v>kWh</v>
      </c>
      <c r="C59" s="88">
        <v>4066</v>
      </c>
      <c r="D59" s="88">
        <v>4714</v>
      </c>
      <c r="E59" s="20">
        <f>CHOOSE(MATCH(B59,{0,"kWh","kW"},0),1,'[1]3.11 LoadForecast'!$I44*'[1]3.11 LoadForecast'!B88,'[1]3.11 LoadForecast'!$I74)</f>
        <v>5151369.7220699713</v>
      </c>
      <c r="F59" s="155">
        <f>'[2]9. RTSR Rates to Forecast'!D18</f>
        <v>6.0000000000000001E-3</v>
      </c>
      <c r="G59" s="21">
        <f>E59*F59</f>
        <v>30908.218332419827</v>
      </c>
      <c r="H59" s="20">
        <f>CHOOSE(MATCH(B59,{0,"kWh","kW"},0),1,'[1]3.11 LoadForecast'!$J44*'[1]3.11 LoadForecast'!C88,'[1]3.11 LoadForecast'!$J74)</f>
        <v>5249882.9172130264</v>
      </c>
      <c r="I59" s="155">
        <f>'[2]9. RTSR Rates to Forecast'!J38</f>
        <v>5.9075673062744284E-3</v>
      </c>
      <c r="J59" s="21">
        <f>H59*I59</f>
        <v>31014.036683496295</v>
      </c>
    </row>
    <row r="60" spans="1:12" x14ac:dyDescent="0.2">
      <c r="A60" s="24" t="str">
        <f>A17</f>
        <v>General Service &gt; 50 to 4999 kW</v>
      </c>
      <c r="B60" s="23" t="str">
        <f>'[1]0.2 Customer Classes'!$D$15</f>
        <v>kW</v>
      </c>
      <c r="C60" s="88">
        <v>4066</v>
      </c>
      <c r="D60" s="88">
        <v>4714</v>
      </c>
      <c r="E60" s="20">
        <f>CHOOSE(MATCH(B60,{0,"kWh","kW"},0),1,'[1]3.11 LoadForecast'!$I45*'[1]3.11 LoadForecast'!B89,'[1]3.11 LoadForecast'!$I75)</f>
        <v>19002.189647847106</v>
      </c>
      <c r="F60" s="155">
        <f>'[2]9. RTSR Rates to Forecast'!D19</f>
        <v>2.5062000000000002</v>
      </c>
      <c r="G60" s="21">
        <f>E60*F60</f>
        <v>47623.287695434425</v>
      </c>
      <c r="H60" s="20">
        <f>CHOOSE(MATCH(B60,{0,"kWh","kW"},0),1,'[1]3.11 LoadForecast'!$J45*'[1]3.11 LoadForecast'!C89,'[1]3.11 LoadForecast'!$J75)</f>
        <v>18883.313345201033</v>
      </c>
      <c r="I60" s="155">
        <f>'[2]9. RTSR Rates to Forecast'!J39</f>
        <v>2.4675905894666483</v>
      </c>
      <c r="J60" s="21">
        <f>H60*I60</f>
        <v>46596.286308568044</v>
      </c>
    </row>
    <row r="61" spans="1:12" x14ac:dyDescent="0.2">
      <c r="A61" s="24" t="str">
        <f>A18</f>
        <v>Unmetered Scattered Load</v>
      </c>
      <c r="B61" s="23" t="str">
        <f>'[1]0.2 Customer Classes'!$D$16</f>
        <v>kWh</v>
      </c>
      <c r="C61" s="88">
        <v>4066</v>
      </c>
      <c r="D61" s="88">
        <v>4714</v>
      </c>
      <c r="E61" s="20">
        <f>CHOOSE(MATCH(B61,{0,"kWh","kW"},0),1,'[1]3.11 LoadForecast'!$I46*'[1]3.11 LoadForecast'!B90,'[1]3.11 LoadForecast'!$I76)</f>
        <v>5522.27045</v>
      </c>
      <c r="F61" s="155">
        <f>'[2]9. RTSR Rates to Forecast'!D20</f>
        <v>6.0000000000000001E-3</v>
      </c>
      <c r="G61" s="21">
        <f>E61*F61</f>
        <v>33.133622700000004</v>
      </c>
      <c r="H61" s="20">
        <f>CHOOSE(MATCH(B61,{0,"kWh","kW"},0),1,'[1]3.11 LoadForecast'!$J46*'[1]3.11 LoadForecast'!C90,'[1]3.11 LoadForecast'!$J76)</f>
        <v>5627.8766355049647</v>
      </c>
      <c r="I61" s="155">
        <f>'[2]9. RTSR Rates to Forecast'!J40</f>
        <v>5.9079233424661082E-3</v>
      </c>
      <c r="J61" s="21">
        <f>H61*I61</f>
        <v>33.249063743419406</v>
      </c>
    </row>
    <row r="62" spans="1:12" x14ac:dyDescent="0.2">
      <c r="A62" s="24" t="str">
        <f>A19</f>
        <v>Sentinel Lighting</v>
      </c>
      <c r="B62" s="23" t="str">
        <f>'[1]0.2 Customer Classes'!$D$17</f>
        <v>kW</v>
      </c>
      <c r="C62" s="88">
        <v>4066</v>
      </c>
      <c r="D62" s="88">
        <v>4714</v>
      </c>
      <c r="E62" s="20">
        <f>CHOOSE(MATCH(B62,{0,"kWh","kW"},0),1,'[1]3.11 LoadForecast'!$I47*'[1]3.11 LoadForecast'!B91,'[1]3.11 LoadForecast'!$I77)</f>
        <v>65</v>
      </c>
      <c r="F62" s="155">
        <f>'[2]9. RTSR Rates to Forecast'!D21</f>
        <v>1.8997999999999999</v>
      </c>
      <c r="G62" s="21">
        <f>E62*F62</f>
        <v>123.48699999999999</v>
      </c>
      <c r="H62" s="20">
        <f>CHOOSE(MATCH(B62,{0,"kWh","kW"},0),1,'[1]3.11 LoadForecast'!$J47*'[1]3.11 LoadForecast'!C91,'[1]3.11 LoadForecast'!$J77)</f>
        <v>65</v>
      </c>
      <c r="I62" s="155">
        <f>'[2]9. RTSR Rates to Forecast'!J41</f>
        <v>1.8705263180554361</v>
      </c>
      <c r="J62" s="21">
        <f>H62*I62</f>
        <v>121.58421067360335</v>
      </c>
    </row>
    <row r="63" spans="1:12" x14ac:dyDescent="0.2">
      <c r="A63" s="24" t="str">
        <f>A20</f>
        <v xml:space="preserve">Street Lighting </v>
      </c>
      <c r="B63" s="17" t="str">
        <f>'[1]0.2 Customer Classes'!$D$18</f>
        <v>kW</v>
      </c>
      <c r="C63" s="88">
        <v>4066</v>
      </c>
      <c r="D63" s="88">
        <v>4714</v>
      </c>
      <c r="E63" s="20">
        <f>CHOOSE(MATCH(B63,{0,"kWh","kW"},0),1,'[1]3.11 LoadForecast'!$I48*'[1]3.11 LoadForecast'!B92,'[1]3.11 LoadForecast'!$I78)</f>
        <v>774</v>
      </c>
      <c r="F63" s="155">
        <f>'[2]9. RTSR Rates to Forecast'!D22</f>
        <v>1.8902000000000001</v>
      </c>
      <c r="G63" s="21">
        <f>E63*F63</f>
        <v>1463.0148000000002</v>
      </c>
      <c r="H63" s="20">
        <f>CHOOSE(MATCH(B63,{0,"kWh","kW"},0),1,'[1]3.11 LoadForecast'!$J48*'[1]3.11 LoadForecast'!C92,'[1]3.11 LoadForecast'!$J78)</f>
        <v>773.69999999999982</v>
      </c>
      <c r="I63" s="155">
        <f>'[2]9. RTSR Rates to Forecast'!J42</f>
        <v>1.8610807314211864</v>
      </c>
      <c r="J63" s="21">
        <f>H63*I63</f>
        <v>1439.9181619005715</v>
      </c>
    </row>
    <row r="64" spans="1:12" x14ac:dyDescent="0.2">
      <c r="A64" s="24" t="str">
        <f>A21</f>
        <v>other</v>
      </c>
      <c r="B64" s="17">
        <f>'[1]0.2 Customer Classes'!$D$19</f>
        <v>0</v>
      </c>
      <c r="C64" s="88">
        <v>4066</v>
      </c>
      <c r="D64" s="88">
        <v>4714</v>
      </c>
      <c r="E64" s="20">
        <f>CHOOSE(MATCH(B64,{0,"kWh","kW"},0),1,'[1]3.11 LoadForecast'!$I49*'[1]3.11 LoadForecast'!B93,'[1]3.11 LoadForecast'!$I79)</f>
        <v>1</v>
      </c>
      <c r="F64" s="155">
        <v>0</v>
      </c>
      <c r="G64" s="21">
        <f>E64*F64</f>
        <v>0</v>
      </c>
      <c r="H64" s="20">
        <f>CHOOSE(MATCH(B64,{0,"kWh","kW"},0),1,'[1]3.11 LoadForecast'!$J49*'[1]3.11 LoadForecast'!C93,'[1]3.11 LoadForecast'!$J79)</f>
        <v>1</v>
      </c>
      <c r="I64" s="155">
        <v>0</v>
      </c>
      <c r="J64" s="21">
        <f>H64*I64</f>
        <v>0</v>
      </c>
    </row>
    <row r="65" spans="1:10" x14ac:dyDescent="0.2">
      <c r="A65" s="24">
        <f>A22</f>
        <v>0</v>
      </c>
      <c r="B65" s="17">
        <f>'[1]0.2 Customer Classes'!$D$20</f>
        <v>0</v>
      </c>
      <c r="C65" s="88">
        <v>4066</v>
      </c>
      <c r="D65" s="88">
        <v>4714</v>
      </c>
      <c r="E65" s="20">
        <f>CHOOSE(MATCH(B65,{0,"kWh","kW"},0),1,'[1]3.11 LoadForecast'!$I50*'[1]3.11 LoadForecast'!B94,'[1]3.11 LoadForecast'!$I80)</f>
        <v>1</v>
      </c>
      <c r="F65" s="155">
        <v>0</v>
      </c>
      <c r="G65" s="21">
        <f>E65*F65</f>
        <v>0</v>
      </c>
      <c r="H65" s="20">
        <f>CHOOSE(MATCH(B65,{0,"kWh","kW"},0),1,'[1]3.11 LoadForecast'!$J50*'[1]3.11 LoadForecast'!C94,'[1]3.11 LoadForecast'!$J80)</f>
        <v>1</v>
      </c>
      <c r="I65" s="155">
        <v>0</v>
      </c>
      <c r="J65" s="21">
        <f>H65*I65</f>
        <v>0</v>
      </c>
    </row>
    <row r="66" spans="1:10" x14ac:dyDescent="0.2">
      <c r="A66" s="24">
        <f>A23</f>
        <v>0</v>
      </c>
      <c r="B66" s="17">
        <f>'[1]0.2 Customer Classes'!$D$21</f>
        <v>0</v>
      </c>
      <c r="C66" s="88">
        <v>4066</v>
      </c>
      <c r="D66" s="88">
        <v>4714</v>
      </c>
      <c r="E66" s="20">
        <f>CHOOSE(MATCH(B66,{0,"kWh","kW"},0),1,'[1]3.11 LoadForecast'!$I51*'[1]3.11 LoadForecast'!B95,'[1]3.11 LoadForecast'!$I81)</f>
        <v>1</v>
      </c>
      <c r="F66" s="155">
        <v>0</v>
      </c>
      <c r="G66" s="21">
        <f>E66*F66</f>
        <v>0</v>
      </c>
      <c r="H66" s="20">
        <f>CHOOSE(MATCH(B66,{0,"kWh","kW"},0),1,'[1]3.11 LoadForecast'!$J51*'[1]3.11 LoadForecast'!C95,'[1]3.11 LoadForecast'!$J81)</f>
        <v>1</v>
      </c>
      <c r="I66" s="155">
        <v>0</v>
      </c>
      <c r="J66" s="21">
        <f>H66*I66</f>
        <v>0</v>
      </c>
    </row>
    <row r="67" spans="1:10" x14ac:dyDescent="0.2">
      <c r="A67" s="8" t="s">
        <v>2</v>
      </c>
      <c r="B67" s="17" t="s">
        <v>1</v>
      </c>
      <c r="C67" s="6"/>
      <c r="D67" s="6"/>
      <c r="E67" s="16">
        <f>SUM(E58:E66)</f>
        <v>20036729.367750075</v>
      </c>
      <c r="F67" s="99"/>
      <c r="G67" s="16">
        <f>SUM(G58:G66)</f>
        <v>181199.09511251361</v>
      </c>
      <c r="H67" s="16">
        <f>SUM(H58:H66)</f>
        <v>20153768.157813262</v>
      </c>
      <c r="I67" s="98"/>
      <c r="J67" s="16">
        <f>SUM(J58:J66)</f>
        <v>178820.46531958788</v>
      </c>
    </row>
    <row r="68" spans="1:10" x14ac:dyDescent="0.2">
      <c r="A68" s="4"/>
      <c r="B68" s="97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29" t="s">
        <v>36</v>
      </c>
      <c r="B69" s="97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28" t="s">
        <v>29</v>
      </c>
      <c r="B70" s="97"/>
      <c r="C70" s="3"/>
      <c r="D70" s="3"/>
      <c r="E70" s="3"/>
      <c r="F70" s="3"/>
      <c r="G70" s="3"/>
      <c r="H70" s="3"/>
      <c r="I70" s="3"/>
      <c r="J70" s="3"/>
    </row>
    <row r="71" spans="1:10" x14ac:dyDescent="0.2">
      <c r="B71" s="96"/>
      <c r="C71" s="2"/>
      <c r="D71" s="2"/>
      <c r="E71" s="91">
        <f>'[1]0.1 LDC Info'!$E$23</f>
        <v>2018</v>
      </c>
      <c r="F71" s="89"/>
      <c r="G71" s="89"/>
      <c r="H71" s="90">
        <f>'[1]0.1 LDC Info'!$E$25</f>
        <v>2019</v>
      </c>
      <c r="I71" s="89"/>
      <c r="J71" s="89"/>
    </row>
    <row r="72" spans="1:10" s="1" customFormat="1" x14ac:dyDescent="0.2">
      <c r="A72" s="8" t="s">
        <v>10</v>
      </c>
      <c r="B72" s="95"/>
      <c r="C72" s="6" t="s">
        <v>9</v>
      </c>
      <c r="D72" s="6" t="s">
        <v>8</v>
      </c>
      <c r="E72" s="6"/>
      <c r="F72" s="6" t="s">
        <v>1</v>
      </c>
      <c r="G72" s="6"/>
      <c r="H72" s="6"/>
      <c r="I72" s="6" t="s">
        <v>1</v>
      </c>
      <c r="J72" s="6"/>
    </row>
    <row r="73" spans="1:10" x14ac:dyDescent="0.2">
      <c r="A73" s="25" t="s">
        <v>7</v>
      </c>
      <c r="B73" s="94"/>
      <c r="C73" s="23" t="s">
        <v>6</v>
      </c>
      <c r="D73" s="23" t="s">
        <v>6</v>
      </c>
      <c r="E73" s="23" t="s">
        <v>5</v>
      </c>
      <c r="F73" s="23" t="s">
        <v>4</v>
      </c>
      <c r="G73" s="23" t="s">
        <v>3</v>
      </c>
      <c r="H73" s="23" t="s">
        <v>5</v>
      </c>
      <c r="I73" s="23" t="s">
        <v>4</v>
      </c>
      <c r="J73" s="23" t="s">
        <v>3</v>
      </c>
    </row>
    <row r="74" spans="1:10" x14ac:dyDescent="0.2">
      <c r="A74" s="24" t="str">
        <f>A15</f>
        <v>Residential</v>
      </c>
      <c r="B74" s="23" t="str">
        <f>'[1]0.2 Customer Classes'!$D$13</f>
        <v>kWh</v>
      </c>
      <c r="C74" s="88">
        <v>4068</v>
      </c>
      <c r="D74" s="88">
        <v>4716</v>
      </c>
      <c r="E74" s="20">
        <f>CHOOSE(MATCH(B74,{0,"kWh","kW"},0),1,'[1]3.11 LoadForecast'!$I43*'[1]3.11 LoadForecast'!B87,'[1]3.11 LoadForecast'!$I73)</f>
        <v>14859993.185582258</v>
      </c>
      <c r="F74" s="155">
        <f>'[2]9. RTSR Rates to Forecast'!D27</f>
        <v>1.6000000000000001E-3</v>
      </c>
      <c r="G74" s="21">
        <f>E74*F74</f>
        <v>23775.989096931615</v>
      </c>
      <c r="H74" s="20">
        <f>CHOOSE(MATCH(B74,{0,"kWh","kW"},0),1,'[1]3.11 LoadForecast'!$J43*'[1]3.11 LoadForecast'!C87,'[1]3.11 LoadForecast'!$J73)</f>
        <v>14878532.350619528</v>
      </c>
      <c r="I74" s="155">
        <f>'[2]9. RTSR Rates to Forecast'!J47</f>
        <v>1.8441881424219467E-3</v>
      </c>
      <c r="J74" s="21">
        <f>H74*I74</f>
        <v>27438.812937653867</v>
      </c>
    </row>
    <row r="75" spans="1:10" x14ac:dyDescent="0.2">
      <c r="A75" s="24" t="str">
        <f>A16</f>
        <v>General Service &lt; 50 kW</v>
      </c>
      <c r="B75" s="23" t="str">
        <f>'[1]0.2 Customer Classes'!$D$14</f>
        <v>kWh</v>
      </c>
      <c r="C75" s="88">
        <v>4068</v>
      </c>
      <c r="D75" s="88">
        <v>4716</v>
      </c>
      <c r="E75" s="20">
        <f>CHOOSE(MATCH(B75,{0,"kWh","kW"},0),1,'[1]3.11 LoadForecast'!$I44*'[1]3.11 LoadForecast'!B88,'[1]3.11 LoadForecast'!$I74)</f>
        <v>5151369.7220699713</v>
      </c>
      <c r="F75" s="155">
        <f>'[2]9. RTSR Rates to Forecast'!D28</f>
        <v>1.6000000000000001E-3</v>
      </c>
      <c r="G75" s="21">
        <f>E75*F75</f>
        <v>8242.1915553119543</v>
      </c>
      <c r="H75" s="20">
        <f>CHOOSE(MATCH(B75,{0,"kWh","kW"},0),1,'[1]3.11 LoadForecast'!$J44*'[1]3.11 LoadForecast'!C88,'[1]3.11 LoadForecast'!$J74)</f>
        <v>5249882.9172130264</v>
      </c>
      <c r="I75" s="155">
        <f>'[2]9. RTSR Rates to Forecast'!J48</f>
        <v>1.8441886848932279E-3</v>
      </c>
      <c r="J75" s="21">
        <f>H75*I75</f>
        <v>9681.7746729385144</v>
      </c>
    </row>
    <row r="76" spans="1:10" x14ac:dyDescent="0.2">
      <c r="A76" s="24" t="str">
        <f>A17</f>
        <v>General Service &gt; 50 to 4999 kW</v>
      </c>
      <c r="B76" s="23" t="str">
        <f>'[1]0.2 Customer Classes'!$D$15</f>
        <v>kW</v>
      </c>
      <c r="C76" s="88">
        <v>4068</v>
      </c>
      <c r="D76" s="88">
        <v>4716</v>
      </c>
      <c r="E76" s="20">
        <f>CHOOSE(MATCH(B76,{0,"kWh","kW"},0),1,'[1]3.11 LoadForecast'!$I45*'[1]3.11 LoadForecast'!B89,'[1]3.11 LoadForecast'!$I75)</f>
        <v>19002.189647847106</v>
      </c>
      <c r="F76" s="155">
        <f>'[2]9. RTSR Rates to Forecast'!D29</f>
        <v>0.57630000000000003</v>
      </c>
      <c r="G76" s="21">
        <f>E76*F76</f>
        <v>10950.961894054288</v>
      </c>
      <c r="H76" s="20">
        <f>CHOOSE(MATCH(B76,{0,"kWh","kW"},0),1,'[1]3.11 LoadForecast'!$J45*'[1]3.11 LoadForecast'!C89,'[1]3.11 LoadForecast'!$J75)</f>
        <v>18883.313345201033</v>
      </c>
      <c r="I76" s="155">
        <f>'[2]9. RTSR Rates to Forecast'!J49</f>
        <v>0.66425379605818846</v>
      </c>
      <c r="J76" s="21">
        <f>H76*I76</f>
        <v>12543.312571706036</v>
      </c>
    </row>
    <row r="77" spans="1:10" x14ac:dyDescent="0.2">
      <c r="A77" s="24" t="str">
        <f>A18</f>
        <v>Unmetered Scattered Load</v>
      </c>
      <c r="B77" s="23" t="str">
        <f>'[1]0.2 Customer Classes'!$D$16</f>
        <v>kWh</v>
      </c>
      <c r="C77" s="88">
        <v>4068</v>
      </c>
      <c r="D77" s="88">
        <v>4716</v>
      </c>
      <c r="E77" s="20">
        <f>CHOOSE(MATCH(B77,{0,"kWh","kW"},0),1,'[1]3.11 LoadForecast'!$I46*'[1]3.11 LoadForecast'!B90,'[1]3.11 LoadForecast'!$I76)</f>
        <v>5522.27045</v>
      </c>
      <c r="F77" s="155">
        <f>'[2]9. RTSR Rates to Forecast'!D30</f>
        <v>1.6000000000000001E-3</v>
      </c>
      <c r="G77" s="21">
        <f>E77*F77</f>
        <v>8.8356327199999996</v>
      </c>
      <c r="H77" s="20">
        <f>CHOOSE(MATCH(B77,{0,"kWh","kW"},0),1,'[1]3.11 LoadForecast'!$J46*'[1]3.11 LoadForecast'!C90,'[1]3.11 LoadForecast'!$J76)</f>
        <v>5627.8766355049647</v>
      </c>
      <c r="I77" s="155">
        <f>'[2]9. RTSR Rates to Forecast'!J50</f>
        <v>1.8441680984475173E-3</v>
      </c>
      <c r="J77" s="21">
        <f>H77*I77</f>
        <v>10.378750553196403</v>
      </c>
    </row>
    <row r="78" spans="1:10" x14ac:dyDescent="0.2">
      <c r="A78" s="24" t="str">
        <f>A19</f>
        <v>Sentinel Lighting</v>
      </c>
      <c r="B78" s="23" t="str">
        <f>'[1]0.2 Customer Classes'!$D$17</f>
        <v>kW</v>
      </c>
      <c r="C78" s="88">
        <v>4068</v>
      </c>
      <c r="D78" s="88">
        <v>4716</v>
      </c>
      <c r="E78" s="20">
        <f>CHOOSE(MATCH(B78,{0,"kWh","kW"},0),1,'[1]3.11 LoadForecast'!$I47*'[1]3.11 LoadForecast'!B91,'[1]3.11 LoadForecast'!$I77)</f>
        <v>65</v>
      </c>
      <c r="F78" s="155">
        <f>'[2]9. RTSR Rates to Forecast'!D31</f>
        <v>0.45490000000000003</v>
      </c>
      <c r="G78" s="21">
        <f>E78*F78</f>
        <v>29.5685</v>
      </c>
      <c r="H78" s="20">
        <f>CHOOSE(MATCH(B78,{0,"kWh","kW"},0),1,'[1]3.11 LoadForecast'!$J47*'[1]3.11 LoadForecast'!C91,'[1]3.11 LoadForecast'!$J77)</f>
        <v>65</v>
      </c>
      <c r="I78" s="155">
        <f>'[2]9. RTSR Rates to Forecast'!J51</f>
        <v>0.52438604429548841</v>
      </c>
      <c r="J78" s="21">
        <f>H78*I78</f>
        <v>34.085092879206748</v>
      </c>
    </row>
    <row r="79" spans="1:10" x14ac:dyDescent="0.2">
      <c r="A79" s="24" t="str">
        <f>A20</f>
        <v xml:space="preserve">Street Lighting </v>
      </c>
      <c r="B79" s="17" t="str">
        <f>'[1]0.2 Customer Classes'!$D$18</f>
        <v>kW</v>
      </c>
      <c r="C79" s="88">
        <v>4068</v>
      </c>
      <c r="D79" s="88">
        <v>4716</v>
      </c>
      <c r="E79" s="20">
        <f>CHOOSE(MATCH(B79,{0,"kWh","kW"},0),1,'[1]3.11 LoadForecast'!$I48*'[1]3.11 LoadForecast'!B92,'[1]3.11 LoadForecast'!$I78)</f>
        <v>774</v>
      </c>
      <c r="F79" s="155">
        <f>'[2]9. RTSR Rates to Forecast'!D32</f>
        <v>0.4456</v>
      </c>
      <c r="G79" s="21">
        <f>E79*F79</f>
        <v>344.89440000000002</v>
      </c>
      <c r="H79" s="20">
        <f>CHOOSE(MATCH(B79,{0,"kWh","kW"},0),1,'[1]3.11 LoadForecast'!$J48*'[1]3.11 LoadForecast'!B92,'[1]3.11 LoadForecast'!$J78)</f>
        <v>773.69999999999982</v>
      </c>
      <c r="I79" s="155">
        <f>'[2]9. RTSR Rates to Forecast'!J52</f>
        <v>0.51360684858475258</v>
      </c>
      <c r="J79" s="21">
        <f>H79*I79</f>
        <v>397.37761875002298</v>
      </c>
    </row>
    <row r="80" spans="1:10" x14ac:dyDescent="0.2">
      <c r="A80" s="24" t="str">
        <f>A21</f>
        <v>other</v>
      </c>
      <c r="B80" s="17">
        <f>'[1]0.2 Customer Classes'!$D$19</f>
        <v>0</v>
      </c>
      <c r="C80" s="88">
        <v>4068</v>
      </c>
      <c r="D80" s="88">
        <v>4716</v>
      </c>
      <c r="E80" s="20">
        <f>CHOOSE(MATCH(B80,{0,"kWh","kW"},0),1,'[1]3.11 LoadForecast'!$I49*'[1]3.11 LoadForecast'!B93,'[1]3.11 LoadForecast'!$I79)</f>
        <v>1</v>
      </c>
      <c r="F80" s="155">
        <v>0</v>
      </c>
      <c r="G80" s="21">
        <f>E80*F80</f>
        <v>0</v>
      </c>
      <c r="H80" s="20">
        <f>CHOOSE(MATCH(B80,{0,"kWh","kW"},0),1,'[1]3.11 LoadForecast'!$J49*'[1]3.11 LoadForecast'!B93,'[1]3.11 LoadForecast'!$J79)</f>
        <v>1</v>
      </c>
      <c r="I80" s="155">
        <v>0</v>
      </c>
      <c r="J80" s="21">
        <f>H80*I80</f>
        <v>0</v>
      </c>
    </row>
    <row r="81" spans="1:10" x14ac:dyDescent="0.2">
      <c r="A81" s="24">
        <f>A22</f>
        <v>0</v>
      </c>
      <c r="B81" s="17">
        <f>'[1]0.2 Customer Classes'!$D$20</f>
        <v>0</v>
      </c>
      <c r="C81" s="88">
        <v>4068</v>
      </c>
      <c r="D81" s="88">
        <v>4716</v>
      </c>
      <c r="E81" s="20">
        <f>CHOOSE(MATCH(B81,{0,"kWh","kW"},0),1,'[1]3.11 LoadForecast'!$I50*'[1]3.11 LoadForecast'!B94,'[1]3.11 LoadForecast'!$I80)</f>
        <v>1</v>
      </c>
      <c r="F81" s="155">
        <v>0</v>
      </c>
      <c r="G81" s="21">
        <f>E81*F81</f>
        <v>0</v>
      </c>
      <c r="H81" s="20">
        <f>CHOOSE(MATCH(B81,{0,"kWh","kW"},0),1,'[1]3.11 LoadForecast'!$J50*'[1]3.11 LoadForecast'!B94,'[1]3.11 LoadForecast'!$J80)</f>
        <v>1</v>
      </c>
      <c r="I81" s="155">
        <v>0</v>
      </c>
      <c r="J81" s="21">
        <f>H81*I81</f>
        <v>0</v>
      </c>
    </row>
    <row r="82" spans="1:10" x14ac:dyDescent="0.2">
      <c r="A82" s="24">
        <f>A23</f>
        <v>0</v>
      </c>
      <c r="B82" s="17">
        <f>'[1]0.2 Customer Classes'!$D$21</f>
        <v>0</v>
      </c>
      <c r="C82" s="88">
        <v>4068</v>
      </c>
      <c r="D82" s="88">
        <v>4716</v>
      </c>
      <c r="E82" s="20">
        <f>CHOOSE(MATCH(B82,{0,"kWh","kW"},0),1,'[1]3.11 LoadForecast'!$I51*'[1]3.11 LoadForecast'!B95,'[1]3.11 LoadForecast'!$I81)</f>
        <v>1</v>
      </c>
      <c r="F82" s="155">
        <v>0</v>
      </c>
      <c r="G82" s="21">
        <f>E82*F82</f>
        <v>0</v>
      </c>
      <c r="H82" s="20">
        <f>CHOOSE(MATCH(B82,{0,"kWh","kW"},0),1,'[1]3.11 LoadForecast'!$J51*'[1]3.11 LoadForecast'!B95,'[1]3.11 LoadForecast'!$J81)</f>
        <v>1</v>
      </c>
      <c r="I82" s="155">
        <v>0</v>
      </c>
      <c r="J82" s="21">
        <f>H82*I82</f>
        <v>0</v>
      </c>
    </row>
    <row r="83" spans="1:10" x14ac:dyDescent="0.2">
      <c r="A83" s="8" t="s">
        <v>2</v>
      </c>
      <c r="B83" s="17" t="s">
        <v>1</v>
      </c>
      <c r="C83" s="6" t="s">
        <v>1</v>
      </c>
      <c r="D83" s="6" t="s">
        <v>1</v>
      </c>
      <c r="E83" s="16">
        <f>SUM(E74:E82)</f>
        <v>20036729.367750075</v>
      </c>
      <c r="F83" s="15"/>
      <c r="G83" s="16">
        <f>SUM(G74:G82)</f>
        <v>43352.441079017859</v>
      </c>
      <c r="H83" s="16">
        <f>SUM(H74:H82)</f>
        <v>20153768.157813262</v>
      </c>
      <c r="I83" s="15"/>
      <c r="J83" s="16">
        <f>SUM(J74:J82)</f>
        <v>50105.74164448084</v>
      </c>
    </row>
    <row r="84" spans="1:10" x14ac:dyDescent="0.2">
      <c r="A84" s="4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29" t="s">
        <v>35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28" t="s">
        <v>29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">
      <c r="B87" s="2"/>
      <c r="C87" s="2"/>
      <c r="D87" s="2"/>
      <c r="E87" s="91">
        <f>'[1]0.1 LDC Info'!$E$23</f>
        <v>2018</v>
      </c>
      <c r="F87" s="89"/>
      <c r="G87" s="89"/>
      <c r="H87" s="90">
        <f>'[1]0.1 LDC Info'!$E$25</f>
        <v>2019</v>
      </c>
      <c r="I87" s="89"/>
      <c r="J87" s="89"/>
    </row>
    <row r="88" spans="1:10" s="1" customFormat="1" x14ac:dyDescent="0.2">
      <c r="A88" s="8" t="s">
        <v>10</v>
      </c>
      <c r="B88" s="6"/>
      <c r="C88" s="6" t="s">
        <v>9</v>
      </c>
      <c r="D88" s="6" t="s">
        <v>8</v>
      </c>
      <c r="E88" s="6" t="s">
        <v>1</v>
      </c>
      <c r="F88" s="6" t="s">
        <v>28</v>
      </c>
      <c r="G88" s="6">
        <v>5.2000000000000006E-3</v>
      </c>
      <c r="H88" s="6" t="s">
        <v>1</v>
      </c>
      <c r="I88" s="6" t="s">
        <v>28</v>
      </c>
      <c r="J88" s="6">
        <v>5.2000000000000006E-3</v>
      </c>
    </row>
    <row r="89" spans="1:10" x14ac:dyDescent="0.2">
      <c r="A89" s="25" t="s">
        <v>7</v>
      </c>
      <c r="B89" s="23"/>
      <c r="C89" s="23" t="s">
        <v>6</v>
      </c>
      <c r="D89" s="23" t="s">
        <v>6</v>
      </c>
      <c r="E89" s="23" t="s">
        <v>5</v>
      </c>
      <c r="F89" s="23"/>
      <c r="G89" s="23" t="s">
        <v>3</v>
      </c>
      <c r="H89" s="23" t="s">
        <v>5</v>
      </c>
      <c r="I89" s="23"/>
      <c r="J89" s="23" t="s">
        <v>3</v>
      </c>
    </row>
    <row r="90" spans="1:10" x14ac:dyDescent="0.2">
      <c r="A90" s="24" t="str">
        <f>A15</f>
        <v>Residential</v>
      </c>
      <c r="B90" s="23" t="str">
        <f>'[1]0.2 Customer Classes'!$D$13</f>
        <v>kWh</v>
      </c>
      <c r="C90" s="88">
        <v>4062</v>
      </c>
      <c r="D90" s="88">
        <v>4708</v>
      </c>
      <c r="E90" s="20">
        <f>CHOOSE(MATCH(B90,{0,"kWh","kW"},0),1,'[1]3.11 LoadForecast'!$I43*'[1]3.11 LoadForecast'!B87,'[1]3.11 LoadForecast'!$I73)</f>
        <v>14859993.185582258</v>
      </c>
      <c r="F90" s="154">
        <v>3.5999999999999999E-3</v>
      </c>
      <c r="G90" s="21">
        <f>E90*F90</f>
        <v>53495.975468096127</v>
      </c>
      <c r="H90" s="20">
        <f>CHOOSE(MATCH(B90,{0,"kWh","kW"},0),1,'[1]3.11 LoadForecast'!$J43*'[1]3.11 LoadForecast'!C87,'[1]3.11 LoadForecast'!$J73)</f>
        <v>14878532.350619528</v>
      </c>
      <c r="I90" s="154">
        <v>3.5999999999999999E-3</v>
      </c>
      <c r="J90" s="21">
        <f>H90*I90</f>
        <v>53562.716462230303</v>
      </c>
    </row>
    <row r="91" spans="1:10" x14ac:dyDescent="0.2">
      <c r="A91" s="24" t="str">
        <f>A16</f>
        <v>General Service &lt; 50 kW</v>
      </c>
      <c r="B91" s="23" t="str">
        <f>'[1]0.2 Customer Classes'!$D$14</f>
        <v>kWh</v>
      </c>
      <c r="C91" s="88">
        <v>4062</v>
      </c>
      <c r="D91" s="88">
        <v>4708</v>
      </c>
      <c r="E91" s="20">
        <f>CHOOSE(MATCH(B91,{0,"kWh","kW"},0),1,'[1]3.11 LoadForecast'!$I44*'[1]3.11 LoadForecast'!B88,'[1]3.11 LoadForecast'!$I74)</f>
        <v>5151369.7220699713</v>
      </c>
      <c r="F91" s="154">
        <v>3.5999999999999999E-3</v>
      </c>
      <c r="G91" s="21">
        <f>E91*F91</f>
        <v>18544.930999451895</v>
      </c>
      <c r="H91" s="20">
        <f>CHOOSE(MATCH(B91,{0,"kWh","kW"},0),1,'[1]3.11 LoadForecast'!$J44*'[1]3.11 LoadForecast'!C88,'[1]3.11 LoadForecast'!$J74)</f>
        <v>5249882.9172130264</v>
      </c>
      <c r="I91" s="154">
        <v>3.5999999999999999E-3</v>
      </c>
      <c r="J91" s="21">
        <f>H91*I91</f>
        <v>18899.578501966895</v>
      </c>
    </row>
    <row r="92" spans="1:10" x14ac:dyDescent="0.2">
      <c r="A92" s="24" t="str">
        <f>A17</f>
        <v>General Service &gt; 50 to 4999 kW</v>
      </c>
      <c r="B92" s="23" t="str">
        <f>'[1]0.2 Customer Classes'!$D$15</f>
        <v>kW</v>
      </c>
      <c r="C92" s="88">
        <v>4062</v>
      </c>
      <c r="D92" s="88">
        <v>4708</v>
      </c>
      <c r="E92" s="20">
        <f>CHOOSE(MATCH(B92,{0,"kWh","kW"},0),1,'[1]3.11 LoadForecast'!$I45*'[1]3.11 LoadForecast'!B89,'[1]3.11 LoadForecast'!$I75)</f>
        <v>19002.189647847106</v>
      </c>
      <c r="F92" s="154">
        <v>3.5999999999999999E-3</v>
      </c>
      <c r="G92" s="21">
        <f>E92*F92</f>
        <v>68.407882732249575</v>
      </c>
      <c r="H92" s="20">
        <f>CHOOSE(MATCH(B92,{0,"kWh","kW"},0),1,'[1]3.11 LoadForecast'!$J45*'[1]3.11 LoadForecast'!C89,'[1]3.11 LoadForecast'!$J75)</f>
        <v>18883.313345201033</v>
      </c>
      <c r="I92" s="154">
        <v>3.5999999999999999E-3</v>
      </c>
      <c r="J92" s="21">
        <f>H92*I92</f>
        <v>67.979928042723714</v>
      </c>
    </row>
    <row r="93" spans="1:10" x14ac:dyDescent="0.2">
      <c r="A93" s="24" t="str">
        <f>A18</f>
        <v>Unmetered Scattered Load</v>
      </c>
      <c r="B93" s="23" t="str">
        <f>'[1]0.2 Customer Classes'!$D$16</f>
        <v>kWh</v>
      </c>
      <c r="C93" s="88">
        <v>4062</v>
      </c>
      <c r="D93" s="88">
        <v>4708</v>
      </c>
      <c r="E93" s="20">
        <f>CHOOSE(MATCH(B93,{0,"kWh","kW"},0),1,'[1]3.11 LoadForecast'!$I46*'[1]3.11 LoadForecast'!B90,'[1]3.11 LoadForecast'!$I76)</f>
        <v>5522.27045</v>
      </c>
      <c r="F93" s="154">
        <v>3.5999999999999999E-3</v>
      </c>
      <c r="G93" s="21">
        <f>E93*F93</f>
        <v>19.880173620000001</v>
      </c>
      <c r="H93" s="20">
        <f>CHOOSE(MATCH(B93,{0,"kWh","kW"},0),1,'[1]3.11 LoadForecast'!$J46*'[1]3.11 LoadForecast'!C90,'[1]3.11 LoadForecast'!$J76)</f>
        <v>5627.8766355049647</v>
      </c>
      <c r="I93" s="154">
        <v>3.5999999999999999E-3</v>
      </c>
      <c r="J93" s="21">
        <f>H93*I93</f>
        <v>20.260355887817873</v>
      </c>
    </row>
    <row r="94" spans="1:10" x14ac:dyDescent="0.2">
      <c r="A94" s="24" t="str">
        <f>A19</f>
        <v>Sentinel Lighting</v>
      </c>
      <c r="B94" s="23" t="str">
        <f>'[1]0.2 Customer Classes'!$D$17</f>
        <v>kW</v>
      </c>
      <c r="C94" s="88">
        <v>4062</v>
      </c>
      <c r="D94" s="88">
        <v>4708</v>
      </c>
      <c r="E94" s="20">
        <f>CHOOSE(MATCH(B94,{0,"kWh","kW"},0),1,'[1]3.11 LoadForecast'!$I47*'[1]3.11 LoadForecast'!B91,'[1]3.11 LoadForecast'!$I77)</f>
        <v>65</v>
      </c>
      <c r="F94" s="154">
        <v>3.5999999999999999E-3</v>
      </c>
      <c r="G94" s="21">
        <f>E94*F94</f>
        <v>0.23399999999999999</v>
      </c>
      <c r="H94" s="20">
        <f>CHOOSE(MATCH(B94,{0,"kWh","kW"},0),1,'[1]3.11 LoadForecast'!$J47*'[1]3.11 LoadForecast'!C91,'[1]3.11 LoadForecast'!$J77)</f>
        <v>65</v>
      </c>
      <c r="I94" s="154">
        <v>3.5999999999999999E-3</v>
      </c>
      <c r="J94" s="21">
        <f>H94*I94</f>
        <v>0.23399999999999999</v>
      </c>
    </row>
    <row r="95" spans="1:10" x14ac:dyDescent="0.2">
      <c r="A95" s="24" t="str">
        <f>A20</f>
        <v xml:space="preserve">Street Lighting </v>
      </c>
      <c r="B95" s="17" t="str">
        <f>'[1]0.2 Customer Classes'!$D$18</f>
        <v>kW</v>
      </c>
      <c r="C95" s="88">
        <v>4062</v>
      </c>
      <c r="D95" s="88">
        <v>4708</v>
      </c>
      <c r="E95" s="20">
        <f>CHOOSE(MATCH(B95,{0,"kWh","kW"},0),1,'[1]3.11 LoadForecast'!$I48*'[1]3.11 LoadForecast'!B92,'[1]3.11 LoadForecast'!$I78)</f>
        <v>774</v>
      </c>
      <c r="F95" s="154">
        <v>3.5999999999999999E-3</v>
      </c>
      <c r="G95" s="21">
        <f>E95*F95</f>
        <v>2.7864</v>
      </c>
      <c r="H95" s="20">
        <f>CHOOSE(MATCH(B95,{0,"kWh","kW"},0),1,'[1]3.11 LoadForecast'!$J48*'[1]3.11 LoadForecast'!C92,'[1]3.11 LoadForecast'!$J78)</f>
        <v>773.69999999999982</v>
      </c>
      <c r="I95" s="154">
        <v>3.5999999999999999E-3</v>
      </c>
      <c r="J95" s="21">
        <f>H95*I95</f>
        <v>2.7853199999999991</v>
      </c>
    </row>
    <row r="96" spans="1:10" x14ac:dyDescent="0.2">
      <c r="A96" s="24" t="str">
        <f>A21</f>
        <v>other</v>
      </c>
      <c r="B96" s="17">
        <f>'[1]0.2 Customer Classes'!$D$19</f>
        <v>0</v>
      </c>
      <c r="C96" s="88">
        <v>4062</v>
      </c>
      <c r="D96" s="88">
        <v>4708</v>
      </c>
      <c r="E96" s="20">
        <f>CHOOSE(MATCH(B96,{0,"kWh","kW"},0),1,'[1]3.11 LoadForecast'!$I49*'[1]3.11 LoadForecast'!B93,'[1]3.11 LoadForecast'!$I79)</f>
        <v>1</v>
      </c>
      <c r="F96" s="154">
        <v>3.5999999999999999E-3</v>
      </c>
      <c r="G96" s="21">
        <f>E96*F96</f>
        <v>3.5999999999999999E-3</v>
      </c>
      <c r="H96" s="20">
        <f>CHOOSE(MATCH(B96,{0,"kWh","kW"},0),1,'[1]3.11 LoadForecast'!$J49*'[1]3.11 LoadForecast'!C93,'[1]3.11 LoadForecast'!$J79)</f>
        <v>1</v>
      </c>
      <c r="I96" s="154">
        <v>3.5999999999999999E-3</v>
      </c>
      <c r="J96" s="21">
        <f>H96*I96</f>
        <v>3.5999999999999999E-3</v>
      </c>
    </row>
    <row r="97" spans="1:10" x14ac:dyDescent="0.2">
      <c r="A97" s="24">
        <f>A22</f>
        <v>0</v>
      </c>
      <c r="B97" s="17">
        <f>'[1]0.2 Customer Classes'!$D$20</f>
        <v>0</v>
      </c>
      <c r="C97" s="88">
        <v>4062</v>
      </c>
      <c r="D97" s="88">
        <v>4708</v>
      </c>
      <c r="E97" s="20">
        <f>CHOOSE(MATCH(B97,{0,"kWh","kW"},0),1,'[1]3.11 LoadForecast'!$I50*'[1]3.11 LoadForecast'!B94,'[1]3.11 LoadForecast'!$I80)</f>
        <v>1</v>
      </c>
      <c r="F97" s="154">
        <v>3.5999999999999999E-3</v>
      </c>
      <c r="G97" s="21">
        <f>E97*F97</f>
        <v>3.5999999999999999E-3</v>
      </c>
      <c r="H97" s="20">
        <f>CHOOSE(MATCH(B97,{0,"kWh","kW"},0),1,'[1]3.11 LoadForecast'!$J50*'[1]3.11 LoadForecast'!C94,'[1]3.11 LoadForecast'!$J80)</f>
        <v>1</v>
      </c>
      <c r="I97" s="154">
        <v>3.5999999999999999E-3</v>
      </c>
      <c r="J97" s="21">
        <f>H97*I97</f>
        <v>3.5999999999999999E-3</v>
      </c>
    </row>
    <row r="98" spans="1:10" x14ac:dyDescent="0.2">
      <c r="A98" s="24">
        <f>A23</f>
        <v>0</v>
      </c>
      <c r="B98" s="17">
        <f>'[1]0.2 Customer Classes'!$D$21</f>
        <v>0</v>
      </c>
      <c r="C98" s="88">
        <v>4062</v>
      </c>
      <c r="D98" s="88">
        <v>4708</v>
      </c>
      <c r="E98" s="20">
        <f>CHOOSE(MATCH(B98,{0,"kWh","kW"},0),1,'[1]3.11 LoadForecast'!$I51*'[1]3.11 LoadForecast'!B95,'[1]3.11 LoadForecast'!$I81)</f>
        <v>1</v>
      </c>
      <c r="F98" s="154">
        <v>3.5999999999999999E-3</v>
      </c>
      <c r="G98" s="21">
        <f>E98*F98</f>
        <v>3.5999999999999999E-3</v>
      </c>
      <c r="H98" s="20">
        <f>CHOOSE(MATCH(B98,{0,"kWh","kW"},0),1,'[1]3.11 LoadForecast'!$J51*'[1]3.11 LoadForecast'!C95,'[1]3.11 LoadForecast'!$J81)</f>
        <v>1</v>
      </c>
      <c r="I98" s="154">
        <v>3.5999999999999999E-3</v>
      </c>
      <c r="J98" s="21">
        <f>H98*I98</f>
        <v>3.5999999999999999E-3</v>
      </c>
    </row>
    <row r="99" spans="1:10" x14ac:dyDescent="0.2">
      <c r="A99" s="8" t="s">
        <v>2</v>
      </c>
      <c r="B99" s="17" t="s">
        <v>1</v>
      </c>
      <c r="C99" s="6" t="s">
        <v>1</v>
      </c>
      <c r="D99" s="6" t="s">
        <v>1</v>
      </c>
      <c r="E99" s="16">
        <f>SUM(E90:E98)</f>
        <v>20036729.367750075</v>
      </c>
      <c r="F99" s="15"/>
      <c r="G99" s="16">
        <f>SUM(G90:G98)</f>
        <v>72132.22572390025</v>
      </c>
      <c r="H99" s="16">
        <f>SUM(H90:H98)</f>
        <v>20153768.157813262</v>
      </c>
      <c r="I99" s="15"/>
      <c r="J99" s="16">
        <f>SUM(J90:J98)</f>
        <v>72553.565368127718</v>
      </c>
    </row>
    <row r="100" spans="1:10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29" t="s">
        <v>34</v>
      </c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28" t="s">
        <v>29</v>
      </c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B103" s="2"/>
      <c r="C103" s="2"/>
      <c r="D103" s="2"/>
      <c r="E103" s="91">
        <f>'[1]0.1 LDC Info'!$E$23</f>
        <v>2018</v>
      </c>
      <c r="F103" s="89"/>
      <c r="G103" s="89"/>
      <c r="H103" s="90">
        <f>'[1]0.1 LDC Info'!$E$25</f>
        <v>2019</v>
      </c>
      <c r="I103" s="89"/>
      <c r="J103" s="89"/>
    </row>
    <row r="104" spans="1:10" s="1" customFormat="1" x14ac:dyDescent="0.2">
      <c r="A104" s="8" t="s">
        <v>10</v>
      </c>
      <c r="B104" s="6"/>
      <c r="C104" s="6" t="s">
        <v>9</v>
      </c>
      <c r="D104" s="6" t="s">
        <v>8</v>
      </c>
      <c r="E104" s="6" t="s">
        <v>1</v>
      </c>
      <c r="F104" s="6" t="s">
        <v>28</v>
      </c>
      <c r="G104" s="6" t="s">
        <v>1</v>
      </c>
      <c r="H104" s="6" t="s">
        <v>1</v>
      </c>
      <c r="I104" s="6" t="s">
        <v>28</v>
      </c>
      <c r="J104" s="6" t="s">
        <v>1</v>
      </c>
    </row>
    <row r="105" spans="1:10" x14ac:dyDescent="0.2">
      <c r="A105" s="25" t="s">
        <v>7</v>
      </c>
      <c r="B105" s="23"/>
      <c r="C105" s="23" t="s">
        <v>6</v>
      </c>
      <c r="D105" s="23" t="s">
        <v>6</v>
      </c>
      <c r="E105" s="23" t="s">
        <v>5</v>
      </c>
      <c r="F105" s="23"/>
      <c r="G105" s="23" t="s">
        <v>3</v>
      </c>
      <c r="H105" s="23" t="s">
        <v>5</v>
      </c>
      <c r="I105" s="23"/>
      <c r="J105" s="23" t="s">
        <v>3</v>
      </c>
    </row>
    <row r="106" spans="1:10" x14ac:dyDescent="0.2">
      <c r="A106" s="24" t="str">
        <f>A15</f>
        <v>Residential</v>
      </c>
      <c r="B106" s="23" t="str">
        <f>'[1]0.2 Customer Classes'!$D$13</f>
        <v>kWh</v>
      </c>
      <c r="C106" s="88">
        <v>4062</v>
      </c>
      <c r="D106" s="88">
        <v>4730</v>
      </c>
      <c r="E106" s="20">
        <f>CHOOSE(MATCH(B106,{0,"kWh","kW"},0),1,'[1]3.11 LoadForecast'!$I43*'[1]3.11 LoadForecast'!B87,'[1]3.11 LoadForecast'!$I73)</f>
        <v>14859993.185582258</v>
      </c>
      <c r="F106" s="154">
        <v>1.2999999999999999E-3</v>
      </c>
      <c r="G106" s="21">
        <f>E106*F106</f>
        <v>19317.991141256934</v>
      </c>
      <c r="H106" s="20">
        <f>CHOOSE(MATCH(B106,{0,"kWh","kW"},0),1,'[1]3.11 LoadForecast'!$J43*'[1]3.11 LoadForecast'!C87,'[1]3.11 LoadForecast'!$J73)</f>
        <v>14878532.350619528</v>
      </c>
      <c r="I106" s="154">
        <v>2.9999999999999997E-4</v>
      </c>
      <c r="J106" s="21">
        <f>H106*I106</f>
        <v>4463.5597051858585</v>
      </c>
    </row>
    <row r="107" spans="1:10" x14ac:dyDescent="0.2">
      <c r="A107" s="24" t="str">
        <f>A16</f>
        <v>General Service &lt; 50 kW</v>
      </c>
      <c r="B107" s="23" t="str">
        <f>'[1]0.2 Customer Classes'!$D$14</f>
        <v>kWh</v>
      </c>
      <c r="C107" s="88">
        <v>4062</v>
      </c>
      <c r="D107" s="88">
        <v>4730</v>
      </c>
      <c r="E107" s="20">
        <f>CHOOSE(MATCH(B107,{0,"kWh","kW"},0),1,'[1]3.11 LoadForecast'!$I44*'[1]3.11 LoadForecast'!B88,'[1]3.11 LoadForecast'!$I74)</f>
        <v>5151369.7220699713</v>
      </c>
      <c r="F107" s="154">
        <v>1.2999999999999999E-3</v>
      </c>
      <c r="G107" s="21">
        <f>E107*F107</f>
        <v>6696.7806386909624</v>
      </c>
      <c r="H107" s="20">
        <f>CHOOSE(MATCH(B107,{0,"kWh","kW"},0),1,'[1]3.11 LoadForecast'!$J44*'[1]3.11 LoadForecast'!C88,'[1]3.11 LoadForecast'!$J74)</f>
        <v>5249882.9172130264</v>
      </c>
      <c r="I107" s="154">
        <v>2.9999999999999997E-4</v>
      </c>
      <c r="J107" s="21">
        <f>H107*I107</f>
        <v>1574.9648751639079</v>
      </c>
    </row>
    <row r="108" spans="1:10" x14ac:dyDescent="0.2">
      <c r="A108" s="24" t="str">
        <f>A17</f>
        <v>General Service &gt; 50 to 4999 kW</v>
      </c>
      <c r="B108" s="23" t="str">
        <f>'[1]0.2 Customer Classes'!$D$15</f>
        <v>kW</v>
      </c>
      <c r="C108" s="88">
        <v>4062</v>
      </c>
      <c r="D108" s="88">
        <v>4730</v>
      </c>
      <c r="E108" s="20">
        <f>CHOOSE(MATCH(B108,{0,"kWh","kW"},0),1,'[1]3.11 LoadForecast'!$I45*'[1]3.11 LoadForecast'!B89,'[1]3.11 LoadForecast'!$I75)</f>
        <v>19002.189647847106</v>
      </c>
      <c r="F108" s="154">
        <v>1.2999999999999999E-3</v>
      </c>
      <c r="G108" s="21">
        <f>E108*F108</f>
        <v>24.702846542201236</v>
      </c>
      <c r="H108" s="20">
        <f>CHOOSE(MATCH(B108,{0,"kWh","kW"},0),1,'[1]3.11 LoadForecast'!$J45*'[1]3.11 LoadForecast'!C89,'[1]3.11 LoadForecast'!$J75)</f>
        <v>18883.313345201033</v>
      </c>
      <c r="I108" s="154">
        <v>2.9999999999999997E-4</v>
      </c>
      <c r="J108" s="21">
        <f>H108*I108</f>
        <v>5.6649940035603095</v>
      </c>
    </row>
    <row r="109" spans="1:10" x14ac:dyDescent="0.2">
      <c r="A109" s="24" t="str">
        <f>A18</f>
        <v>Unmetered Scattered Load</v>
      </c>
      <c r="B109" s="23" t="str">
        <f>'[1]0.2 Customer Classes'!$D$16</f>
        <v>kWh</v>
      </c>
      <c r="C109" s="88">
        <v>4062</v>
      </c>
      <c r="D109" s="88">
        <v>4730</v>
      </c>
      <c r="E109" s="20">
        <f>CHOOSE(MATCH(B109,{0,"kWh","kW"},0),1,'[1]3.11 LoadForecast'!$I46*'[1]3.11 LoadForecast'!B90,'[1]3.11 LoadForecast'!$I76)</f>
        <v>5522.27045</v>
      </c>
      <c r="F109" s="154">
        <v>1.2999999999999999E-3</v>
      </c>
      <c r="G109" s="21">
        <f>E109*F109</f>
        <v>7.1789515850000001</v>
      </c>
      <c r="H109" s="20">
        <f>CHOOSE(MATCH(B109,{0,"kWh","kW"},0),1,'[1]3.11 LoadForecast'!$J46*'[1]3.11 LoadForecast'!C90,'[1]3.11 LoadForecast'!$J76)</f>
        <v>5627.8766355049647</v>
      </c>
      <c r="I109" s="154">
        <v>2.9999999999999997E-4</v>
      </c>
      <c r="J109" s="21">
        <f>H109*I109</f>
        <v>1.6883629906514892</v>
      </c>
    </row>
    <row r="110" spans="1:10" x14ac:dyDescent="0.2">
      <c r="A110" s="24" t="str">
        <f>A19</f>
        <v>Sentinel Lighting</v>
      </c>
      <c r="B110" s="23" t="str">
        <f>'[1]0.2 Customer Classes'!$D$17</f>
        <v>kW</v>
      </c>
      <c r="C110" s="88">
        <v>4062</v>
      </c>
      <c r="D110" s="88">
        <v>4730</v>
      </c>
      <c r="E110" s="20">
        <f>CHOOSE(MATCH(B110,{0,"kWh","kW"},0),1,'[1]3.11 LoadForecast'!$I47*'[1]3.11 LoadForecast'!B91,'[1]3.11 LoadForecast'!$I77)</f>
        <v>65</v>
      </c>
      <c r="F110" s="154">
        <v>1.2999999999999999E-3</v>
      </c>
      <c r="G110" s="21">
        <f>E110*F110</f>
        <v>8.4499999999999992E-2</v>
      </c>
      <c r="H110" s="20">
        <f>CHOOSE(MATCH(B110,{0,"kWh","kW"},0),1,'[1]3.11 LoadForecast'!$J47*'[1]3.11 LoadForecast'!C91,'[1]3.11 LoadForecast'!$J77)</f>
        <v>65</v>
      </c>
      <c r="I110" s="154">
        <v>2.9999999999999997E-4</v>
      </c>
      <c r="J110" s="21">
        <f>H110*I110</f>
        <v>1.95E-2</v>
      </c>
    </row>
    <row r="111" spans="1:10" x14ac:dyDescent="0.2">
      <c r="A111" s="24" t="str">
        <f>A20</f>
        <v xml:space="preserve">Street Lighting </v>
      </c>
      <c r="B111" s="17" t="str">
        <f>'[1]0.2 Customer Classes'!$D$18</f>
        <v>kW</v>
      </c>
      <c r="C111" s="88">
        <v>4062</v>
      </c>
      <c r="D111" s="88">
        <v>4730</v>
      </c>
      <c r="E111" s="20">
        <f>CHOOSE(MATCH(B111,{0,"kWh","kW"},0),1,'[1]3.11 LoadForecast'!$I48*'[1]3.11 LoadForecast'!B92,'[1]3.11 LoadForecast'!$I78)</f>
        <v>774</v>
      </c>
      <c r="F111" s="154">
        <v>1.2999999999999999E-3</v>
      </c>
      <c r="G111" s="21">
        <f>E111*F111</f>
        <v>1.0062</v>
      </c>
      <c r="H111" s="20">
        <f>CHOOSE(MATCH(B111,{0,"kWh","kW"},0),1,'[1]3.11 LoadForecast'!$J48*'[1]3.11 LoadForecast'!C92,'[1]3.11 LoadForecast'!$J78)</f>
        <v>773.69999999999982</v>
      </c>
      <c r="I111" s="154">
        <v>2.9999999999999997E-4</v>
      </c>
      <c r="J111" s="21">
        <f>H111*I111</f>
        <v>0.23210999999999993</v>
      </c>
    </row>
    <row r="112" spans="1:10" x14ac:dyDescent="0.2">
      <c r="A112" s="24" t="str">
        <f>A21</f>
        <v>other</v>
      </c>
      <c r="B112" s="17">
        <f>'[1]0.2 Customer Classes'!$D$19</f>
        <v>0</v>
      </c>
      <c r="C112" s="88">
        <v>4062</v>
      </c>
      <c r="D112" s="88">
        <v>4730</v>
      </c>
      <c r="E112" s="20">
        <f>CHOOSE(MATCH(B112,{0,"kWh","kW"},0),1,'[1]3.11 LoadForecast'!$I49*'[1]3.11 LoadForecast'!B93,'[1]3.11 LoadForecast'!$I79)</f>
        <v>1</v>
      </c>
      <c r="F112" s="154">
        <v>1.2999999999999999E-3</v>
      </c>
      <c r="G112" s="21">
        <f>E112*F112</f>
        <v>1.2999999999999999E-3</v>
      </c>
      <c r="H112" s="20">
        <f>CHOOSE(MATCH(B112,{0,"kWh","kW"},0),1,'[1]3.11 LoadForecast'!$J49*'[1]3.11 LoadForecast'!B93,'[1]3.11 LoadForecast'!$J79)</f>
        <v>1</v>
      </c>
      <c r="I112" s="154">
        <v>2.9999999999999997E-4</v>
      </c>
      <c r="J112" s="21">
        <f>H112*I112</f>
        <v>2.9999999999999997E-4</v>
      </c>
    </row>
    <row r="113" spans="1:13" x14ac:dyDescent="0.2">
      <c r="A113" s="24">
        <f>A22</f>
        <v>0</v>
      </c>
      <c r="B113" s="17">
        <f>'[1]0.2 Customer Classes'!$D$20</f>
        <v>0</v>
      </c>
      <c r="C113" s="88">
        <v>4062</v>
      </c>
      <c r="D113" s="88">
        <v>4730</v>
      </c>
      <c r="E113" s="20">
        <f>CHOOSE(MATCH(B113,{0,"kWh","kW"},0),1,'[1]3.11 LoadForecast'!$I50*'[1]3.11 LoadForecast'!B94,'[1]3.11 LoadForecast'!$I80)</f>
        <v>1</v>
      </c>
      <c r="F113" s="154">
        <v>1.2999999999999999E-3</v>
      </c>
      <c r="G113" s="21">
        <f>E113*F113</f>
        <v>1.2999999999999999E-3</v>
      </c>
      <c r="H113" s="20">
        <f>CHOOSE(MATCH(B113,{0,"kWh","kW"},0),1,'[1]3.11 LoadForecast'!$J50*'[1]3.11 LoadForecast'!B94,'[1]3.11 LoadForecast'!$J80)</f>
        <v>1</v>
      </c>
      <c r="I113" s="154">
        <v>2.9999999999999997E-4</v>
      </c>
      <c r="J113" s="21">
        <f>H113*I113</f>
        <v>2.9999999999999997E-4</v>
      </c>
    </row>
    <row r="114" spans="1:13" x14ac:dyDescent="0.2">
      <c r="A114" s="24">
        <f>A23</f>
        <v>0</v>
      </c>
      <c r="B114" s="17">
        <f>'[1]0.2 Customer Classes'!$D$21</f>
        <v>0</v>
      </c>
      <c r="C114" s="88">
        <v>4062</v>
      </c>
      <c r="D114" s="88">
        <v>4730</v>
      </c>
      <c r="E114" s="20">
        <f>CHOOSE(MATCH(B114,{0,"kWh","kW"},0),1,'[1]3.11 LoadForecast'!$I51*'[1]3.11 LoadForecast'!B95,'[1]3.11 LoadForecast'!$I81)</f>
        <v>1</v>
      </c>
      <c r="F114" s="154">
        <v>1.2999999999999999E-3</v>
      </c>
      <c r="G114" s="21">
        <f>E114*F114</f>
        <v>1.2999999999999999E-3</v>
      </c>
      <c r="H114" s="20">
        <f>CHOOSE(MATCH(B114,{0,"kWh","kW"},0),1,'[1]3.11 LoadForecast'!$J51*'[1]3.11 LoadForecast'!B95,'[1]3.11 LoadForecast'!$J81)</f>
        <v>1</v>
      </c>
      <c r="I114" s="154">
        <v>2.9999999999999997E-4</v>
      </c>
      <c r="J114" s="21">
        <f>H114*I114</f>
        <v>2.9999999999999997E-4</v>
      </c>
    </row>
    <row r="115" spans="1:13" x14ac:dyDescent="0.2">
      <c r="A115" s="8" t="s">
        <v>2</v>
      </c>
      <c r="B115" s="17" t="s">
        <v>1</v>
      </c>
      <c r="C115" s="6" t="s">
        <v>1</v>
      </c>
      <c r="D115" s="6" t="s">
        <v>1</v>
      </c>
      <c r="E115" s="16">
        <f>SUM(E106:E114)</f>
        <v>20036729.367750075</v>
      </c>
      <c r="F115" s="15"/>
      <c r="G115" s="16">
        <f>SUM(G106:G114)</f>
        <v>26047.748178075097</v>
      </c>
      <c r="H115" s="16">
        <f>SUM(H106:H114)</f>
        <v>20153768.157813262</v>
      </c>
      <c r="I115" s="15"/>
      <c r="J115" s="16">
        <f>SUM(J106:J114)</f>
        <v>6046.1304473439777</v>
      </c>
    </row>
    <row r="116" spans="1:13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</row>
    <row r="117" spans="1:13" x14ac:dyDescent="0.2">
      <c r="A117" s="29" t="s">
        <v>33</v>
      </c>
      <c r="B117" s="3"/>
      <c r="C117" s="3"/>
      <c r="D117" s="3"/>
      <c r="E117" s="3"/>
      <c r="F117" s="3"/>
      <c r="G117" s="3"/>
      <c r="H117" s="3"/>
      <c r="I117" s="3"/>
      <c r="J117" s="3"/>
    </row>
    <row r="118" spans="1:13" x14ac:dyDescent="0.2">
      <c r="A118" s="28" t="s">
        <v>32</v>
      </c>
      <c r="B118" s="3"/>
      <c r="C118" s="3"/>
      <c r="D118" s="3"/>
      <c r="E118" s="3"/>
      <c r="F118" s="3"/>
      <c r="G118" s="3"/>
      <c r="H118" s="3"/>
      <c r="I118" s="3"/>
      <c r="J118" s="3"/>
    </row>
    <row r="119" spans="1:13" x14ac:dyDescent="0.2">
      <c r="B119" s="2"/>
      <c r="C119" s="2"/>
      <c r="D119" s="2"/>
      <c r="E119" s="91">
        <f>'[1]0.1 LDC Info'!$E$23</f>
        <v>2018</v>
      </c>
      <c r="F119" s="89"/>
      <c r="G119" s="89"/>
      <c r="H119" s="90">
        <f>'[1]0.1 LDC Info'!$E$25</f>
        <v>2019</v>
      </c>
      <c r="I119" s="89"/>
      <c r="J119" s="89"/>
    </row>
    <row r="120" spans="1:13" x14ac:dyDescent="0.2">
      <c r="A120" s="8" t="s">
        <v>10</v>
      </c>
      <c r="B120" s="6"/>
      <c r="C120" s="6" t="s">
        <v>9</v>
      </c>
      <c r="D120" s="6" t="s">
        <v>8</v>
      </c>
      <c r="E120" s="6" t="s">
        <v>1</v>
      </c>
      <c r="F120" s="6" t="s">
        <v>28</v>
      </c>
      <c r="G120" s="6" t="s">
        <v>1</v>
      </c>
      <c r="H120" s="6" t="s">
        <v>1</v>
      </c>
      <c r="I120" s="6" t="s">
        <v>28</v>
      </c>
      <c r="J120" s="6" t="s">
        <v>1</v>
      </c>
    </row>
    <row r="121" spans="1:13" x14ac:dyDescent="0.2">
      <c r="A121" s="25" t="s">
        <v>7</v>
      </c>
      <c r="B121" s="23"/>
      <c r="C121" s="23" t="s">
        <v>6</v>
      </c>
      <c r="D121" s="23" t="s">
        <v>6</v>
      </c>
      <c r="E121" s="23" t="s">
        <v>5</v>
      </c>
      <c r="F121" s="23"/>
      <c r="G121" s="23" t="s">
        <v>3</v>
      </c>
      <c r="H121" s="23" t="s">
        <v>5</v>
      </c>
      <c r="I121" s="23"/>
      <c r="J121" s="23" t="s">
        <v>3</v>
      </c>
    </row>
    <row r="122" spans="1:13" x14ac:dyDescent="0.2">
      <c r="A122" s="24" t="str">
        <f>A15</f>
        <v>Residential</v>
      </c>
      <c r="B122" s="23" t="s">
        <v>31</v>
      </c>
      <c r="C122" s="88"/>
      <c r="D122" s="88"/>
      <c r="E122" s="93">
        <f>'[1]3.11 LoadForecast'!I14</f>
        <v>1043.4883679087588</v>
      </c>
      <c r="F122" s="154">
        <v>0</v>
      </c>
      <c r="G122" s="21">
        <f>E122*F122</f>
        <v>0</v>
      </c>
      <c r="H122" s="93">
        <f>'[1]3.11 LoadForecast'!J14</f>
        <v>1033.0815692228512</v>
      </c>
      <c r="I122" s="154">
        <v>0.56999999999999995</v>
      </c>
      <c r="J122" s="21">
        <f>H122*I122*12</f>
        <v>7066.2779334843008</v>
      </c>
    </row>
    <row r="123" spans="1:13" x14ac:dyDescent="0.2">
      <c r="A123" s="24" t="str">
        <f>A16</f>
        <v>General Service &lt; 50 kW</v>
      </c>
      <c r="B123" s="23" t="s">
        <v>31</v>
      </c>
      <c r="C123" s="88"/>
      <c r="D123" s="88"/>
      <c r="E123" s="93">
        <f>'[1]3.11 LoadForecast'!I15</f>
        <v>150.21997525073792</v>
      </c>
      <c r="F123" s="154">
        <v>0</v>
      </c>
      <c r="G123" s="21">
        <f>E123*F123</f>
        <v>0</v>
      </c>
      <c r="H123" s="93">
        <f>'[1]3.11 LoadForecast'!J15</f>
        <v>148.46079581797576</v>
      </c>
      <c r="I123" s="154">
        <v>0.56999999999999995</v>
      </c>
      <c r="J123" s="21">
        <f>H123*I123*12</f>
        <v>1015.4718433949542</v>
      </c>
    </row>
    <row r="124" spans="1:13" x14ac:dyDescent="0.2">
      <c r="A124" s="24" t="str">
        <f>A17</f>
        <v>General Service &gt; 50 to 4999 kW</v>
      </c>
      <c r="B124" s="23" t="s">
        <v>31</v>
      </c>
      <c r="C124" s="88"/>
      <c r="D124" s="88"/>
      <c r="E124" s="93">
        <f>'[1]3.11 LoadForecast'!I16</f>
        <v>15.115429989783037</v>
      </c>
      <c r="F124" s="154">
        <v>0</v>
      </c>
      <c r="G124" s="21">
        <f>E124*F124</f>
        <v>0</v>
      </c>
      <c r="H124" s="93">
        <f>'[1]3.11 LoadForecast'!J16</f>
        <v>15.231748251735494</v>
      </c>
      <c r="I124" s="154">
        <v>0.56999999999999995</v>
      </c>
      <c r="J124" s="21">
        <f>H124*I124*12</f>
        <v>104.18515804187076</v>
      </c>
    </row>
    <row r="125" spans="1:13" x14ac:dyDescent="0.2">
      <c r="A125" s="8" t="s">
        <v>2</v>
      </c>
      <c r="B125" s="17" t="s">
        <v>1</v>
      </c>
      <c r="C125" s="6" t="s">
        <v>1</v>
      </c>
      <c r="D125" s="6" t="s">
        <v>1</v>
      </c>
      <c r="E125" s="16">
        <f>SUM(E122:E124)</f>
        <v>1208.8237731492798</v>
      </c>
      <c r="F125" s="15"/>
      <c r="G125" s="5">
        <f>SUM(G122:G124)</f>
        <v>0</v>
      </c>
      <c r="H125" s="16">
        <f>SUM(H122:H124)</f>
        <v>1196.7741132925626</v>
      </c>
      <c r="I125" s="15"/>
      <c r="J125" s="92">
        <f>SUM(J122:J124)</f>
        <v>8185.9349349211252</v>
      </c>
    </row>
    <row r="126" spans="1:13" x14ac:dyDescent="0.2">
      <c r="A126" s="14"/>
      <c r="B126" s="13"/>
      <c r="C126" s="13"/>
      <c r="D126" s="13"/>
      <c r="E126" s="13"/>
      <c r="F126" s="13"/>
      <c r="G126" s="13"/>
      <c r="H126" s="12"/>
      <c r="I126" s="11"/>
      <c r="J126" s="10"/>
      <c r="K126" s="12"/>
      <c r="L126" s="11"/>
      <c r="M126" s="10"/>
    </row>
    <row r="127" spans="1:13" x14ac:dyDescent="0.2">
      <c r="A127" s="29" t="s">
        <v>30</v>
      </c>
      <c r="B127" s="3"/>
      <c r="C127" s="3"/>
      <c r="D127" s="3"/>
      <c r="E127" s="3"/>
      <c r="F127" s="3"/>
      <c r="G127" s="3"/>
      <c r="H127" s="3"/>
      <c r="I127" s="3"/>
      <c r="J127" s="3"/>
      <c r="K127" s="12"/>
      <c r="L127" s="11"/>
      <c r="M127" s="10"/>
    </row>
    <row r="128" spans="1:13" x14ac:dyDescent="0.2">
      <c r="A128" s="28" t="s">
        <v>29</v>
      </c>
      <c r="B128" s="3"/>
      <c r="C128" s="3"/>
      <c r="D128" s="3"/>
      <c r="E128" s="3"/>
      <c r="F128" s="3"/>
      <c r="G128" s="3"/>
      <c r="H128" s="3"/>
      <c r="I128" s="3"/>
      <c r="J128" s="3"/>
      <c r="K128" s="12"/>
      <c r="L128" s="11"/>
      <c r="M128" s="10"/>
    </row>
    <row r="129" spans="1:13" x14ac:dyDescent="0.2">
      <c r="B129" s="2"/>
      <c r="C129" s="2"/>
      <c r="D129" s="2"/>
      <c r="E129" s="91">
        <f>'[1]0.1 LDC Info'!$E$23</f>
        <v>2018</v>
      </c>
      <c r="F129" s="89"/>
      <c r="G129" s="89"/>
      <c r="H129" s="90">
        <f>'[1]0.1 LDC Info'!$E$25</f>
        <v>2019</v>
      </c>
      <c r="I129" s="89"/>
      <c r="J129" s="89"/>
      <c r="K129" s="12"/>
      <c r="L129" s="11"/>
      <c r="M129" s="10"/>
    </row>
    <row r="130" spans="1:13" x14ac:dyDescent="0.2">
      <c r="A130" s="8" t="s">
        <v>10</v>
      </c>
      <c r="B130" s="6"/>
      <c r="C130" s="6" t="s">
        <v>9</v>
      </c>
      <c r="D130" s="6" t="s">
        <v>8</v>
      </c>
      <c r="E130" s="6" t="s">
        <v>1</v>
      </c>
      <c r="F130" s="6" t="s">
        <v>28</v>
      </c>
      <c r="G130" s="6" t="s">
        <v>1</v>
      </c>
      <c r="H130" s="6" t="s">
        <v>1</v>
      </c>
      <c r="I130" s="6" t="s">
        <v>28</v>
      </c>
      <c r="J130" s="6" t="s">
        <v>1</v>
      </c>
      <c r="K130" s="12"/>
      <c r="L130" s="11"/>
      <c r="M130" s="10"/>
    </row>
    <row r="131" spans="1:13" x14ac:dyDescent="0.2">
      <c r="A131" s="25" t="s">
        <v>7</v>
      </c>
      <c r="B131" s="23"/>
      <c r="C131" s="23" t="s">
        <v>6</v>
      </c>
      <c r="D131" s="23" t="s">
        <v>6</v>
      </c>
      <c r="E131" s="23" t="s">
        <v>5</v>
      </c>
      <c r="F131" s="23"/>
      <c r="G131" s="23" t="s">
        <v>3</v>
      </c>
      <c r="H131" s="23" t="s">
        <v>5</v>
      </c>
      <c r="I131" s="23"/>
      <c r="J131" s="23" t="s">
        <v>3</v>
      </c>
      <c r="K131" s="12"/>
      <c r="L131" s="11"/>
      <c r="M131" s="10"/>
    </row>
    <row r="132" spans="1:13" x14ac:dyDescent="0.2">
      <c r="A132" s="24" t="str">
        <f>A42</f>
        <v>Residential</v>
      </c>
      <c r="B132" s="23" t="str">
        <f>'[1]0.2 Customer Classes'!$D$13</f>
        <v>kWh</v>
      </c>
      <c r="C132" s="88">
        <v>4062</v>
      </c>
      <c r="D132" s="88">
        <v>4730</v>
      </c>
      <c r="E132" s="20">
        <f>CHOOSE(MATCH(B132,{0,"kWh","kW"},0),1,'[1]3.11 LoadForecast'!$I43*'[1]3.11 LoadForecast'!B87,'[1]3.11 LoadForecast'!$I73)</f>
        <v>14859993.185582258</v>
      </c>
      <c r="F132" s="154">
        <v>0</v>
      </c>
      <c r="G132" s="21">
        <f>E132*F132</f>
        <v>0</v>
      </c>
      <c r="H132" s="20">
        <f>CHOOSE(MATCH(B106,{0,"kWh","kW"},0),1,'[1]3.11 LoadForecast'!$J43*'[1]3.11 LoadForecast'!C87,'[1]3.11 LoadForecast'!$J73)</f>
        <v>14878532.350619528</v>
      </c>
      <c r="I132" s="154">
        <v>0</v>
      </c>
      <c r="J132" s="21">
        <f>H132*I132</f>
        <v>0</v>
      </c>
      <c r="K132" s="12"/>
      <c r="L132" s="11"/>
      <c r="M132" s="10"/>
    </row>
    <row r="133" spans="1:13" x14ac:dyDescent="0.2">
      <c r="A133" s="24" t="str">
        <f>A43</f>
        <v>General Service &lt; 50 kW</v>
      </c>
      <c r="B133" s="23" t="str">
        <f>'[1]0.2 Customer Classes'!$D$14</f>
        <v>kWh</v>
      </c>
      <c r="C133" s="88">
        <v>4062</v>
      </c>
      <c r="D133" s="88">
        <v>4730</v>
      </c>
      <c r="E133" s="20">
        <f>CHOOSE(MATCH(B133,{0,"kWh","kW"},0),1,'[1]3.11 LoadForecast'!$I44*'[1]3.11 LoadForecast'!B88,'[1]3.11 LoadForecast'!$I74)</f>
        <v>5151369.7220699713</v>
      </c>
      <c r="F133" s="154">
        <v>0</v>
      </c>
      <c r="G133" s="21">
        <f>E133*F133</f>
        <v>0</v>
      </c>
      <c r="H133" s="20">
        <f>CHOOSE(MATCH(B107,{0,"kWh","kW"},0),1,'[1]3.11 LoadForecast'!$J44*'[1]3.11 LoadForecast'!C88,'[1]3.11 LoadForecast'!$J74)</f>
        <v>5249882.9172130264</v>
      </c>
      <c r="I133" s="154">
        <v>0</v>
      </c>
      <c r="J133" s="21">
        <f>H133*I133</f>
        <v>0</v>
      </c>
      <c r="K133" s="12"/>
      <c r="L133" s="11"/>
      <c r="M133" s="10"/>
    </row>
    <row r="134" spans="1:13" x14ac:dyDescent="0.2">
      <c r="A134" s="8" t="s">
        <v>2</v>
      </c>
      <c r="B134" s="17" t="s">
        <v>1</v>
      </c>
      <c r="C134" s="6" t="s">
        <v>1</v>
      </c>
      <c r="D134" s="6" t="s">
        <v>1</v>
      </c>
      <c r="E134" s="16">
        <f>SUM(E132:E133)</f>
        <v>20011362.907652229</v>
      </c>
      <c r="F134" s="15"/>
      <c r="G134" s="5">
        <f>SUM(G132:G133)</f>
        <v>0</v>
      </c>
      <c r="H134" s="16">
        <f>SUM(H132:H133)</f>
        <v>20128415.267832555</v>
      </c>
      <c r="I134" s="15"/>
      <c r="J134" s="5">
        <f>SUM(J132:J133)</f>
        <v>0</v>
      </c>
      <c r="K134" s="12"/>
      <c r="L134" s="11"/>
      <c r="M134" s="10"/>
    </row>
    <row r="135" spans="1:13" x14ac:dyDescent="0.2">
      <c r="A135" s="14"/>
      <c r="B135" s="13"/>
      <c r="C135" s="13"/>
      <c r="D135" s="13"/>
      <c r="E135" s="13"/>
      <c r="F135" s="13"/>
      <c r="G135" s="13"/>
      <c r="H135" s="12"/>
      <c r="I135" s="11"/>
      <c r="J135" s="10"/>
      <c r="K135" s="12"/>
      <c r="L135" s="11"/>
      <c r="M135" s="10"/>
    </row>
    <row r="136" spans="1:13" ht="14.25" customHeight="1" x14ac:dyDescent="0.2">
      <c r="A136" s="14"/>
      <c r="B136" s="13"/>
      <c r="C136" s="13"/>
      <c r="D136" s="13"/>
      <c r="E136" s="13"/>
      <c r="F136" s="13"/>
      <c r="G136" s="13"/>
      <c r="H136" s="12"/>
      <c r="I136" s="11"/>
      <c r="J136" s="10"/>
      <c r="K136" s="12"/>
      <c r="L136" s="11"/>
      <c r="M136" s="10"/>
    </row>
    <row r="137" spans="1:13" ht="14.25" customHeight="1" x14ac:dyDescent="0.2">
      <c r="A137" s="29" t="s">
        <v>27</v>
      </c>
      <c r="B137" s="3"/>
      <c r="C137" s="3"/>
      <c r="D137" s="3"/>
      <c r="E137" s="3"/>
      <c r="F137" s="3"/>
      <c r="G137" s="3"/>
      <c r="H137" s="3"/>
      <c r="J137" s="3"/>
      <c r="K137" s="12"/>
      <c r="L137" s="11"/>
      <c r="M137" s="10"/>
    </row>
    <row r="138" spans="1:13" ht="14.25" customHeight="1" x14ac:dyDescent="0.2">
      <c r="A138" s="52" t="s">
        <v>1</v>
      </c>
      <c r="B138" s="3"/>
      <c r="C138" s="3"/>
      <c r="D138" s="3"/>
      <c r="E138" s="3"/>
      <c r="F138" s="3"/>
      <c r="G138" s="3"/>
      <c r="H138" s="3"/>
      <c r="J138" s="3"/>
      <c r="K138" s="12"/>
      <c r="L138" s="11"/>
      <c r="M138" s="10"/>
    </row>
    <row r="139" spans="1:13" ht="14.25" customHeight="1" x14ac:dyDescent="0.2">
      <c r="B139" s="84"/>
      <c r="C139" s="84"/>
      <c r="D139" s="84"/>
      <c r="E139" s="87">
        <f>'[1]0.1 LDC Info'!$E$27</f>
        <v>2012</v>
      </c>
      <c r="F139" s="87">
        <f>'[1]0.1 LDC Info'!$E$27+1</f>
        <v>2013</v>
      </c>
      <c r="G139" s="87">
        <f>'[1]0.1 LDC Info'!$E$27+2</f>
        <v>2014</v>
      </c>
      <c r="H139" s="87">
        <f>'[1]0.1 LDC Info'!$E$27+3</f>
        <v>2015</v>
      </c>
      <c r="I139" s="87">
        <f>'[1]0.1 LDC Info'!$E$27+4</f>
        <v>2016</v>
      </c>
      <c r="J139" s="87">
        <v>2017</v>
      </c>
      <c r="K139" s="87" t="s">
        <v>26</v>
      </c>
      <c r="L139" s="10"/>
    </row>
    <row r="140" spans="1:13" ht="14.25" customHeight="1" x14ac:dyDescent="0.2">
      <c r="A140" s="86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10"/>
    </row>
    <row r="141" spans="1:13" ht="14.25" customHeight="1" x14ac:dyDescent="0.2">
      <c r="A141" s="83" t="str">
        <f>'[1]1.2 TB Historical Balances'!B313</f>
        <v xml:space="preserve">4075-Billed - LV
</v>
      </c>
      <c r="B141" s="82"/>
      <c r="C141" s="84"/>
      <c r="D141" s="81"/>
      <c r="E141" s="80">
        <v>-30387.55</v>
      </c>
      <c r="F141" s="80">
        <v>-17153.5</v>
      </c>
      <c r="G141" s="80">
        <v>-19856.55</v>
      </c>
      <c r="H141" s="80">
        <v>-17265.37</v>
      </c>
      <c r="I141" s="80">
        <v>-14687.88</v>
      </c>
      <c r="J141" s="80">
        <v>-14621.87</v>
      </c>
      <c r="K141" s="80">
        <f>AVERAGE(G141:J141)</f>
        <v>-16607.9175</v>
      </c>
      <c r="L141" s="10"/>
    </row>
    <row r="142" spans="1:13" ht="14.25" customHeight="1" x14ac:dyDescent="0.2">
      <c r="A142" s="83" t="str">
        <f>'[1]1.2 TB Historical Balances'!B404</f>
        <v xml:space="preserve">4750-Charges - LV
</v>
      </c>
      <c r="B142" s="82"/>
      <c r="C142" s="81"/>
      <c r="D142" s="81"/>
      <c r="E142" s="80">
        <v>15490.89</v>
      </c>
      <c r="F142" s="80">
        <v>39969.43</v>
      </c>
      <c r="G142" s="80">
        <v>71247.38</v>
      </c>
      <c r="H142" s="80">
        <v>74594.78</v>
      </c>
      <c r="I142" s="80">
        <v>70967.399999999994</v>
      </c>
      <c r="J142" s="80">
        <v>59187.4</v>
      </c>
      <c r="K142" s="80">
        <f>AVERAGE(G142:J142)</f>
        <v>68999.240000000005</v>
      </c>
      <c r="L142" s="10"/>
    </row>
    <row r="143" spans="1:13" ht="14.25" customHeight="1" x14ac:dyDescent="0.2">
      <c r="A143" s="79" t="s">
        <v>25</v>
      </c>
      <c r="B143" s="78"/>
      <c r="C143" s="77"/>
      <c r="D143" s="77"/>
      <c r="E143" s="76">
        <f>'[1]1.2 TB Historical Balances'!J84</f>
        <v>-31254.43</v>
      </c>
      <c r="F143" s="76">
        <f>'[1]1.2 TB Historical Balances'!M84</f>
        <v>7220.02</v>
      </c>
      <c r="G143" s="76">
        <f>'[1]1.2 TB Historical Balances'!P84</f>
        <v>39576.28</v>
      </c>
      <c r="H143" s="76">
        <f>'[1]1.2 TB Historical Balances'!S84</f>
        <v>110948.96</v>
      </c>
      <c r="I143" s="76">
        <f>'[1]1.2 TB Historical Balances'!V84</f>
        <v>153699.85</v>
      </c>
      <c r="J143" s="76">
        <f>'[1]1.2 TB Historical Balances'!Y84</f>
        <v>200139.14</v>
      </c>
      <c r="K143" s="76"/>
      <c r="L143" s="11"/>
      <c r="M143" s="10"/>
    </row>
    <row r="144" spans="1:13" ht="14.25" customHeight="1" x14ac:dyDescent="0.2">
      <c r="A144" s="29" t="s">
        <v>24</v>
      </c>
      <c r="B144" s="13"/>
      <c r="C144" s="13"/>
      <c r="D144" s="13"/>
      <c r="E144" s="56"/>
      <c r="F144" s="56"/>
      <c r="G144" s="56"/>
      <c r="H144" s="56"/>
      <c r="I144" s="11"/>
      <c r="J144" s="55"/>
      <c r="K144" s="12"/>
      <c r="L144" s="11"/>
      <c r="M144" s="10"/>
    </row>
    <row r="145" spans="1:13" ht="14.25" customHeight="1" x14ac:dyDescent="0.2">
      <c r="A145" s="28" t="s">
        <v>11</v>
      </c>
      <c r="B145" s="13"/>
      <c r="C145" s="13"/>
      <c r="D145" s="13"/>
      <c r="E145" s="56"/>
      <c r="F145" s="56"/>
      <c r="G145" s="56"/>
      <c r="H145" s="56"/>
      <c r="I145" s="11"/>
      <c r="J145" s="55"/>
      <c r="K145" s="12"/>
      <c r="L145" s="11"/>
      <c r="M145" s="10"/>
    </row>
    <row r="146" spans="1:13" ht="14.25" customHeight="1" x14ac:dyDescent="0.2">
      <c r="A146" s="52"/>
      <c r="B146" s="13"/>
      <c r="C146" s="13"/>
      <c r="D146" s="13"/>
      <c r="E146" s="56"/>
      <c r="F146" s="56"/>
      <c r="G146" s="56"/>
      <c r="H146" s="56"/>
      <c r="I146" s="11"/>
      <c r="J146" s="55"/>
      <c r="K146" s="12"/>
      <c r="L146" s="11"/>
      <c r="M146" s="10"/>
    </row>
    <row r="147" spans="1:13" ht="14.25" customHeight="1" x14ac:dyDescent="0.2">
      <c r="B147" s="27" t="s">
        <v>23</v>
      </c>
      <c r="C147" s="27"/>
      <c r="D147" s="27"/>
      <c r="E147" s="27"/>
      <c r="F147" s="27"/>
      <c r="G147" s="27"/>
      <c r="K147" s="12"/>
      <c r="L147" s="11"/>
      <c r="M147" s="10"/>
    </row>
    <row r="148" spans="1:13" ht="16.5" customHeight="1" x14ac:dyDescent="0.2">
      <c r="A148" s="75" t="s">
        <v>17</v>
      </c>
      <c r="B148" s="74"/>
      <c r="C148" s="73" t="s">
        <v>22</v>
      </c>
      <c r="D148" s="72" t="s">
        <v>21</v>
      </c>
      <c r="E148" s="71"/>
      <c r="F148" s="70" t="s">
        <v>9</v>
      </c>
      <c r="G148" s="70" t="s">
        <v>20</v>
      </c>
      <c r="K148" s="12"/>
      <c r="L148" s="11"/>
      <c r="M148" s="10"/>
    </row>
    <row r="149" spans="1:13" ht="14.25" customHeight="1" x14ac:dyDescent="0.2">
      <c r="A149" s="24" t="str">
        <f>A15</f>
        <v>Residential</v>
      </c>
      <c r="B149" s="23" t="str">
        <f>'[1]0.2 Customer Classes'!$D$13</f>
        <v>kWh</v>
      </c>
      <c r="C149" s="67">
        <f>I74</f>
        <v>1.8441881424219467E-3</v>
      </c>
      <c r="D149" s="66">
        <f>H58</f>
        <v>14878532.350619528</v>
      </c>
      <c r="E149" s="65"/>
      <c r="F149" s="69">
        <f>C149*D149</f>
        <v>27438.812937653867</v>
      </c>
      <c r="G149" s="63">
        <f>F149/$F$158</f>
        <v>0.54761813790408709</v>
      </c>
      <c r="K149" s="12"/>
      <c r="L149" s="11"/>
      <c r="M149" s="10"/>
    </row>
    <row r="150" spans="1:13" ht="11.25" customHeight="1" x14ac:dyDescent="0.2">
      <c r="A150" s="24" t="str">
        <f>A16</f>
        <v>General Service &lt; 50 kW</v>
      </c>
      <c r="B150" s="23" t="str">
        <f>'[1]0.2 Customer Classes'!$D$14</f>
        <v>kWh</v>
      </c>
      <c r="C150" s="67">
        <f>I75</f>
        <v>1.8441886848932279E-3</v>
      </c>
      <c r="D150" s="66">
        <f>H59</f>
        <v>5249882.9172130264</v>
      </c>
      <c r="E150" s="65"/>
      <c r="F150" s="69">
        <f>C150*D150</f>
        <v>9681.7746729385144</v>
      </c>
      <c r="G150" s="63">
        <f>F150/$F$158</f>
        <v>0.19322685095920467</v>
      </c>
      <c r="K150" s="12"/>
      <c r="L150" s="11"/>
      <c r="M150" s="10"/>
    </row>
    <row r="151" spans="1:13" ht="14.25" customHeight="1" x14ac:dyDescent="0.2">
      <c r="A151" s="24" t="str">
        <f>A17</f>
        <v>General Service &gt; 50 to 4999 kW</v>
      </c>
      <c r="B151" s="23" t="str">
        <f>'[1]0.2 Customer Classes'!$D$15</f>
        <v>kW</v>
      </c>
      <c r="C151" s="67">
        <f>I76</f>
        <v>0.66425379605818846</v>
      </c>
      <c r="D151" s="66">
        <f>H60</f>
        <v>18883.313345201033</v>
      </c>
      <c r="E151" s="65"/>
      <c r="F151" s="69">
        <f>C151*D151</f>
        <v>12543.312571706036</v>
      </c>
      <c r="G151" s="63">
        <f>F151/$F$158</f>
        <v>0.2503368308707129</v>
      </c>
      <c r="K151" s="12"/>
      <c r="L151" s="11"/>
      <c r="M151" s="10"/>
    </row>
    <row r="152" spans="1:13" ht="14.25" customHeight="1" x14ac:dyDescent="0.2">
      <c r="A152" s="24" t="str">
        <f>A18</f>
        <v>Unmetered Scattered Load</v>
      </c>
      <c r="B152" s="23" t="str">
        <f>'[1]0.2 Customer Classes'!$D$16</f>
        <v>kWh</v>
      </c>
      <c r="C152" s="67">
        <f>I77</f>
        <v>1.8441680984475173E-3</v>
      </c>
      <c r="D152" s="66">
        <f>H61</f>
        <v>5627.8766355049647</v>
      </c>
      <c r="E152" s="65"/>
      <c r="F152" s="69">
        <f>C152*D152</f>
        <v>10.378750553196403</v>
      </c>
      <c r="G152" s="63">
        <f>F152/$F$158</f>
        <v>2.071369510272407E-4</v>
      </c>
      <c r="K152" s="12"/>
      <c r="L152" s="11"/>
      <c r="M152" s="10"/>
    </row>
    <row r="153" spans="1:13" ht="14.25" customHeight="1" x14ac:dyDescent="0.2">
      <c r="A153" s="24" t="str">
        <f>A19</f>
        <v>Sentinel Lighting</v>
      </c>
      <c r="B153" s="23" t="str">
        <f>'[1]0.2 Customer Classes'!$D$17</f>
        <v>kW</v>
      </c>
      <c r="C153" s="67">
        <f>I78</f>
        <v>0.52438604429548841</v>
      </c>
      <c r="D153" s="66">
        <f>H62</f>
        <v>65</v>
      </c>
      <c r="E153" s="65"/>
      <c r="F153" s="69">
        <f>C153*D153</f>
        <v>34.085092879206748</v>
      </c>
      <c r="G153" s="63">
        <f>F153/$F$158</f>
        <v>6.8026321456437773E-4</v>
      </c>
      <c r="K153" s="12"/>
      <c r="L153" s="11"/>
      <c r="M153" s="10"/>
    </row>
    <row r="154" spans="1:13" ht="14.25" customHeight="1" x14ac:dyDescent="0.2">
      <c r="A154" s="24" t="str">
        <f>A20</f>
        <v xml:space="preserve">Street Lighting </v>
      </c>
      <c r="B154" s="17" t="str">
        <f>'[1]0.2 Customer Classes'!$D$18</f>
        <v>kW</v>
      </c>
      <c r="C154" s="67">
        <f>I79</f>
        <v>0.51360684858475258</v>
      </c>
      <c r="D154" s="66">
        <f>H63</f>
        <v>773.69999999999982</v>
      </c>
      <c r="E154" s="65"/>
      <c r="F154" s="69">
        <f>C154*D154</f>
        <v>397.37761875002298</v>
      </c>
      <c r="G154" s="63">
        <f>F154/$F$158</f>
        <v>7.9307801004038069E-3</v>
      </c>
      <c r="K154" s="12"/>
      <c r="L154" s="11"/>
      <c r="M154" s="10"/>
    </row>
    <row r="155" spans="1:13" ht="14.25" customHeight="1" x14ac:dyDescent="0.2">
      <c r="A155" s="24" t="str">
        <f>A21</f>
        <v>other</v>
      </c>
      <c r="B155" s="17">
        <f>'[1]0.2 Customer Classes'!$D$19</f>
        <v>0</v>
      </c>
      <c r="C155" s="67">
        <f>I80</f>
        <v>0</v>
      </c>
      <c r="D155" s="66">
        <f>H64</f>
        <v>1</v>
      </c>
      <c r="E155" s="65"/>
      <c r="F155" s="69">
        <f>C155*D155</f>
        <v>0</v>
      </c>
      <c r="G155" s="63">
        <f>F155/$F$158</f>
        <v>0</v>
      </c>
      <c r="K155" s="12"/>
      <c r="L155" s="11"/>
      <c r="M155" s="10"/>
    </row>
    <row r="156" spans="1:13" ht="14.25" customHeight="1" x14ac:dyDescent="0.2">
      <c r="A156" s="24">
        <f>A22</f>
        <v>0</v>
      </c>
      <c r="B156" s="17">
        <f>'[1]0.2 Customer Classes'!$D$19</f>
        <v>0</v>
      </c>
      <c r="C156" s="67">
        <f>I81</f>
        <v>0</v>
      </c>
      <c r="D156" s="66">
        <f>H65</f>
        <v>1</v>
      </c>
      <c r="E156" s="65"/>
      <c r="F156" s="69">
        <f>C156*D156</f>
        <v>0</v>
      </c>
      <c r="G156" s="63">
        <f>F156/$F$158</f>
        <v>0</v>
      </c>
      <c r="K156" s="12"/>
      <c r="L156" s="11"/>
      <c r="M156" s="10"/>
    </row>
    <row r="157" spans="1:13" ht="14.25" customHeight="1" x14ac:dyDescent="0.2">
      <c r="A157" s="68">
        <f>A22</f>
        <v>0</v>
      </c>
      <c r="B157" s="17">
        <f>'[1]0.2 Customer Classes'!$D$19</f>
        <v>0</v>
      </c>
      <c r="C157" s="67">
        <f>I82</f>
        <v>0</v>
      </c>
      <c r="D157" s="66">
        <f>H66</f>
        <v>1</v>
      </c>
      <c r="E157" s="65"/>
      <c r="F157" s="64">
        <f>C157*D157</f>
        <v>0</v>
      </c>
      <c r="G157" s="63">
        <f>F157/$F$158</f>
        <v>0</v>
      </c>
      <c r="K157" s="12"/>
      <c r="L157" s="11"/>
      <c r="M157" s="10"/>
    </row>
    <row r="158" spans="1:13" ht="14.25" customHeight="1" x14ac:dyDescent="0.2">
      <c r="A158" s="62" t="s">
        <v>2</v>
      </c>
      <c r="B158" s="61"/>
      <c r="C158" s="61"/>
      <c r="D158" s="60">
        <f>SUM(D149:E157)</f>
        <v>20153768.157813262</v>
      </c>
      <c r="E158" s="59"/>
      <c r="F158" s="58">
        <f>SUM(F149:F157)</f>
        <v>50105.74164448084</v>
      </c>
      <c r="G158" s="57">
        <f>SUM(G149:G157)</f>
        <v>1</v>
      </c>
      <c r="H158" s="56"/>
      <c r="I158" s="11"/>
      <c r="J158" s="55"/>
      <c r="K158" s="12"/>
      <c r="L158" s="11"/>
      <c r="M158" s="10"/>
    </row>
    <row r="159" spans="1:13" ht="14.25" customHeight="1" x14ac:dyDescent="0.2">
      <c r="A159" s="14"/>
      <c r="B159" s="13"/>
      <c r="C159" s="13"/>
      <c r="D159" s="13"/>
      <c r="E159" s="56"/>
      <c r="F159" s="56"/>
      <c r="G159" s="56"/>
      <c r="H159" s="56"/>
      <c r="I159" s="11"/>
      <c r="J159" s="55"/>
      <c r="K159" s="12"/>
      <c r="L159" s="11"/>
      <c r="M159" s="10"/>
    </row>
    <row r="160" spans="1:13" ht="14.25" customHeight="1" x14ac:dyDescent="0.2">
      <c r="A160" s="29" t="s">
        <v>19</v>
      </c>
      <c r="B160" s="53"/>
      <c r="C160" s="53"/>
      <c r="D160" s="53"/>
      <c r="E160" s="53"/>
      <c r="F160" s="53"/>
      <c r="G160" s="53"/>
      <c r="H160" s="53"/>
      <c r="I160" s="54"/>
      <c r="J160" s="53"/>
      <c r="K160" s="12"/>
      <c r="L160" s="11"/>
      <c r="M160" s="10"/>
    </row>
    <row r="161" spans="1:13" x14ac:dyDescent="0.2">
      <c r="A161" s="28" t="s">
        <v>11</v>
      </c>
      <c r="B161" s="50"/>
      <c r="C161" s="50"/>
      <c r="D161" s="51"/>
      <c r="E161" s="51"/>
      <c r="F161" s="51"/>
      <c r="G161" s="51"/>
      <c r="H161" s="51"/>
      <c r="I161" s="51"/>
      <c r="J161" s="50"/>
      <c r="K161" s="12"/>
      <c r="L161" s="11"/>
      <c r="M161" s="10"/>
    </row>
    <row r="162" spans="1:13" x14ac:dyDescent="0.2">
      <c r="A162" s="52"/>
      <c r="B162" s="50"/>
      <c r="C162" s="50"/>
      <c r="D162" s="51"/>
      <c r="E162" s="51"/>
      <c r="F162" s="51"/>
      <c r="G162" s="51"/>
      <c r="H162" s="51"/>
      <c r="I162" s="51"/>
      <c r="J162" s="50"/>
      <c r="K162" s="12"/>
      <c r="L162" s="11"/>
      <c r="M162" s="10"/>
    </row>
    <row r="163" spans="1:13" x14ac:dyDescent="0.2">
      <c r="A163" s="4"/>
      <c r="B163" s="49" t="s">
        <v>18</v>
      </c>
      <c r="C163" s="48"/>
      <c r="D163" s="48"/>
      <c r="E163" s="48"/>
      <c r="F163" s="48"/>
      <c r="G163" s="48"/>
      <c r="H163" s="47"/>
      <c r="I163" s="46"/>
      <c r="J163" s="46"/>
      <c r="K163" s="12"/>
      <c r="L163" s="11"/>
      <c r="M163" s="10"/>
    </row>
    <row r="164" spans="1:13" ht="25.5" x14ac:dyDescent="0.2">
      <c r="A164" s="45" t="s">
        <v>17</v>
      </c>
      <c r="B164" s="44" t="s">
        <v>16</v>
      </c>
      <c r="C164" s="44"/>
      <c r="D164" s="44"/>
      <c r="E164" s="43" t="s">
        <v>15</v>
      </c>
      <c r="F164" s="43" t="s">
        <v>14</v>
      </c>
      <c r="G164" s="43" t="s">
        <v>4</v>
      </c>
      <c r="H164" s="43" t="s">
        <v>13</v>
      </c>
      <c r="I164" s="3"/>
      <c r="J164" s="3"/>
      <c r="K164" s="12"/>
      <c r="L164" s="11"/>
      <c r="M164" s="10"/>
    </row>
    <row r="165" spans="1:13" ht="13.5" customHeight="1" x14ac:dyDescent="0.2">
      <c r="A165" s="24" t="str">
        <f>A15</f>
        <v>Residential</v>
      </c>
      <c r="B165" s="42">
        <f>G149</f>
        <v>0.54761813790408709</v>
      </c>
      <c r="C165" s="42"/>
      <c r="D165" s="42"/>
      <c r="E165" s="41">
        <f>$E$174*B165</f>
        <v>37785.235325597205</v>
      </c>
      <c r="F165" s="40">
        <f>CHOOSE(MATCH(B106,{0,"kWh","kW"},0),1,'[1]3.11 LoadForecast'!$J43,'[1]3.11 LoadForecast'!$J73)</f>
        <v>13831680.835737046</v>
      </c>
      <c r="G165" s="39">
        <f>ROUND(E165/F165,4)</f>
        <v>2.7000000000000001E-3</v>
      </c>
      <c r="H165" s="38" t="str">
        <f>'[1]0.2 Customer Classes'!$D13</f>
        <v>kWh</v>
      </c>
      <c r="I165" s="3"/>
      <c r="J165" s="3"/>
      <c r="K165" s="12"/>
      <c r="L165" s="11"/>
      <c r="M165" s="10"/>
    </row>
    <row r="166" spans="1:13" ht="13.5" customHeight="1" x14ac:dyDescent="0.2">
      <c r="A166" s="24" t="str">
        <f>A16</f>
        <v>General Service &lt; 50 kW</v>
      </c>
      <c r="B166" s="42">
        <f>G150</f>
        <v>0.19322685095920467</v>
      </c>
      <c r="C166" s="42"/>
      <c r="D166" s="42"/>
      <c r="E166" s="41">
        <f>$E$174*B166</f>
        <v>13332.505863778393</v>
      </c>
      <c r="F166" s="40">
        <f>CHOOSE(MATCH(B107,{0,"kWh","kW"},0),1,'[1]3.11 LoadForecast'!$J44,'[1]3.11 LoadForecast'!$J74)</f>
        <v>4880501.8683751496</v>
      </c>
      <c r="G166" s="39">
        <f>ROUND(E166/F166,4)</f>
        <v>2.7000000000000001E-3</v>
      </c>
      <c r="H166" s="38" t="str">
        <f>'[1]0.2 Customer Classes'!$D14</f>
        <v>kWh</v>
      </c>
      <c r="I166" s="3"/>
      <c r="J166" s="3"/>
      <c r="K166" s="12"/>
      <c r="L166" s="11"/>
      <c r="M166" s="10"/>
    </row>
    <row r="167" spans="1:13" ht="13.5" customHeight="1" x14ac:dyDescent="0.2">
      <c r="A167" s="24" t="str">
        <f>A17</f>
        <v>General Service &gt; 50 to 4999 kW</v>
      </c>
      <c r="B167" s="42">
        <f>G151</f>
        <v>0.2503368308707129</v>
      </c>
      <c r="C167" s="42"/>
      <c r="D167" s="42"/>
      <c r="E167" s="41">
        <f>$E$174*B167</f>
        <v>17273.051074087729</v>
      </c>
      <c r="F167" s="40">
        <f>CHOOSE(MATCH(B108,{0,"kWh","kW"},0),1,'[1]3.11 LoadForecast'!$J45,'[1]3.11 LoadForecast'!$J75)</f>
        <v>18883.313345201033</v>
      </c>
      <c r="G167" s="39">
        <f>ROUND(E167/F167,4)</f>
        <v>0.91469999999999996</v>
      </c>
      <c r="H167" s="38" t="str">
        <f>'[1]0.2 Customer Classes'!$D15</f>
        <v>kW</v>
      </c>
      <c r="I167" s="3"/>
      <c r="J167" s="3"/>
      <c r="K167" s="12"/>
      <c r="L167" s="11"/>
      <c r="M167" s="10"/>
    </row>
    <row r="168" spans="1:13" ht="13.5" customHeight="1" x14ac:dyDescent="0.2">
      <c r="A168" s="24" t="str">
        <f>A18</f>
        <v>Unmetered Scattered Load</v>
      </c>
      <c r="B168" s="42">
        <f>G152</f>
        <v>2.071369510272407E-4</v>
      </c>
      <c r="C168" s="42"/>
      <c r="D168" s="42"/>
      <c r="E168" s="41">
        <f>$E$174*B168</f>
        <v>14.292292196796829</v>
      </c>
      <c r="F168" s="40">
        <f>CHOOSE(MATCH(B109,{0,"kWh","kW"},0),1,'[1]3.11 LoadForecast'!$J46,'[1]3.11 LoadForecast'!$J76)</f>
        <v>5231.8999999999996</v>
      </c>
      <c r="G168" s="39">
        <f>ROUND(E168/F168,4)</f>
        <v>2.7000000000000001E-3</v>
      </c>
      <c r="H168" s="38" t="str">
        <f>'[1]0.2 Customer Classes'!$D16</f>
        <v>kWh</v>
      </c>
      <c r="I168" s="3"/>
      <c r="J168" s="3"/>
      <c r="K168" s="12"/>
      <c r="L168" s="11"/>
      <c r="M168" s="10"/>
    </row>
    <row r="169" spans="1:13" ht="13.5" customHeight="1" x14ac:dyDescent="0.2">
      <c r="A169" s="24" t="str">
        <f>A19</f>
        <v>Sentinel Lighting</v>
      </c>
      <c r="B169" s="42">
        <f>G153</f>
        <v>6.8026321456437773E-4</v>
      </c>
      <c r="C169" s="42"/>
      <c r="D169" s="42"/>
      <c r="E169" s="41">
        <f>$E$174*B169</f>
        <v>46.937644804899001</v>
      </c>
      <c r="F169" s="40">
        <f>CHOOSE(MATCH(B110,{0,"kWh","kW"},0),1,'[1]3.11 LoadForecast'!$J47,'[1]3.11 LoadForecast'!$J77)</f>
        <v>65</v>
      </c>
      <c r="G169" s="39">
        <f>ROUND(E169/F169,4)</f>
        <v>0.72209999999999996</v>
      </c>
      <c r="H169" s="38" t="str">
        <f>'[1]0.2 Customer Classes'!$D17</f>
        <v>kW</v>
      </c>
      <c r="I169" s="3"/>
      <c r="J169" s="3"/>
      <c r="K169" s="12"/>
      <c r="L169" s="11"/>
      <c r="M169" s="10"/>
    </row>
    <row r="170" spans="1:13" ht="13.5" customHeight="1" x14ac:dyDescent="0.2">
      <c r="A170" s="24" t="str">
        <f>A20</f>
        <v xml:space="preserve">Street Lighting </v>
      </c>
      <c r="B170" s="42">
        <f>G154</f>
        <v>7.9307801004038069E-3</v>
      </c>
      <c r="C170" s="42"/>
      <c r="D170" s="42"/>
      <c r="E170" s="41">
        <f>$E$174*B170</f>
        <v>547.2177995349864</v>
      </c>
      <c r="F170" s="40">
        <f>CHOOSE(MATCH(B111,{0,"kWh","kW"},0),1,'[1]3.11 LoadForecast'!$J48,'[1]3.11 LoadForecast'!$J78)</f>
        <v>773.69999999999982</v>
      </c>
      <c r="G170" s="39">
        <f>ROUND(E170/F170,4)</f>
        <v>0.70730000000000004</v>
      </c>
      <c r="H170" s="38" t="str">
        <f>'[1]0.2 Customer Classes'!$D18</f>
        <v>kW</v>
      </c>
      <c r="I170" s="3"/>
      <c r="J170" s="3"/>
      <c r="K170" s="12"/>
      <c r="L170" s="11"/>
      <c r="M170" s="10"/>
    </row>
    <row r="171" spans="1:13" ht="13.5" customHeight="1" x14ac:dyDescent="0.2">
      <c r="A171" s="24" t="str">
        <f>A21</f>
        <v>other</v>
      </c>
      <c r="B171" s="42">
        <f>G155</f>
        <v>0</v>
      </c>
      <c r="C171" s="42"/>
      <c r="D171" s="42"/>
      <c r="E171" s="41">
        <f>$E$174*B171</f>
        <v>0</v>
      </c>
      <c r="F171" s="40">
        <f>CHOOSE(MATCH(B112,{0,"kWh","kW"},0),1,'[1]3.11 LoadForecast'!$J49,'[1]3.11 LoadForecast'!$J79)</f>
        <v>1</v>
      </c>
      <c r="G171" s="39">
        <f>ROUND(E171/F171,4)</f>
        <v>0</v>
      </c>
      <c r="H171" s="38">
        <f>'[1]0.2 Customer Classes'!$D19</f>
        <v>0</v>
      </c>
      <c r="I171" s="3"/>
      <c r="J171" s="3"/>
      <c r="K171" s="12"/>
      <c r="L171" s="11"/>
      <c r="M171" s="10"/>
    </row>
    <row r="172" spans="1:13" ht="13.5" customHeight="1" x14ac:dyDescent="0.2">
      <c r="A172" s="24">
        <f>A22</f>
        <v>0</v>
      </c>
      <c r="B172" s="42">
        <f>G156</f>
        <v>0</v>
      </c>
      <c r="C172" s="42"/>
      <c r="D172" s="42"/>
      <c r="E172" s="41">
        <f>$E$174*B172</f>
        <v>0</v>
      </c>
      <c r="F172" s="40">
        <f>CHOOSE(MATCH(B113,{0,"kWh","kW"},0),1,'[1]3.11 LoadForecast'!$J50,'[1]3.11 LoadForecast'!$J80)</f>
        <v>1</v>
      </c>
      <c r="G172" s="39">
        <f>ROUND(E172/F172,4)</f>
        <v>0</v>
      </c>
      <c r="H172" s="38">
        <f>'[1]0.2 Customer Classes'!$D20</f>
        <v>0</v>
      </c>
      <c r="I172" s="3"/>
      <c r="J172" s="3"/>
      <c r="K172" s="12"/>
      <c r="L172" s="11"/>
      <c r="M172" s="10"/>
    </row>
    <row r="173" spans="1:13" ht="13.5" customHeight="1" x14ac:dyDescent="0.2">
      <c r="A173" s="24">
        <f>A23</f>
        <v>0</v>
      </c>
      <c r="B173" s="42">
        <f>G157</f>
        <v>0</v>
      </c>
      <c r="C173" s="42"/>
      <c r="D173" s="42"/>
      <c r="E173" s="41">
        <f>$E$174*B173</f>
        <v>0</v>
      </c>
      <c r="F173" s="40">
        <f>CHOOSE(MATCH(B114,{0,"kWh","kW"},0),1,'[1]3.11 LoadForecast'!$J51,'[1]3.11 LoadForecast'!$J81)</f>
        <v>1</v>
      </c>
      <c r="G173" s="39">
        <f>ROUND(E173/F173,4)</f>
        <v>0</v>
      </c>
      <c r="H173" s="38">
        <f>'[1]0.2 Customer Classes'!$D21</f>
        <v>0</v>
      </c>
      <c r="I173" s="3"/>
      <c r="J173" s="3"/>
      <c r="K173" s="12"/>
      <c r="L173" s="11"/>
      <c r="M173" s="10"/>
    </row>
    <row r="174" spans="1:13" ht="13.5" customHeight="1" x14ac:dyDescent="0.2">
      <c r="A174" s="37" t="s">
        <v>2</v>
      </c>
      <c r="B174" s="36">
        <f>SUM(B165:D173)</f>
        <v>1</v>
      </c>
      <c r="C174" s="35"/>
      <c r="D174" s="34"/>
      <c r="E174" s="33">
        <f>K142</f>
        <v>68999.240000000005</v>
      </c>
      <c r="F174" s="33">
        <f>SUM(F165:F173)</f>
        <v>18737139.617457394</v>
      </c>
      <c r="G174" s="33"/>
      <c r="H174" s="33"/>
      <c r="I174" s="3"/>
      <c r="J174" s="3"/>
      <c r="K174" s="12"/>
      <c r="L174" s="11"/>
      <c r="M174" s="10"/>
    </row>
    <row r="175" spans="1:13" x14ac:dyDescent="0.2">
      <c r="A175" s="32"/>
      <c r="C175" s="30"/>
      <c r="D175" s="31"/>
      <c r="E175" s="31"/>
      <c r="F175" s="31"/>
      <c r="G175" s="31"/>
      <c r="H175" s="31"/>
      <c r="I175" s="31"/>
      <c r="J175" s="30"/>
      <c r="K175" s="12"/>
      <c r="L175" s="11"/>
      <c r="M175" s="10"/>
    </row>
    <row r="176" spans="1:13" x14ac:dyDescent="0.2">
      <c r="A176" s="29" t="s">
        <v>12</v>
      </c>
      <c r="B176" s="2"/>
      <c r="C176" s="2"/>
      <c r="D176" s="2"/>
      <c r="E176" s="2"/>
      <c r="F176" s="2"/>
      <c r="G176" s="2"/>
      <c r="H176" s="2"/>
      <c r="I176" s="2"/>
      <c r="J176" s="2"/>
      <c r="K176" s="12"/>
      <c r="L176" s="11"/>
      <c r="M176" s="10"/>
    </row>
    <row r="177" spans="1:13" x14ac:dyDescent="0.2">
      <c r="A177" s="28" t="s">
        <v>11</v>
      </c>
      <c r="B177" s="2"/>
      <c r="C177" s="2"/>
      <c r="D177" s="2"/>
      <c r="E177" s="2"/>
      <c r="F177" s="2"/>
      <c r="G177" s="2"/>
      <c r="H177" s="2"/>
      <c r="I177" s="2"/>
      <c r="J177" s="2"/>
      <c r="K177" s="12"/>
      <c r="L177" s="11"/>
      <c r="M177" s="10"/>
    </row>
    <row r="178" spans="1:13" x14ac:dyDescent="0.2">
      <c r="B178" s="2"/>
      <c r="C178" s="2"/>
      <c r="D178" s="2"/>
      <c r="M178" s="3"/>
    </row>
    <row r="179" spans="1:13" x14ac:dyDescent="0.2">
      <c r="A179" s="8" t="s">
        <v>10</v>
      </c>
      <c r="B179" s="6"/>
      <c r="C179" s="6" t="s">
        <v>9</v>
      </c>
      <c r="D179" s="6" t="s">
        <v>8</v>
      </c>
      <c r="E179" s="27">
        <v>2018</v>
      </c>
      <c r="F179" s="26"/>
      <c r="G179" s="26"/>
      <c r="H179" s="27">
        <v>2019</v>
      </c>
      <c r="I179" s="26"/>
      <c r="J179" s="26"/>
      <c r="K179" s="1"/>
      <c r="L179" s="1"/>
    </row>
    <row r="180" spans="1:13" ht="12.75" customHeight="1" x14ac:dyDescent="0.2">
      <c r="A180" s="25" t="s">
        <v>7</v>
      </c>
      <c r="B180" s="23"/>
      <c r="C180" s="23" t="s">
        <v>6</v>
      </c>
      <c r="D180" s="23" t="s">
        <v>6</v>
      </c>
      <c r="E180" s="23" t="s">
        <v>5</v>
      </c>
      <c r="F180" s="23" t="s">
        <v>4</v>
      </c>
      <c r="G180" s="23" t="s">
        <v>3</v>
      </c>
      <c r="H180" s="23" t="s">
        <v>5</v>
      </c>
      <c r="I180" s="23" t="s">
        <v>4</v>
      </c>
      <c r="J180" s="23" t="s">
        <v>3</v>
      </c>
    </row>
    <row r="181" spans="1:13" ht="12.75" customHeight="1" x14ac:dyDescent="0.2">
      <c r="A181" s="24" t="str">
        <f>A15</f>
        <v>Residential</v>
      </c>
      <c r="B181" s="23" t="str">
        <f>'[1]0.2 Customer Classes'!$D$13</f>
        <v>kWh</v>
      </c>
      <c r="C181" s="23">
        <v>4075</v>
      </c>
      <c r="D181" s="23">
        <v>4750</v>
      </c>
      <c r="E181" s="20">
        <f>CHOOSE(MATCH(B149,{0,"kWh","kW"},0),1,'[1]3.11 LoadForecast'!$I43,'[1]3.11 LoadForecast'!$I73)</f>
        <v>14078629.261565378</v>
      </c>
      <c r="F181" s="22">
        <v>5.9999999999999995E-4</v>
      </c>
      <c r="G181" s="21">
        <f>E181*F181</f>
        <v>8447.1775569392266</v>
      </c>
      <c r="H181" s="20">
        <f>F165</f>
        <v>13831680.835737046</v>
      </c>
      <c r="I181" s="19">
        <f>G165</f>
        <v>2.7000000000000001E-3</v>
      </c>
      <c r="J181" s="18">
        <f>H181*I181</f>
        <v>37345.538256490028</v>
      </c>
    </row>
    <row r="182" spans="1:13" ht="12.75" customHeight="1" x14ac:dyDescent="0.2">
      <c r="A182" s="24" t="str">
        <f>A16</f>
        <v>General Service &lt; 50 kW</v>
      </c>
      <c r="B182" s="23" t="str">
        <f>'[1]0.2 Customer Classes'!$D$14</f>
        <v>kWh</v>
      </c>
      <c r="C182" s="23">
        <v>4075</v>
      </c>
      <c r="D182" s="23">
        <v>4750</v>
      </c>
      <c r="E182" s="20">
        <f>CHOOSE(MATCH(B150,{0,"kWh","kW"},0),1,'[1]3.11 LoadForecast'!$I44,'[1]3.11 LoadForecast'!$I74)</f>
        <v>4880501.8683751496</v>
      </c>
      <c r="F182" s="22">
        <v>5.9999999999999995E-4</v>
      </c>
      <c r="G182" s="21">
        <f>E182*F182</f>
        <v>2928.3011210250893</v>
      </c>
      <c r="H182" s="20">
        <f>F166</f>
        <v>4880501.8683751496</v>
      </c>
      <c r="I182" s="19">
        <f>G166</f>
        <v>2.7000000000000001E-3</v>
      </c>
      <c r="J182" s="18">
        <f>H182*I182</f>
        <v>13177.355044612905</v>
      </c>
    </row>
    <row r="183" spans="1:13" ht="12.75" customHeight="1" x14ac:dyDescent="0.2">
      <c r="A183" s="24" t="str">
        <f>A17</f>
        <v>General Service &gt; 50 to 4999 kW</v>
      </c>
      <c r="B183" s="23" t="str">
        <f>'[1]0.2 Customer Classes'!$D$15</f>
        <v>kW</v>
      </c>
      <c r="C183" s="23">
        <v>4075</v>
      </c>
      <c r="D183" s="23">
        <v>4750</v>
      </c>
      <c r="E183" s="20">
        <f>CHOOSE(MATCH(B151,{0,"kWh","kW"},0),1,'[1]3.11 LoadForecast'!$I45,'[1]3.11 LoadForecast'!$I75)</f>
        <v>19002.189647847106</v>
      </c>
      <c r="F183" s="22">
        <v>0.22559999999999999</v>
      </c>
      <c r="G183" s="21">
        <f>E183*F183</f>
        <v>4286.8939845543073</v>
      </c>
      <c r="H183" s="20">
        <f>F167</f>
        <v>18883.313345201033</v>
      </c>
      <c r="I183" s="19">
        <f>G167</f>
        <v>0.91469999999999996</v>
      </c>
      <c r="J183" s="18">
        <f>H183*I183</f>
        <v>17272.566716855385</v>
      </c>
    </row>
    <row r="184" spans="1:13" ht="12.75" customHeight="1" x14ac:dyDescent="0.2">
      <c r="A184" s="24" t="str">
        <f>A18</f>
        <v>Unmetered Scattered Load</v>
      </c>
      <c r="B184" s="23" t="str">
        <f>'[1]0.2 Customer Classes'!$D$16</f>
        <v>kWh</v>
      </c>
      <c r="C184" s="23">
        <v>4075</v>
      </c>
      <c r="D184" s="23">
        <v>4750</v>
      </c>
      <c r="E184" s="20">
        <f>CHOOSE(MATCH(B152,{0,"kWh","kW"},0),1,'[1]3.11 LoadForecast'!$I46,'[1]3.11 LoadForecast'!$I76)</f>
        <v>5231.8999999999996</v>
      </c>
      <c r="F184" s="22">
        <v>5.9999999999999995E-4</v>
      </c>
      <c r="G184" s="21">
        <f>E184*F184</f>
        <v>3.1391399999999994</v>
      </c>
      <c r="H184" s="20">
        <f>F168</f>
        <v>5231.8999999999996</v>
      </c>
      <c r="I184" s="19">
        <f>G168</f>
        <v>2.7000000000000001E-3</v>
      </c>
      <c r="J184" s="18">
        <f>H184*I184</f>
        <v>14.12613</v>
      </c>
    </row>
    <row r="185" spans="1:13" ht="12.75" customHeight="1" x14ac:dyDescent="0.2">
      <c r="A185" s="24" t="str">
        <f>A19</f>
        <v>Sentinel Lighting</v>
      </c>
      <c r="B185" s="23" t="str">
        <f>'[1]0.2 Customer Classes'!$D$17</f>
        <v>kW</v>
      </c>
      <c r="C185" s="23">
        <v>4075</v>
      </c>
      <c r="D185" s="23">
        <v>4750</v>
      </c>
      <c r="E185" s="20">
        <f>CHOOSE(MATCH(B153,{0,"kWh","kW"},0),1,'[1]3.11 LoadForecast'!$I47,'[1]3.11 LoadForecast'!$I77)</f>
        <v>65</v>
      </c>
      <c r="F185" s="22">
        <v>0.2261</v>
      </c>
      <c r="G185" s="21">
        <f>E185*F185</f>
        <v>14.6965</v>
      </c>
      <c r="H185" s="20">
        <f>F169</f>
        <v>65</v>
      </c>
      <c r="I185" s="19">
        <f>G169</f>
        <v>0.72209999999999996</v>
      </c>
      <c r="J185" s="18">
        <f>H185*I185</f>
        <v>46.936499999999995</v>
      </c>
    </row>
    <row r="186" spans="1:13" ht="12.75" customHeight="1" x14ac:dyDescent="0.2">
      <c r="A186" s="24" t="str">
        <f>A20</f>
        <v xml:space="preserve">Street Lighting </v>
      </c>
      <c r="B186" s="17" t="str">
        <f>'[1]0.2 Customer Classes'!$D$18</f>
        <v>kW</v>
      </c>
      <c r="C186" s="23">
        <v>4075</v>
      </c>
      <c r="D186" s="23">
        <v>4750</v>
      </c>
      <c r="E186" s="20">
        <f>CHOOSE(MATCH(B154,{0,"kWh","kW"},0),1,'[1]3.11 LoadForecast'!$I48,'[1]3.11 LoadForecast'!$I78)</f>
        <v>774</v>
      </c>
      <c r="F186" s="22">
        <v>0.21729999999999999</v>
      </c>
      <c r="G186" s="21">
        <f>E186*F186</f>
        <v>168.1902</v>
      </c>
      <c r="H186" s="20">
        <f>F170</f>
        <v>773.69999999999982</v>
      </c>
      <c r="I186" s="19">
        <f>G170</f>
        <v>0.70730000000000004</v>
      </c>
      <c r="J186" s="18">
        <f>H186*I186</f>
        <v>547.23800999999992</v>
      </c>
    </row>
    <row r="187" spans="1:13" ht="12.75" customHeight="1" x14ac:dyDescent="0.2">
      <c r="A187" s="24" t="str">
        <f>A21</f>
        <v>other</v>
      </c>
      <c r="B187" s="17">
        <f>'[1]0.2 Customer Classes'!$D$19</f>
        <v>0</v>
      </c>
      <c r="C187" s="23">
        <v>4075</v>
      </c>
      <c r="D187" s="23">
        <v>4750</v>
      </c>
      <c r="E187" s="20">
        <f>CHOOSE(MATCH(B155,{0,"kWh","kW"},0),1,'[1]3.11 LoadForecast'!$I49,'[1]3.11 LoadForecast'!$I79)</f>
        <v>1</v>
      </c>
      <c r="F187" s="22">
        <v>0</v>
      </c>
      <c r="G187" s="21">
        <f>E187*F187</f>
        <v>0</v>
      </c>
      <c r="H187" s="20">
        <f>F171</f>
        <v>1</v>
      </c>
      <c r="I187" s="19">
        <f>G171</f>
        <v>0</v>
      </c>
      <c r="J187" s="18">
        <f>H187*I187</f>
        <v>0</v>
      </c>
    </row>
    <row r="188" spans="1:13" ht="12.75" customHeight="1" x14ac:dyDescent="0.2">
      <c r="A188" s="24">
        <f>A22</f>
        <v>0</v>
      </c>
      <c r="B188" s="17">
        <f>'[1]0.2 Customer Classes'!$D$20</f>
        <v>0</v>
      </c>
      <c r="C188" s="23">
        <v>4075</v>
      </c>
      <c r="D188" s="23">
        <v>4750</v>
      </c>
      <c r="E188" s="20">
        <f>CHOOSE(MATCH(B156,{0,"kWh","kW"},0),1,'[1]3.11 LoadForecast'!$I50,'[1]3.11 LoadForecast'!$I80)</f>
        <v>1</v>
      </c>
      <c r="F188" s="22">
        <v>0</v>
      </c>
      <c r="G188" s="21">
        <f>E188*F188</f>
        <v>0</v>
      </c>
      <c r="H188" s="20">
        <f>F172</f>
        <v>1</v>
      </c>
      <c r="I188" s="19">
        <f>G172</f>
        <v>0</v>
      </c>
      <c r="J188" s="18">
        <f>H188*I188</f>
        <v>0</v>
      </c>
    </row>
    <row r="189" spans="1:13" ht="12.75" customHeight="1" x14ac:dyDescent="0.2">
      <c r="A189" s="24">
        <f>A23</f>
        <v>0</v>
      </c>
      <c r="B189" s="17">
        <f>'[1]0.2 Customer Classes'!$D$21</f>
        <v>0</v>
      </c>
      <c r="C189" s="23">
        <v>4075</v>
      </c>
      <c r="D189" s="23">
        <v>4750</v>
      </c>
      <c r="E189" s="20">
        <f>CHOOSE(MATCH(B157,{0,"kWh","kW"},0),1,'[1]3.11 LoadForecast'!$I51,'[1]3.11 LoadForecast'!$I81)</f>
        <v>1</v>
      </c>
      <c r="F189" s="22">
        <v>0</v>
      </c>
      <c r="G189" s="21">
        <f>E189*F189</f>
        <v>0</v>
      </c>
      <c r="H189" s="20">
        <f>F173</f>
        <v>1</v>
      </c>
      <c r="I189" s="19">
        <f>G173</f>
        <v>0</v>
      </c>
      <c r="J189" s="18">
        <f>H189*I189</f>
        <v>0</v>
      </c>
    </row>
    <row r="190" spans="1:13" x14ac:dyDescent="0.2">
      <c r="A190" s="8" t="s">
        <v>2</v>
      </c>
      <c r="B190" s="17" t="s">
        <v>1</v>
      </c>
      <c r="C190" s="6">
        <v>0</v>
      </c>
      <c r="D190" s="6">
        <v>0</v>
      </c>
      <c r="E190" s="16">
        <f>SUM(E181:E189)</f>
        <v>18984207.219588373</v>
      </c>
      <c r="F190" s="15"/>
      <c r="G190" s="5">
        <f>SUM(G181:G189)</f>
        <v>15848.398502518623</v>
      </c>
      <c r="H190" s="16">
        <f>SUM(H181:H189)</f>
        <v>18737139.617457394</v>
      </c>
      <c r="I190" s="15"/>
      <c r="J190" s="5">
        <f>SUM(J181:J189)</f>
        <v>68403.760657958308</v>
      </c>
    </row>
    <row r="191" spans="1:13" ht="12" customHeight="1" x14ac:dyDescent="0.2">
      <c r="A191" s="14"/>
      <c r="B191" s="13"/>
      <c r="C191" s="13"/>
      <c r="D191" s="13"/>
      <c r="E191" s="13"/>
      <c r="F191" s="13"/>
      <c r="G191" s="13"/>
      <c r="H191" s="12"/>
      <c r="I191" s="11"/>
      <c r="J191" s="10"/>
      <c r="M191" s="9"/>
    </row>
    <row r="192" spans="1:13" ht="21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M192" s="9"/>
    </row>
    <row r="193" spans="1:13" s="4" customFormat="1" x14ac:dyDescent="0.2">
      <c r="A193" s="8" t="s">
        <v>0</v>
      </c>
      <c r="B193" s="6"/>
      <c r="C193" s="6"/>
      <c r="D193" s="6"/>
      <c r="E193" s="6"/>
      <c r="F193" s="6"/>
      <c r="G193" s="7">
        <f>G51+G67+G83+G99+G115+G125+G190</f>
        <v>2600626.2367480118</v>
      </c>
      <c r="H193" s="6"/>
      <c r="I193" s="6"/>
      <c r="J193" s="5">
        <f>J51+J67+J83+J99+J115+J125+J134+J190</f>
        <v>2692685.7724804352</v>
      </c>
      <c r="K193"/>
      <c r="L193"/>
      <c r="M193" s="3"/>
    </row>
    <row r="194" spans="1:13" s="4" customForma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 s="3"/>
    </row>
    <row r="195" spans="1:13" ht="12.75" customHeight="1" x14ac:dyDescent="0.2"/>
    <row r="196" spans="1:13" ht="12.75" customHeight="1" x14ac:dyDescent="0.2"/>
    <row r="197" spans="1:13" ht="12.75" customHeight="1" x14ac:dyDescent="0.2"/>
    <row r="198" spans="1:13" ht="12.75" customHeight="1" x14ac:dyDescent="0.2"/>
    <row r="199" spans="1:13" ht="12.75" customHeight="1" x14ac:dyDescent="0.2"/>
    <row r="200" spans="1:13" ht="12.75" customHeight="1" x14ac:dyDescent="0.2"/>
    <row r="201" spans="1:13" ht="12.75" customHeight="1" x14ac:dyDescent="0.2"/>
    <row r="202" spans="1:13" ht="12.75" customHeight="1" x14ac:dyDescent="0.2"/>
    <row r="203" spans="1:13" ht="12.75" customHeight="1" x14ac:dyDescent="0.2"/>
    <row r="204" spans="1:13" ht="12.75" customHeight="1" x14ac:dyDescent="0.2"/>
    <row r="205" spans="1:13" ht="12.75" customHeight="1" x14ac:dyDescent="0.2"/>
    <row r="206" spans="1:13" x14ac:dyDescent="0.2">
      <c r="M206" s="3"/>
    </row>
    <row r="207" spans="1:13" x14ac:dyDescent="0.2">
      <c r="M207" s="2"/>
    </row>
    <row r="209" spans="1:12" s="1" customFormat="1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23" spans="1:12" s="1" customFormat="1" x14ac:dyDescent="0.2">
      <c r="A223"/>
      <c r="B223"/>
      <c r="C223"/>
      <c r="D223"/>
      <c r="E223"/>
      <c r="F223"/>
      <c r="G223"/>
      <c r="H223"/>
      <c r="I223"/>
      <c r="J223"/>
      <c r="K223"/>
      <c r="L223"/>
    </row>
  </sheetData>
  <sheetProtection selectLockedCells="1" selectUnlockedCells="1"/>
  <mergeCells count="56">
    <mergeCell ref="C23:D23"/>
    <mergeCell ref="C17:D17"/>
    <mergeCell ref="C18:D18"/>
    <mergeCell ref="H119:J119"/>
    <mergeCell ref="D158:E158"/>
    <mergeCell ref="B172:D172"/>
    <mergeCell ref="A9:O9"/>
    <mergeCell ref="A10:O10"/>
    <mergeCell ref="C14:D14"/>
    <mergeCell ref="C15:D15"/>
    <mergeCell ref="C16:D16"/>
    <mergeCell ref="C13:D13"/>
    <mergeCell ref="C20:D20"/>
    <mergeCell ref="H71:J71"/>
    <mergeCell ref="E103:G103"/>
    <mergeCell ref="H103:J103"/>
    <mergeCell ref="E87:G87"/>
    <mergeCell ref="H87:J87"/>
    <mergeCell ref="H39:J39"/>
    <mergeCell ref="E55:G55"/>
    <mergeCell ref="H55:J55"/>
    <mergeCell ref="E71:G71"/>
    <mergeCell ref="E39:G39"/>
    <mergeCell ref="D153:E153"/>
    <mergeCell ref="D154:E154"/>
    <mergeCell ref="D155:E155"/>
    <mergeCell ref="D157:E157"/>
    <mergeCell ref="C19:D19"/>
    <mergeCell ref="C24:D24"/>
    <mergeCell ref="C25:D25"/>
    <mergeCell ref="E119:G119"/>
    <mergeCell ref="C21:D21"/>
    <mergeCell ref="C22:D22"/>
    <mergeCell ref="B147:G147"/>
    <mergeCell ref="D148:E148"/>
    <mergeCell ref="D149:E149"/>
    <mergeCell ref="D150:E150"/>
    <mergeCell ref="D151:E151"/>
    <mergeCell ref="D152:E152"/>
    <mergeCell ref="B167:D167"/>
    <mergeCell ref="B168:D168"/>
    <mergeCell ref="B169:D169"/>
    <mergeCell ref="B170:D170"/>
    <mergeCell ref="B163:H163"/>
    <mergeCell ref="B164:D164"/>
    <mergeCell ref="B165:D165"/>
    <mergeCell ref="F14:H14"/>
    <mergeCell ref="E129:G129"/>
    <mergeCell ref="H129:J129"/>
    <mergeCell ref="H179:J179"/>
    <mergeCell ref="D156:E156"/>
    <mergeCell ref="B171:D171"/>
    <mergeCell ref="B173:D173"/>
    <mergeCell ref="B174:D174"/>
    <mergeCell ref="E179:G179"/>
    <mergeCell ref="B166:D166"/>
  </mergeCells>
  <dataValidations count="1">
    <dataValidation type="list" allowBlank="1" showInputMessage="1" showErrorMessage="1" sqref="B42:B50" xr:uid="{00000000-0002-0000-3600-000000000000}">
      <formula1>"kWh,kW,Customer"</formula1>
    </dataValidation>
  </dataValidations>
  <pageMargins left="0.7" right="0.7" top="0.75" bottom="0.75" header="0.51180555555555596" footer="0.51180555555555596"/>
  <pageSetup scale="145" firstPageNumber="0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4.12 PowerSupplExp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Tandem Energy Services</dc:creator>
  <cp:lastModifiedBy>Tandem Energy Services</cp:lastModifiedBy>
  <dcterms:created xsi:type="dcterms:W3CDTF">2018-08-30T20:33:14Z</dcterms:created>
  <dcterms:modified xsi:type="dcterms:W3CDTF">2018-08-30T20:35:02Z</dcterms:modified>
</cp:coreProperties>
</file>