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T:\5. TESI UTILITIES\CPUC\CPUC 2019 CoS\Ex 2\"/>
    </mc:Choice>
  </mc:AlternateContent>
  <xr:revisionPtr revIDLastSave="0" documentId="13_ncr:1_{DC8CE480-6600-4C3F-9A89-994B286E34B5}" xr6:coauthVersionLast="34" xr6:coauthVersionMax="34" xr10:uidLastSave="{00000000-0000-0000-0000-000000000000}"/>
  <bookViews>
    <workbookView xWindow="0" yWindow="0" windowWidth="28800" windowHeight="11625" xr2:uid="{AA6A6622-F1E3-44AC-87F5-9575442F3130}"/>
  </bookViews>
  <sheets>
    <sheet name="Pole replacement" sheetId="1" r:id="rId1"/>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A55" i="1" l="1"/>
  <c r="Z55" i="1"/>
  <c r="Z56" i="1" s="1"/>
  <c r="Z57" i="1" s="1"/>
  <c r="L43" i="1"/>
  <c r="K43" i="1"/>
  <c r="I43" i="1"/>
  <c r="M43" i="1" s="1"/>
  <c r="L42" i="1"/>
  <c r="I42" i="1"/>
  <c r="M42" i="1" s="1"/>
  <c r="I41" i="1"/>
  <c r="M41" i="1" s="1"/>
  <c r="M40" i="1"/>
  <c r="K40" i="1"/>
  <c r="I40" i="1"/>
  <c r="H40" i="1"/>
  <c r="M39" i="1"/>
  <c r="L39" i="1"/>
  <c r="I39" i="1"/>
  <c r="K39" i="1" s="1"/>
  <c r="L38" i="1"/>
  <c r="K38" i="1"/>
  <c r="I38" i="1"/>
  <c r="M38" i="1" s="1"/>
  <c r="O38" i="1" s="1"/>
  <c r="H38" i="1"/>
  <c r="I37" i="1"/>
  <c r="K37" i="1" s="1"/>
  <c r="H37" i="1"/>
  <c r="I36" i="1"/>
  <c r="H36" i="1" s="1"/>
  <c r="L35" i="1"/>
  <c r="I35" i="1"/>
  <c r="H35" i="1" s="1"/>
  <c r="C35" i="1"/>
  <c r="L34" i="1"/>
  <c r="I34" i="1"/>
  <c r="K34" i="1" s="1"/>
  <c r="H34" i="1"/>
  <c r="L33" i="1"/>
  <c r="I33" i="1"/>
  <c r="K33" i="1" s="1"/>
  <c r="I32" i="1"/>
  <c r="M32" i="1" s="1"/>
  <c r="I31" i="1"/>
  <c r="K31" i="1" s="1"/>
  <c r="L30" i="1"/>
  <c r="I30" i="1"/>
  <c r="H30" i="1" s="1"/>
  <c r="L29" i="1"/>
  <c r="I29" i="1"/>
  <c r="H29" i="1" s="1"/>
  <c r="M28" i="1"/>
  <c r="L28" i="1"/>
  <c r="K28" i="1"/>
  <c r="H28" i="1"/>
  <c r="M27" i="1"/>
  <c r="O27" i="1" s="1"/>
  <c r="R3" i="1" s="1"/>
  <c r="L27" i="1"/>
  <c r="K27" i="1"/>
  <c r="H27" i="1"/>
  <c r="M26" i="1"/>
  <c r="L26" i="1"/>
  <c r="K26" i="1"/>
  <c r="H26" i="1"/>
  <c r="M25" i="1"/>
  <c r="L25" i="1"/>
  <c r="K25" i="1"/>
  <c r="O25" i="1" s="1"/>
  <c r="P3" i="1" s="1"/>
  <c r="H25" i="1"/>
  <c r="M24" i="1"/>
  <c r="L24" i="1"/>
  <c r="K24" i="1"/>
  <c r="O24" i="1" s="1"/>
  <c r="O3" i="1" s="1"/>
  <c r="H24" i="1"/>
  <c r="G26" i="1" s="1"/>
  <c r="M23" i="1"/>
  <c r="L23" i="1"/>
  <c r="K23" i="1"/>
  <c r="O23" i="1" s="1"/>
  <c r="H23" i="1"/>
  <c r="M22" i="1"/>
  <c r="L22" i="1"/>
  <c r="O22" i="1" s="1"/>
  <c r="K22" i="1"/>
  <c r="H22" i="1"/>
  <c r="M21" i="1"/>
  <c r="L21" i="1"/>
  <c r="K21" i="1"/>
  <c r="O21" i="1" s="1"/>
  <c r="H21" i="1"/>
  <c r="M20" i="1"/>
  <c r="L20" i="1"/>
  <c r="K20" i="1"/>
  <c r="H20" i="1"/>
  <c r="N17" i="1"/>
  <c r="Q14" i="1"/>
  <c r="M13" i="1"/>
  <c r="M12" i="1"/>
  <c r="M11" i="1"/>
  <c r="D5" i="1"/>
  <c r="C5" i="1"/>
  <c r="U11" i="1" s="1"/>
  <c r="Q4" i="1"/>
  <c r="P4" i="1"/>
  <c r="E4" i="1"/>
  <c r="D33" i="1" s="1"/>
  <c r="E3" i="1"/>
  <c r="D32" i="1" s="1"/>
  <c r="E2" i="1"/>
  <c r="D31" i="1" s="1"/>
  <c r="J32" i="1" s="1"/>
  <c r="L32" i="1" s="1"/>
  <c r="W55" i="1" l="1"/>
  <c r="Y55" i="1" s="1"/>
  <c r="Y56" i="1" s="1"/>
  <c r="H39" i="1"/>
  <c r="K42" i="1"/>
  <c r="O42" i="1" s="1"/>
  <c r="O26" i="1"/>
  <c r="Q3" i="1" s="1"/>
  <c r="K41" i="1"/>
  <c r="G27" i="1"/>
  <c r="H31" i="1"/>
  <c r="M31" i="1"/>
  <c r="O39" i="1"/>
  <c r="E5" i="1"/>
  <c r="O20" i="1"/>
  <c r="O28" i="1"/>
  <c r="S3" i="1" s="1"/>
  <c r="K32" i="1"/>
  <c r="M37" i="1"/>
  <c r="S4" i="1"/>
  <c r="O32" i="1"/>
  <c r="J41" i="1"/>
  <c r="L41" i="1" s="1"/>
  <c r="J40" i="1"/>
  <c r="L40" i="1" s="1"/>
  <c r="O40" i="1" s="1"/>
  <c r="O41" i="1"/>
  <c r="D35" i="1"/>
  <c r="J36" i="1"/>
  <c r="L36" i="1" s="1"/>
  <c r="J37" i="1"/>
  <c r="L37" i="1" s="1"/>
  <c r="O31" i="1"/>
  <c r="O43" i="1"/>
  <c r="W57" i="1"/>
  <c r="AA57" i="1" s="1"/>
  <c r="M34" i="1"/>
  <c r="O34" i="1" s="1"/>
  <c r="C14" i="1"/>
  <c r="G25" i="1"/>
  <c r="J31" i="1"/>
  <c r="L31" i="1" s="1"/>
  <c r="H32" i="1"/>
  <c r="W56" i="1" s="1"/>
  <c r="K36" i="1"/>
  <c r="H41" i="1"/>
  <c r="R13" i="1"/>
  <c r="M33" i="1"/>
  <c r="O33" i="1" s="1"/>
  <c r="N12" i="1"/>
  <c r="Q12" i="1" s="1"/>
  <c r="K29" i="1"/>
  <c r="O29" i="1" s="1"/>
  <c r="G32" i="1"/>
  <c r="R12" i="1"/>
  <c r="G24" i="1"/>
  <c r="M29" i="1"/>
  <c r="M30" i="1"/>
  <c r="D34" i="1"/>
  <c r="M35" i="1"/>
  <c r="H42" i="1"/>
  <c r="H43" i="1"/>
  <c r="I44" i="1"/>
  <c r="U13" i="1"/>
  <c r="K30" i="1"/>
  <c r="O30" i="1" s="1"/>
  <c r="K35" i="1"/>
  <c r="O35" i="1" s="1"/>
  <c r="N11" i="1"/>
  <c r="Q11" i="1" s="1"/>
  <c r="U12" i="1"/>
  <c r="H33" i="1"/>
  <c r="M36" i="1"/>
  <c r="R4" i="1"/>
  <c r="R11" i="1"/>
  <c r="N13" i="1"/>
  <c r="Q13" i="1" s="1"/>
  <c r="G29" i="1"/>
  <c r="G30" i="1"/>
  <c r="G35" i="1"/>
  <c r="G28" i="1"/>
  <c r="G31" i="1"/>
  <c r="O37" i="1" l="1"/>
  <c r="O36" i="1"/>
  <c r="G43" i="1"/>
  <c r="G44" i="1" s="1"/>
  <c r="O44" i="1"/>
  <c r="P44" i="1" s="1"/>
  <c r="G33" i="1"/>
  <c r="G38" i="1"/>
  <c r="G40" i="1"/>
  <c r="G37" i="1"/>
  <c r="G34" i="1"/>
  <c r="H14" i="1"/>
  <c r="G14" i="1"/>
  <c r="E14" i="1"/>
  <c r="I14" i="1"/>
  <c r="L14" i="1"/>
  <c r="D14" i="1"/>
  <c r="J14" i="1"/>
  <c r="K14" i="1"/>
  <c r="F14" i="1"/>
  <c r="G36" i="1"/>
  <c r="G41" i="1"/>
  <c r="G42" i="1"/>
  <c r="G39" i="1"/>
  <c r="W58" i="1"/>
  <c r="AA58" i="1"/>
  <c r="M14" i="1" l="1"/>
  <c r="P39" i="1"/>
  <c r="P38" i="1"/>
  <c r="P37" i="1"/>
  <c r="P31" i="1"/>
  <c r="P26" i="1"/>
  <c r="P36" i="1"/>
  <c r="P27" i="1"/>
  <c r="P28" i="1"/>
  <c r="P43" i="1"/>
  <c r="P25" i="1"/>
  <c r="P34" i="1"/>
  <c r="P42" i="1"/>
  <c r="P32" i="1"/>
  <c r="P24" i="1"/>
  <c r="P40" i="1"/>
  <c r="P35" i="1"/>
  <c r="P29" i="1"/>
  <c r="P33" i="1"/>
  <c r="P41" i="1"/>
  <c r="P30" i="1"/>
</calcChain>
</file>

<file path=xl/sharedStrings.xml><?xml version="1.0" encoding="utf-8"?>
<sst xmlns="http://schemas.openxmlformats.org/spreadsheetml/2006/main" count="94" uniqueCount="77">
  <si>
    <t>Feeder</t>
  </si>
  <si>
    <t># of poles (approx.)</t>
  </si>
  <si>
    <t>m of line</t>
  </si>
  <si>
    <t>km of line</t>
  </si>
  <si>
    <t>Historical</t>
  </si>
  <si>
    <t>Forecast</t>
  </si>
  <si>
    <t>F2</t>
  </si>
  <si>
    <t>F8</t>
  </si>
  <si>
    <t>Net Capital Expenses after Contribution</t>
  </si>
  <si>
    <t>F9</t>
  </si>
  <si>
    <t>System O&amp;M</t>
  </si>
  <si>
    <t>(Approx.) Total</t>
  </si>
  <si>
    <t>Total Poles in system</t>
  </si>
  <si>
    <t>F5</t>
  </si>
  <si>
    <t>Scenario #</t>
  </si>
  <si>
    <t>Scenario Description</t>
  </si>
  <si>
    <t># of poles /year</t>
  </si>
  <si>
    <t># of poles/year</t>
  </si>
  <si>
    <t>Total poles replaced</t>
  </si>
  <si>
    <t>Additional years required @ current replacement rate</t>
  </si>
  <si>
    <t>Completion Year</t>
  </si>
  <si>
    <t>To complete pole replacement under 10 years</t>
  </si>
  <si>
    <t>To complete pole replacement under 5 years</t>
  </si>
  <si>
    <t>No Poles past age 55 years old</t>
  </si>
  <si>
    <t>years required</t>
  </si>
  <si>
    <t>poles/year 2029-2038</t>
  </si>
  <si>
    <t>poles/year 2029-2033</t>
  </si>
  <si>
    <t>No Poles past age 65 years old</t>
  </si>
  <si>
    <t>poles/year 2029-2034</t>
  </si>
  <si>
    <t>Replace all 4kV poles with 25kV capable poles</t>
  </si>
  <si>
    <t>poles/year 2029-2035</t>
  </si>
  <si>
    <t>Custom (define # of additional years required to complete pole replacement)</t>
  </si>
  <si>
    <t>Assumptions</t>
  </si>
  <si>
    <t># of poles to be replaced by contractor</t>
  </si>
  <si>
    <t>Contractor cost for pole</t>
  </si>
  <si>
    <t>** 14 poles with 6 new tx:</t>
  </si>
  <si>
    <t>Scenario 2 utilizes historical replacement rate of 6 for base</t>
  </si>
  <si>
    <t>$/pole</t>
  </si>
  <si>
    <t>$/km cable</t>
  </si>
  <si>
    <t>$/tx</t>
  </si>
  <si>
    <t>poles/tx</t>
  </si>
  <si>
    <t>Scenario 3 caps pole replacement program to 20 years</t>
  </si>
  <si>
    <t>pole/tx (approx)</t>
  </si>
  <si>
    <t>*every 3 poles a transformer is replaced, every 6th pole transformer is relocated</t>
  </si>
  <si>
    <t>All scenarios assume constant replacement</t>
  </si>
  <si>
    <t>Year</t>
  </si>
  <si>
    <t>Targetted Poles Replaced to Date</t>
  </si>
  <si>
    <t>Targetted poles</t>
  </si>
  <si>
    <t># of Poles</t>
  </si>
  <si>
    <t>km of cable</t>
  </si>
  <si>
    <t>Pole ($)</t>
  </si>
  <si>
    <t>Cable ($)</t>
  </si>
  <si>
    <t>Tx ($)</t>
  </si>
  <si>
    <t>Station ($)</t>
  </si>
  <si>
    <t>Total ($)</t>
  </si>
  <si>
    <t>Average</t>
  </si>
  <si>
    <t>Notes</t>
  </si>
  <si>
    <t>All scenarios smooth out replacements</t>
  </si>
  <si>
    <t>Year 2026 is 8-year mark after transformer is refurbished</t>
  </si>
  <si>
    <t>11 poles inspected in 2018 requiring replacement</t>
  </si>
  <si>
    <t>&gt; Flat line it at 14 poles, push to $70k</t>
  </si>
  <si>
    <t>&gt; Push difference to next rate filing</t>
  </si>
  <si>
    <t># of poles</t>
  </si>
  <si>
    <t>&gt; 20% of F2 cables</t>
  </si>
  <si>
    <t>&gt; 80% of F2 cables</t>
  </si>
  <si>
    <t>F2+F9</t>
  </si>
  <si>
    <t>&gt; 20% of F9 cables</t>
  </si>
  <si>
    <t>&gt; 80% of F9 cables</t>
  </si>
  <si>
    <t>&gt; 50% of F8 cables</t>
  </si>
  <si>
    <t>per year on average</t>
  </si>
  <si>
    <t>Contractors are needed to help replace poles</t>
  </si>
  <si>
    <t>DSP Period End</t>
  </si>
  <si>
    <t>Targetted Poles Replaced</t>
  </si>
  <si>
    <t>Poles Remaining on Feeders to be Replaced for Conversion</t>
  </si>
  <si>
    <t>Contractors are experienced and have tools to deal with pole replacements without having a planned outage</t>
  </si>
  <si>
    <t>Contractors are higher cost but maintain the reliaiblity indices with no outages or very little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</si>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</sst>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_-;\-&quot;$&quot;* #,##0_-;_-&quot;$&quot;* &quot;-&quot;??_-;_-@_-"/>
    <numFmt numFmtId="165"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i/>
      <sz val="10"/>
      <color theme="1"/>
      <name val="Calibri"/>
      <family val="2"/>
      <scheme val="minor"/>
    </font>
    <font>
      <sz val="8"/>
      <color theme="1"/>
      <name val="Calibri"/>
      <family val="2"/>
      <scheme val="minor"/>
    </font>
    <font>
      <sz val="10"/>
      <color theme="1"/>
      <name val="Calibri"/>
      <family val="2"/>
      <scheme val="minor"/>
    </font>
    <font>
      <b/>
      <sz val="10"/>
      <color rgb="FFFF0000"/>
      <name val="Calibri"/>
      <family val="2"/>
      <scheme val="minor"/>
    </font>
    <font>
      <i/>
      <sz val="9"/>
      <color theme="1"/>
      <name val="Calibri"/>
      <family val="2"/>
      <scheme val="minor"/>
    </font>
    <font>
      <b/>
      <i/>
      <sz val="11"/>
      <color theme="1"/>
      <name val="Calibri"/>
      <family val="2"/>
      <scheme val="minor"/>
    </font>
    <font>
      <b/>
      <sz val="9"/>
      <color theme="1"/>
      <name val="Calibri"/>
      <family val="2"/>
      <scheme val="minor"/>
    </font>
  </fonts>
  <fills count="10">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3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0">
    <xf numFmtId="0" fontId="0" fillId="0" borderId="0" xfId="0"/>
    <xf numFmtId="0" fontId="0" fillId="0" borderId="1" xfId="0" applyBorder="1"/>
    <xf numFmtId="0" fontId="0" fillId="0" borderId="2" xfId="0" applyBorder="1"/>
    <xf numFmtId="0" fontId="0" fillId="0" borderId="3" xfId="0" applyBorder="1"/>
    <xf numFmtId="0" fontId="0" fillId="0" borderId="7" xfId="0" applyBorder="1"/>
    <xf numFmtId="0" fontId="0" fillId="0" borderId="8" xfId="0" applyBorder="1"/>
    <xf numFmtId="0" fontId="0" fillId="0" borderId="0" xfId="0" applyBorder="1"/>
    <xf numFmtId="1" fontId="0" fillId="0" borderId="0" xfId="0" applyNumberFormat="1"/>
    <xf numFmtId="0" fontId="0" fillId="0" borderId="9" xfId="0" applyBorder="1"/>
    <xf numFmtId="0" fontId="0" fillId="0" borderId="10" xfId="0" applyBorder="1"/>
    <xf numFmtId="0" fontId="0" fillId="0" borderId="11" xfId="0" applyBorder="1"/>
    <xf numFmtId="0" fontId="0" fillId="0" borderId="12" xfId="0" applyBorder="1"/>
    <xf numFmtId="164" fontId="0" fillId="0" borderId="9" xfId="1" applyNumberFormat="1" applyFont="1" applyBorder="1"/>
    <xf numFmtId="164" fontId="0" fillId="0" borderId="10" xfId="1" applyNumberFormat="1" applyFont="1" applyBorder="1"/>
    <xf numFmtId="164" fontId="3" fillId="2" borderId="10" xfId="1" applyNumberFormat="1" applyFont="1" applyFill="1" applyBorder="1"/>
    <xf numFmtId="164" fontId="3" fillId="2" borderId="11" xfId="1" applyNumberFormat="1" applyFont="1" applyFill="1" applyBorder="1"/>
    <xf numFmtId="164" fontId="0" fillId="0" borderId="4" xfId="1" applyNumberFormat="1" applyFont="1" applyBorder="1"/>
    <xf numFmtId="164" fontId="0" fillId="0" borderId="5" xfId="1" applyNumberFormat="1" applyFont="1" applyBorder="1"/>
    <xf numFmtId="164" fontId="0" fillId="0" borderId="6" xfId="1" applyNumberFormat="1" applyFont="1" applyBorder="1"/>
    <xf numFmtId="164" fontId="3" fillId="3" borderId="5" xfId="1" applyNumberFormat="1" applyFont="1" applyFill="1" applyBorder="1"/>
    <xf numFmtId="164" fontId="3" fillId="3" borderId="6" xfId="1" applyNumberFormat="1" applyFont="1" applyFill="1" applyBorder="1"/>
    <xf numFmtId="0" fontId="3" fillId="0" borderId="13" xfId="0" applyFont="1" applyBorder="1" applyAlignment="1">
      <alignment horizontal="right"/>
    </xf>
    <xf numFmtId="0" fontId="0" fillId="0" borderId="14" xfId="0" applyBorder="1"/>
    <xf numFmtId="0" fontId="0" fillId="0" borderId="13" xfId="0" applyBorder="1"/>
    <xf numFmtId="0" fontId="3" fillId="0" borderId="1" xfId="0" applyFont="1" applyBorder="1" applyAlignment="1">
      <alignment horizontal="right"/>
    </xf>
    <xf numFmtId="0" fontId="0" fillId="0" borderId="2" xfId="0" applyFill="1" applyBorder="1"/>
    <xf numFmtId="0" fontId="3" fillId="0" borderId="9" xfId="0" applyFont="1" applyBorder="1" applyAlignment="1">
      <alignment horizontal="right"/>
    </xf>
    <xf numFmtId="0" fontId="3" fillId="0" borderId="0" xfId="0" applyFont="1" applyBorder="1" applyAlignment="1">
      <alignment horizontal="right"/>
    </xf>
    <xf numFmtId="0" fontId="0" fillId="3" borderId="3" xfId="0" applyFill="1" applyBorder="1"/>
    <xf numFmtId="0" fontId="0" fillId="5" borderId="3" xfId="0" applyFill="1" applyBorder="1"/>
    <xf numFmtId="0" fontId="0" fillId="3" borderId="18" xfId="0" applyFill="1" applyBorder="1"/>
    <xf numFmtId="0" fontId="0" fillId="5" borderId="18" xfId="0" applyFill="1" applyBorder="1"/>
    <xf numFmtId="0" fontId="4" fillId="0" borderId="7" xfId="0" applyFont="1" applyBorder="1" applyAlignment="1">
      <alignment vertical="top"/>
    </xf>
    <xf numFmtId="0" fontId="6" fillId="0" borderId="0" xfId="0" applyFont="1" applyBorder="1" applyAlignment="1">
      <alignment wrapText="1"/>
    </xf>
    <xf numFmtId="0" fontId="0" fillId="0" borderId="21" xfId="0" applyBorder="1"/>
    <xf numFmtId="0" fontId="0" fillId="0" borderId="21" xfId="0" applyBorder="1" applyAlignment="1"/>
    <xf numFmtId="165" fontId="0" fillId="0" borderId="21" xfId="0" applyNumberFormat="1" applyBorder="1" applyAlignment="1"/>
    <xf numFmtId="1" fontId="0" fillId="0" borderId="23" xfId="0" applyNumberFormat="1" applyBorder="1"/>
    <xf numFmtId="0" fontId="0" fillId="0" borderId="24" xfId="0" applyBorder="1"/>
    <xf numFmtId="0" fontId="0" fillId="0" borderId="24" xfId="0" applyBorder="1" applyAlignment="1"/>
    <xf numFmtId="165" fontId="0" fillId="0" borderId="24" xfId="0" applyNumberFormat="1" applyBorder="1" applyAlignment="1"/>
    <xf numFmtId="1" fontId="0" fillId="0" borderId="25" xfId="0" applyNumberFormat="1" applyBorder="1"/>
    <xf numFmtId="0" fontId="4" fillId="0" borderId="9" xfId="0" applyFont="1" applyFill="1" applyBorder="1" applyAlignment="1">
      <alignment vertical="top"/>
    </xf>
    <xf numFmtId="0" fontId="6" fillId="0" borderId="10" xfId="0" applyFont="1" applyFill="1" applyBorder="1" applyAlignment="1">
      <alignment wrapText="1"/>
    </xf>
    <xf numFmtId="1" fontId="0" fillId="0" borderId="26" xfId="0" applyNumberFormat="1" applyBorder="1"/>
    <xf numFmtId="1" fontId="0" fillId="0" borderId="10" xfId="0" applyNumberFormat="1" applyBorder="1"/>
    <xf numFmtId="0" fontId="0" fillId="0" borderId="26" xfId="0" applyBorder="1"/>
    <xf numFmtId="0" fontId="0" fillId="0" borderId="28" xfId="0" applyBorder="1"/>
    <xf numFmtId="0" fontId="7" fillId="6" borderId="0" xfId="0" applyFont="1" applyFill="1" applyBorder="1" applyAlignment="1">
      <alignment wrapText="1"/>
    </xf>
    <xf numFmtId="0" fontId="0" fillId="3" borderId="0" xfId="0" applyFill="1"/>
    <xf numFmtId="44" fontId="0" fillId="3" borderId="0" xfId="1" applyFont="1" applyFill="1"/>
    <xf numFmtId="0" fontId="6" fillId="0" borderId="29" xfId="0" applyFont="1" applyBorder="1"/>
    <xf numFmtId="0" fontId="0" fillId="0" borderId="30" xfId="0" applyBorder="1"/>
    <xf numFmtId="0" fontId="6" fillId="0" borderId="0" xfId="0" applyFont="1" applyAlignment="1"/>
    <xf numFmtId="0" fontId="0" fillId="0" borderId="29" xfId="0" applyBorder="1"/>
    <xf numFmtId="0" fontId="0" fillId="0" borderId="31" xfId="0" applyBorder="1"/>
    <xf numFmtId="0" fontId="0" fillId="0" borderId="32" xfId="0" applyBorder="1"/>
    <xf numFmtId="0" fontId="5" fillId="0" borderId="33" xfId="0" applyFont="1" applyBorder="1"/>
    <xf numFmtId="164" fontId="0" fillId="0" borderId="34" xfId="1" applyNumberFormat="1" applyFont="1" applyBorder="1"/>
    <xf numFmtId="164" fontId="0" fillId="0" borderId="35" xfId="1" applyNumberFormat="1" applyFont="1" applyBorder="1"/>
    <xf numFmtId="0" fontId="0" fillId="0" borderId="34" xfId="0" applyBorder="1"/>
    <xf numFmtId="0" fontId="5" fillId="0" borderId="36" xfId="0" applyFont="1" applyBorder="1"/>
    <xf numFmtId="0" fontId="8" fillId="0" borderId="10" xfId="0" applyFont="1" applyBorder="1"/>
    <xf numFmtId="0" fontId="6" fillId="0" borderId="10" xfId="0" applyFont="1" applyBorder="1"/>
    <xf numFmtId="0" fontId="5" fillId="0" borderId="10" xfId="0" applyFont="1" applyBorder="1"/>
    <xf numFmtId="0" fontId="9" fillId="0" borderId="0" xfId="0" applyFont="1" applyAlignment="1">
      <alignment horizontal="right"/>
    </xf>
    <xf numFmtId="0" fontId="0" fillId="0" borderId="0" xfId="0" quotePrefix="1" applyNumberFormat="1"/>
    <xf numFmtId="0" fontId="8" fillId="0" borderId="0" xfId="0" applyFont="1"/>
    <xf numFmtId="164" fontId="0" fillId="0" borderId="0" xfId="1" applyNumberFormat="1" applyFont="1"/>
    <xf numFmtId="164" fontId="0" fillId="0" borderId="0" xfId="0" applyNumberFormat="1"/>
    <xf numFmtId="44" fontId="0" fillId="0" borderId="0" xfId="0" applyNumberFormat="1"/>
    <xf numFmtId="0" fontId="0" fillId="0" borderId="0" xfId="0" quotePrefix="1"/>
    <xf numFmtId="0" fontId="0" fillId="3" borderId="0" xfId="0" quotePrefix="1" applyFill="1"/>
    <xf numFmtId="0" fontId="0" fillId="5" borderId="0" xfId="0" quotePrefix="1" applyFill="1"/>
    <xf numFmtId="0" fontId="0" fillId="5" borderId="0" xfId="0" applyFill="1"/>
    <xf numFmtId="0" fontId="2" fillId="5" borderId="0" xfId="0" applyFont="1" applyFill="1"/>
    <xf numFmtId="0" fontId="0" fillId="7" borderId="0" xfId="0" applyFill="1"/>
    <xf numFmtId="0" fontId="3" fillId="8" borderId="4" xfId="0" applyFont="1" applyFill="1" applyBorder="1"/>
    <xf numFmtId="0" fontId="3" fillId="8" borderId="5" xfId="0" applyFont="1" applyFill="1" applyBorder="1"/>
    <xf numFmtId="0" fontId="3" fillId="8" borderId="6" xfId="0" applyFont="1" applyFill="1" applyBorder="1"/>
    <xf numFmtId="0" fontId="2" fillId="7" borderId="0" xfId="0" applyFont="1" applyFill="1"/>
    <xf numFmtId="0" fontId="0" fillId="9" borderId="0" xfId="0" applyFill="1"/>
    <xf numFmtId="0" fontId="8" fillId="0" borderId="35" xfId="0" applyFont="1" applyBorder="1"/>
    <xf numFmtId="0" fontId="10" fillId="0" borderId="0" xfId="0" applyFont="1"/>
    <xf numFmtId="0" fontId="0" fillId="0" borderId="37" xfId="0" applyBorder="1"/>
    <xf numFmtId="0" fontId="0" fillId="0" borderId="37" xfId="0" applyBorder="1" applyAlignment="1">
      <alignment horizontal="center"/>
    </xf>
    <xf numFmtId="0" fontId="6" fillId="0" borderId="37" xfId="0" applyFont="1" applyBorder="1" applyAlignment="1">
      <alignment horizontal="center" wrapText="1"/>
    </xf>
    <xf numFmtId="0" fontId="6" fillId="0" borderId="0" xfId="0" applyFont="1" applyBorder="1" applyAlignment="1">
      <alignment horizontal="center"/>
    </xf>
    <xf numFmtId="0" fontId="6" fillId="0" borderId="8" xfId="0" applyFont="1" applyBorder="1" applyAlignment="1">
      <alignment horizontal="center"/>
    </xf>
    <xf numFmtId="0" fontId="6" fillId="0" borderId="10" xfId="0" applyFont="1" applyBorder="1" applyAlignment="1">
      <alignment horizontal="center" wrapText="1"/>
    </xf>
    <xf numFmtId="0" fontId="6" fillId="0" borderId="27" xfId="0" applyFont="1" applyBorder="1" applyAlignment="1">
      <alignment horizontal="center" wrapText="1"/>
    </xf>
    <xf numFmtId="0" fontId="5" fillId="0" borderId="1" xfId="0" applyFont="1" applyBorder="1" applyAlignment="1">
      <alignment horizontal="center" wrapText="1"/>
    </xf>
    <xf numFmtId="0" fontId="5" fillId="0" borderId="3" xfId="0" applyFont="1" applyBorder="1" applyAlignment="1">
      <alignment horizontal="center" wrapText="1"/>
    </xf>
    <xf numFmtId="0" fontId="5" fillId="0" borderId="2" xfId="0" applyFont="1" applyBorder="1" applyAlignment="1">
      <alignment horizontal="center" wrapText="1"/>
    </xf>
    <xf numFmtId="0" fontId="5" fillId="0" borderId="7" xfId="0" applyFont="1" applyBorder="1" applyAlignment="1">
      <alignment horizontal="center" wrapText="1"/>
    </xf>
    <xf numFmtId="0" fontId="5" fillId="0" borderId="0" xfId="0" applyFont="1" applyBorder="1" applyAlignment="1">
      <alignment horizontal="center" wrapText="1"/>
    </xf>
    <xf numFmtId="0" fontId="5" fillId="0" borderId="8" xfId="0" applyFont="1" applyBorder="1" applyAlignment="1">
      <alignment horizontal="center" wrapText="1"/>
    </xf>
    <xf numFmtId="0" fontId="6" fillId="0" borderId="22" xfId="0" applyFont="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4"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4" fillId="4" borderId="3"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5" fillId="0" borderId="15" xfId="0" applyFont="1" applyBorder="1" applyAlignment="1">
      <alignment horizontal="center" wrapText="1"/>
    </xf>
    <xf numFmtId="0" fontId="5" fillId="0" borderId="19" xfId="0" applyFont="1" applyBorder="1" applyAlignment="1">
      <alignment horizontal="center" wrapText="1"/>
    </xf>
    <xf numFmtId="0" fontId="5" fillId="0" borderId="18" xfId="0" applyFont="1" applyBorder="1" applyAlignment="1">
      <alignment horizontal="center" wrapText="1"/>
    </xf>
    <xf numFmtId="0" fontId="5" fillId="0" borderId="16" xfId="0" applyFont="1" applyBorder="1" applyAlignment="1">
      <alignment horizontal="center" wrapText="1"/>
    </xf>
    <xf numFmtId="0" fontId="5" fillId="0" borderId="20"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r>
              <a:rPr lang="en-US"/>
              <a:t>20 Year Pole Plan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endParaRPr lang="en-US"/>
        </a:p>
      </c:txPr>
    </c:title>
    <c:autoTitleDeleted val="0"/>
    <c:plotArea>
      <c:layout/>
      <c:lineChart>
        <c:grouping val="standard"/>
        <c:varyColors val="0"/>
        <c:ser>
          <c:idx val="0"/>
          <c:order val="0"/>
          <c:tx>
            <c:strRef>
              <c:f>'Pole replacement'!$I$19</c:f>
              <c:strCache>
                <c:ptCount val="1"/>
                <c:pt idx="0">
                  <c:v># of Poles</c:v>
                </c:pt>
              </c:strCache>
            </c:strRef>
          </c:tx>
          <c:spPr>
            <a:ln w="22225" cap="rnd" cmpd="sng" algn="ctr">
              <a:solidFill>
                <a:schemeClr val="accent1"/>
              </a:solidFill>
              <a:round/>
            </a:ln>
            <a:effectLst/>
          </c:spPr>
          <c:marker>
            <c:symbol val="none"/>
          </c:marker>
          <c:cat>
            <c:numRef>
              <c:f>'Pole replacement'!$F$20:$F$43</c:f>
              <c:numCache>
                <c:formatCode>General</c:formatCode>
                <c:ptCount val="24"/>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numCache>
            </c:numRef>
          </c:cat>
          <c:val>
            <c:numRef>
              <c:f>'Pole replacement'!$I$20:$I$43</c:f>
              <c:numCache>
                <c:formatCode>General</c:formatCode>
                <c:ptCount val="24"/>
                <c:pt idx="0">
                  <c:v>6</c:v>
                </c:pt>
                <c:pt idx="1">
                  <c:v>6</c:v>
                </c:pt>
                <c:pt idx="2">
                  <c:v>6</c:v>
                </c:pt>
                <c:pt idx="3">
                  <c:v>6</c:v>
                </c:pt>
                <c:pt idx="4">
                  <c:v>14</c:v>
                </c:pt>
                <c:pt idx="5">
                  <c:v>14</c:v>
                </c:pt>
                <c:pt idx="6">
                  <c:v>14</c:v>
                </c:pt>
                <c:pt idx="7">
                  <c:v>14</c:v>
                </c:pt>
                <c:pt idx="8">
                  <c:v>14</c:v>
                </c:pt>
                <c:pt idx="9">
                  <c:v>34</c:v>
                </c:pt>
                <c:pt idx="10">
                  <c:v>34</c:v>
                </c:pt>
                <c:pt idx="11">
                  <c:v>34</c:v>
                </c:pt>
                <c:pt idx="12">
                  <c:v>34</c:v>
                </c:pt>
                <c:pt idx="13">
                  <c:v>34</c:v>
                </c:pt>
                <c:pt idx="14">
                  <c:v>39</c:v>
                </c:pt>
                <c:pt idx="15">
                  <c:v>39</c:v>
                </c:pt>
                <c:pt idx="16">
                  <c:v>39</c:v>
                </c:pt>
                <c:pt idx="17">
                  <c:v>39</c:v>
                </c:pt>
                <c:pt idx="18">
                  <c:v>39</c:v>
                </c:pt>
                <c:pt idx="19">
                  <c:v>44</c:v>
                </c:pt>
                <c:pt idx="20">
                  <c:v>44</c:v>
                </c:pt>
                <c:pt idx="21">
                  <c:v>44</c:v>
                </c:pt>
                <c:pt idx="22">
                  <c:v>44</c:v>
                </c:pt>
                <c:pt idx="23">
                  <c:v>44</c:v>
                </c:pt>
              </c:numCache>
            </c:numRef>
          </c:val>
          <c:smooth val="0"/>
          <c:extLst>
            <c:ext xmlns:c16="http://schemas.microsoft.com/office/drawing/2014/chart" uri="{C3380CC4-5D6E-409C-BE32-E72D297353CC}">
              <c16:uniqueId val="{00000000-6959-4E37-AFDE-5C44A02D2A05}"/>
            </c:ext>
          </c:extLst>
        </c:ser>
        <c:ser>
          <c:idx val="1"/>
          <c:order val="1"/>
          <c:tx>
            <c:strRef>
              <c:f>'Pole replacement'!$H$19</c:f>
              <c:strCache>
                <c:ptCount val="1"/>
                <c:pt idx="0">
                  <c:v>Targetted poles</c:v>
                </c:pt>
              </c:strCache>
            </c:strRef>
          </c:tx>
          <c:spPr>
            <a:ln w="22225" cap="rnd" cmpd="sng" algn="ctr">
              <a:solidFill>
                <a:schemeClr val="accent2"/>
              </a:solidFill>
              <a:round/>
            </a:ln>
            <a:effectLst/>
          </c:spPr>
          <c:marker>
            <c:symbol val="none"/>
          </c:marker>
          <c:val>
            <c:numRef>
              <c:f>'Pole replacement'!$H$20:$H$43</c:f>
              <c:numCache>
                <c:formatCode>General</c:formatCode>
                <c:ptCount val="24"/>
                <c:pt idx="0">
                  <c:v>0</c:v>
                </c:pt>
                <c:pt idx="1">
                  <c:v>0</c:v>
                </c:pt>
                <c:pt idx="2">
                  <c:v>0</c:v>
                </c:pt>
                <c:pt idx="3">
                  <c:v>0</c:v>
                </c:pt>
                <c:pt idx="4">
                  <c:v>8</c:v>
                </c:pt>
                <c:pt idx="5">
                  <c:v>8</c:v>
                </c:pt>
                <c:pt idx="6">
                  <c:v>8</c:v>
                </c:pt>
                <c:pt idx="7">
                  <c:v>8</c:v>
                </c:pt>
                <c:pt idx="8">
                  <c:v>8</c:v>
                </c:pt>
                <c:pt idx="9">
                  <c:v>28</c:v>
                </c:pt>
                <c:pt idx="10">
                  <c:v>28</c:v>
                </c:pt>
                <c:pt idx="11">
                  <c:v>28</c:v>
                </c:pt>
                <c:pt idx="12">
                  <c:v>28</c:v>
                </c:pt>
                <c:pt idx="13">
                  <c:v>28</c:v>
                </c:pt>
                <c:pt idx="14">
                  <c:v>33</c:v>
                </c:pt>
                <c:pt idx="15">
                  <c:v>33</c:v>
                </c:pt>
                <c:pt idx="16">
                  <c:v>33</c:v>
                </c:pt>
                <c:pt idx="17">
                  <c:v>33</c:v>
                </c:pt>
                <c:pt idx="18">
                  <c:v>33</c:v>
                </c:pt>
                <c:pt idx="19">
                  <c:v>38</c:v>
                </c:pt>
                <c:pt idx="20">
                  <c:v>38</c:v>
                </c:pt>
                <c:pt idx="21">
                  <c:v>38</c:v>
                </c:pt>
                <c:pt idx="22">
                  <c:v>38</c:v>
                </c:pt>
                <c:pt idx="23">
                  <c:v>38</c:v>
                </c:pt>
              </c:numCache>
            </c:numRef>
          </c:val>
          <c:smooth val="0"/>
          <c:extLst>
            <c:ext xmlns:c16="http://schemas.microsoft.com/office/drawing/2014/chart" uri="{C3380CC4-5D6E-409C-BE32-E72D297353CC}">
              <c16:uniqueId val="{00000001-6959-4E37-AFDE-5C44A02D2A05}"/>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562091320"/>
        <c:axId val="562094272"/>
      </c:lineChart>
      <c:catAx>
        <c:axId val="56209132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800" b="0" i="0" u="none" strike="noStrike" kern="1200" spc="20" baseline="0">
                <a:solidFill>
                  <a:schemeClr val="dk1">
                    <a:lumMod val="65000"/>
                    <a:lumOff val="35000"/>
                  </a:schemeClr>
                </a:solidFill>
                <a:latin typeface="+mn-lt"/>
                <a:ea typeface="+mn-ea"/>
                <a:cs typeface="+mn-cs"/>
              </a:defRPr>
            </a:pPr>
            <a:endParaRPr lang="en-US"/>
          </a:p>
        </c:txPr>
        <c:crossAx val="562094272"/>
        <c:crosses val="autoZero"/>
        <c:auto val="1"/>
        <c:lblAlgn val="ctr"/>
        <c:lblOffset val="100"/>
        <c:noMultiLvlLbl val="0"/>
      </c:catAx>
      <c:valAx>
        <c:axId val="56209427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562091320"/>
        <c:crosses val="autoZero"/>
        <c:crossBetween val="between"/>
      </c:valAx>
      <c:spPr>
        <a:gradFill>
          <a:gsLst>
            <a:gs pos="100000">
              <a:schemeClr val="lt1">
                <a:lumMod val="95000"/>
              </a:schemeClr>
            </a:gs>
            <a:gs pos="0">
              <a:schemeClr val="lt1"/>
            </a:gs>
          </a:gsLst>
          <a:lin ang="5400000" scaled="0"/>
        </a:gra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CA"/>
              <a:t>20 year Cost Stream</a:t>
            </a:r>
          </a:p>
        </c:rich>
      </c:tx>
      <c:layout>
        <c:manualLayout>
          <c:xMode val="edge"/>
          <c:yMode val="edge"/>
          <c:x val="0.4011596675415573"/>
          <c:y val="2.777777777777777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stacked"/>
        <c:varyColors val="0"/>
        <c:ser>
          <c:idx val="2"/>
          <c:order val="0"/>
          <c:tx>
            <c:strRef>
              <c:f>'Pole replacement'!$K$19</c:f>
              <c:strCache>
                <c:ptCount val="1"/>
                <c:pt idx="0">
                  <c:v>Pole ($)</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numRef>
              <c:f>'Pole replacement'!$F$20:$F$43</c:f>
              <c:numCache>
                <c:formatCode>General</c:formatCode>
                <c:ptCount val="24"/>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numCache>
            </c:numRef>
          </c:cat>
          <c:val>
            <c:numRef>
              <c:f>'Pole replacement'!$K$20:$K$43</c:f>
              <c:numCache>
                <c:formatCode>_-"$"* #,##0_-;\-"$"* #,##0_-;_-"$"* "-"??_-;_-@_-</c:formatCode>
                <c:ptCount val="24"/>
                <c:pt idx="0">
                  <c:v>12000</c:v>
                </c:pt>
                <c:pt idx="1">
                  <c:v>12000</c:v>
                </c:pt>
                <c:pt idx="2">
                  <c:v>12000</c:v>
                </c:pt>
                <c:pt idx="3">
                  <c:v>12000</c:v>
                </c:pt>
                <c:pt idx="4">
                  <c:v>76000</c:v>
                </c:pt>
                <c:pt idx="5">
                  <c:v>76000</c:v>
                </c:pt>
                <c:pt idx="6">
                  <c:v>76000</c:v>
                </c:pt>
                <c:pt idx="7">
                  <c:v>76000</c:v>
                </c:pt>
                <c:pt idx="8">
                  <c:v>76000</c:v>
                </c:pt>
                <c:pt idx="9">
                  <c:v>116000</c:v>
                </c:pt>
                <c:pt idx="10">
                  <c:v>116000</c:v>
                </c:pt>
                <c:pt idx="11">
                  <c:v>116000</c:v>
                </c:pt>
                <c:pt idx="12">
                  <c:v>116000</c:v>
                </c:pt>
                <c:pt idx="13">
                  <c:v>116000</c:v>
                </c:pt>
                <c:pt idx="14">
                  <c:v>126000</c:v>
                </c:pt>
                <c:pt idx="15">
                  <c:v>126000</c:v>
                </c:pt>
                <c:pt idx="16">
                  <c:v>126000</c:v>
                </c:pt>
                <c:pt idx="17">
                  <c:v>126000</c:v>
                </c:pt>
                <c:pt idx="18">
                  <c:v>126000</c:v>
                </c:pt>
                <c:pt idx="19">
                  <c:v>136000</c:v>
                </c:pt>
                <c:pt idx="20">
                  <c:v>136000</c:v>
                </c:pt>
                <c:pt idx="21">
                  <c:v>136000</c:v>
                </c:pt>
                <c:pt idx="22">
                  <c:v>136000</c:v>
                </c:pt>
                <c:pt idx="23">
                  <c:v>136000</c:v>
                </c:pt>
              </c:numCache>
            </c:numRef>
          </c:val>
          <c:extLst>
            <c:ext xmlns:c16="http://schemas.microsoft.com/office/drawing/2014/chart" uri="{C3380CC4-5D6E-409C-BE32-E72D297353CC}">
              <c16:uniqueId val="{00000000-C32A-416F-9779-6A57C64AC663}"/>
            </c:ext>
          </c:extLst>
        </c:ser>
        <c:ser>
          <c:idx val="3"/>
          <c:order val="1"/>
          <c:tx>
            <c:strRef>
              <c:f>'Pole replacement'!$L$19</c:f>
              <c:strCache>
                <c:ptCount val="1"/>
                <c:pt idx="0">
                  <c:v>Cable ($)</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numRef>
              <c:f>'Pole replacement'!$F$20:$F$43</c:f>
              <c:numCache>
                <c:formatCode>General</c:formatCode>
                <c:ptCount val="24"/>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numCache>
            </c:numRef>
          </c:cat>
          <c:val>
            <c:numRef>
              <c:f>'Pole replacement'!$L$20:$L$43</c:f>
              <c:numCache>
                <c:formatCode>_-"$"* #,##0_-;\-"$"* #,##0_-;_-"$"* "-"??_-;_-@_-</c:formatCode>
                <c:ptCount val="24"/>
                <c:pt idx="0">
                  <c:v>0</c:v>
                </c:pt>
                <c:pt idx="1">
                  <c:v>0</c:v>
                </c:pt>
                <c:pt idx="2">
                  <c:v>0</c:v>
                </c:pt>
                <c:pt idx="3">
                  <c:v>0</c:v>
                </c:pt>
                <c:pt idx="4">
                  <c:v>0</c:v>
                </c:pt>
                <c:pt idx="5">
                  <c:v>0</c:v>
                </c:pt>
                <c:pt idx="6">
                  <c:v>0</c:v>
                </c:pt>
                <c:pt idx="7">
                  <c:v>0</c:v>
                </c:pt>
                <c:pt idx="8">
                  <c:v>0</c:v>
                </c:pt>
                <c:pt idx="9">
                  <c:v>0</c:v>
                </c:pt>
                <c:pt idx="10">
                  <c:v>0</c:v>
                </c:pt>
                <c:pt idx="11">
                  <c:v>11530.000000000002</c:v>
                </c:pt>
                <c:pt idx="12">
                  <c:v>46120.000000000007</c:v>
                </c:pt>
                <c:pt idx="13">
                  <c:v>0</c:v>
                </c:pt>
                <c:pt idx="14">
                  <c:v>0</c:v>
                </c:pt>
                <c:pt idx="15">
                  <c:v>0</c:v>
                </c:pt>
                <c:pt idx="16">
                  <c:v>40500</c:v>
                </c:pt>
                <c:pt idx="17">
                  <c:v>162000</c:v>
                </c:pt>
                <c:pt idx="18">
                  <c:v>0</c:v>
                </c:pt>
                <c:pt idx="19">
                  <c:v>0</c:v>
                </c:pt>
                <c:pt idx="20">
                  <c:v>34550</c:v>
                </c:pt>
                <c:pt idx="21">
                  <c:v>34550</c:v>
                </c:pt>
                <c:pt idx="22">
                  <c:v>0</c:v>
                </c:pt>
                <c:pt idx="23">
                  <c:v>0</c:v>
                </c:pt>
              </c:numCache>
            </c:numRef>
          </c:val>
          <c:extLst>
            <c:ext xmlns:c16="http://schemas.microsoft.com/office/drawing/2014/chart" uri="{C3380CC4-5D6E-409C-BE32-E72D297353CC}">
              <c16:uniqueId val="{00000001-C32A-416F-9779-6A57C64AC663}"/>
            </c:ext>
          </c:extLst>
        </c:ser>
        <c:ser>
          <c:idx val="0"/>
          <c:order val="2"/>
          <c:tx>
            <c:strRef>
              <c:f>'Pole replacement'!$M$19</c:f>
              <c:strCache>
                <c:ptCount val="1"/>
                <c:pt idx="0">
                  <c:v>Tx ($)</c:v>
                </c:pt>
              </c:strCache>
            </c:strRef>
          </c:tx>
          <c:spPr>
            <a:solidFill>
              <a:schemeClr val="accent6">
                <a:lumMod val="40000"/>
                <a:lumOff val="60000"/>
              </a:schemeClr>
            </a:solidFill>
            <a:ln w="9525" cap="flat" cmpd="sng" algn="ctr">
              <a:solidFill>
                <a:schemeClr val="accent6">
                  <a:lumMod val="60000"/>
                  <a:lumOff val="40000"/>
                </a:schemeClr>
              </a:solidFill>
              <a:round/>
            </a:ln>
            <a:effectLst/>
          </c:spPr>
          <c:invertIfNegative val="0"/>
          <c:cat>
            <c:numRef>
              <c:f>'Pole replacement'!$F$20:$F$43</c:f>
              <c:numCache>
                <c:formatCode>General</c:formatCode>
                <c:ptCount val="24"/>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numCache>
            </c:numRef>
          </c:cat>
          <c:val>
            <c:numRef>
              <c:f>'Pole replacement'!$M$20:$M$43</c:f>
              <c:numCache>
                <c:formatCode>_-"$"* #,##0_-;\-"$"* #,##0_-;_-"$"* "-"??_-;_-@_-</c:formatCode>
                <c:ptCount val="24"/>
                <c:pt idx="0">
                  <c:v>2000</c:v>
                </c:pt>
                <c:pt idx="1">
                  <c:v>2000</c:v>
                </c:pt>
                <c:pt idx="2">
                  <c:v>2000</c:v>
                </c:pt>
                <c:pt idx="3">
                  <c:v>2000</c:v>
                </c:pt>
                <c:pt idx="4">
                  <c:v>4666.666666666667</c:v>
                </c:pt>
                <c:pt idx="5">
                  <c:v>4666.666666666667</c:v>
                </c:pt>
                <c:pt idx="6">
                  <c:v>4666.666666666667</c:v>
                </c:pt>
                <c:pt idx="7">
                  <c:v>4666.666666666667</c:v>
                </c:pt>
                <c:pt idx="8">
                  <c:v>4666.666666666667</c:v>
                </c:pt>
                <c:pt idx="9">
                  <c:v>11333.333333333334</c:v>
                </c:pt>
                <c:pt idx="10">
                  <c:v>11333.333333333334</c:v>
                </c:pt>
                <c:pt idx="11">
                  <c:v>11333.333333333334</c:v>
                </c:pt>
                <c:pt idx="12">
                  <c:v>11333.333333333334</c:v>
                </c:pt>
                <c:pt idx="13">
                  <c:v>11333.333333333334</c:v>
                </c:pt>
                <c:pt idx="14">
                  <c:v>13000</c:v>
                </c:pt>
                <c:pt idx="15">
                  <c:v>13000</c:v>
                </c:pt>
                <c:pt idx="16">
                  <c:v>13000</c:v>
                </c:pt>
                <c:pt idx="17">
                  <c:v>13000</c:v>
                </c:pt>
                <c:pt idx="18">
                  <c:v>13000</c:v>
                </c:pt>
                <c:pt idx="19">
                  <c:v>14666.666666666666</c:v>
                </c:pt>
                <c:pt idx="20">
                  <c:v>14666.666666666666</c:v>
                </c:pt>
                <c:pt idx="21">
                  <c:v>14666.666666666666</c:v>
                </c:pt>
                <c:pt idx="22">
                  <c:v>14666.666666666666</c:v>
                </c:pt>
                <c:pt idx="23">
                  <c:v>14666.666666666666</c:v>
                </c:pt>
              </c:numCache>
            </c:numRef>
          </c:val>
          <c:extLst>
            <c:ext xmlns:c16="http://schemas.microsoft.com/office/drawing/2014/chart" uri="{C3380CC4-5D6E-409C-BE32-E72D297353CC}">
              <c16:uniqueId val="{00000002-C32A-416F-9779-6A57C64AC663}"/>
            </c:ext>
          </c:extLst>
        </c:ser>
        <c:ser>
          <c:idx val="4"/>
          <c:order val="3"/>
          <c:tx>
            <c:strRef>
              <c:f>'Pole replacement'!$N$19</c:f>
              <c:strCache>
                <c:ptCount val="1"/>
                <c:pt idx="0">
                  <c:v>Station ($)</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cat>
            <c:numRef>
              <c:f>'Pole replacement'!$F$20:$F$43</c:f>
              <c:numCache>
                <c:formatCode>General</c:formatCode>
                <c:ptCount val="24"/>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numCache>
            </c:numRef>
          </c:cat>
          <c:val>
            <c:numRef>
              <c:f>'Pole replacement'!$N$20:$N$43</c:f>
              <c:numCache>
                <c:formatCode>_-"$"* #,##0_-;\-"$"* #,##0_-;_-"$"* "-"??_-;_-@_-</c:formatCode>
                <c:ptCount val="24"/>
                <c:pt idx="11">
                  <c:v>750000</c:v>
                </c:pt>
                <c:pt idx="16">
                  <c:v>750000</c:v>
                </c:pt>
              </c:numCache>
            </c:numRef>
          </c:val>
          <c:extLst>
            <c:ext xmlns:c16="http://schemas.microsoft.com/office/drawing/2014/chart" uri="{C3380CC4-5D6E-409C-BE32-E72D297353CC}">
              <c16:uniqueId val="{00000003-C32A-416F-9779-6A57C64AC663}"/>
            </c:ext>
          </c:extLst>
        </c:ser>
        <c:dLbls>
          <c:showLegendKey val="0"/>
          <c:showVal val="0"/>
          <c:showCatName val="0"/>
          <c:showSerName val="0"/>
          <c:showPercent val="0"/>
          <c:showBubbleSize val="0"/>
        </c:dLbls>
        <c:gapWidth val="150"/>
        <c:overlap val="100"/>
        <c:axId val="340992328"/>
        <c:axId val="340993640"/>
      </c:barChart>
      <c:lineChart>
        <c:grouping val="standard"/>
        <c:varyColors val="0"/>
        <c:ser>
          <c:idx val="5"/>
          <c:order val="4"/>
          <c:tx>
            <c:strRef>
              <c:f>'Pole replacement'!$O$19</c:f>
              <c:strCache>
                <c:ptCount val="1"/>
                <c:pt idx="0">
                  <c:v>Total ($)</c:v>
                </c:pt>
              </c:strCache>
            </c:strRef>
          </c:tx>
          <c:spPr>
            <a:ln w="15875" cap="rnd">
              <a:solidFill>
                <a:schemeClr val="accent6"/>
              </a:solidFill>
              <a:round/>
            </a:ln>
            <a:effectLst/>
          </c:spPr>
          <c:marker>
            <c:symbol val="none"/>
          </c:marker>
          <c:cat>
            <c:numRef>
              <c:f>'Pole replacement'!$F$20:$F$43</c:f>
              <c:numCache>
                <c:formatCode>General</c:formatCode>
                <c:ptCount val="24"/>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numCache>
            </c:numRef>
          </c:cat>
          <c:val>
            <c:numRef>
              <c:f>'Pole replacement'!$O$20:$O$43</c:f>
              <c:numCache>
                <c:formatCode>_-"$"* #,##0_-;\-"$"* #,##0_-;_-"$"* "-"??_-;_-@_-</c:formatCode>
                <c:ptCount val="24"/>
                <c:pt idx="0">
                  <c:v>14000</c:v>
                </c:pt>
                <c:pt idx="1">
                  <c:v>14000</c:v>
                </c:pt>
                <c:pt idx="2">
                  <c:v>14000</c:v>
                </c:pt>
                <c:pt idx="3">
                  <c:v>14000</c:v>
                </c:pt>
                <c:pt idx="4">
                  <c:v>80666.666666666672</c:v>
                </c:pt>
                <c:pt idx="5">
                  <c:v>80666.666666666672</c:v>
                </c:pt>
                <c:pt idx="6">
                  <c:v>80666.666666666672</c:v>
                </c:pt>
                <c:pt idx="7">
                  <c:v>80666.666666666672</c:v>
                </c:pt>
                <c:pt idx="8">
                  <c:v>80666.666666666672</c:v>
                </c:pt>
                <c:pt idx="9">
                  <c:v>127333.33333333333</c:v>
                </c:pt>
                <c:pt idx="10">
                  <c:v>127333.33333333333</c:v>
                </c:pt>
                <c:pt idx="11">
                  <c:v>888863.33333333337</c:v>
                </c:pt>
                <c:pt idx="12">
                  <c:v>173453.33333333334</c:v>
                </c:pt>
                <c:pt idx="13">
                  <c:v>127333.33333333333</c:v>
                </c:pt>
                <c:pt idx="14">
                  <c:v>139000</c:v>
                </c:pt>
                <c:pt idx="15">
                  <c:v>139000</c:v>
                </c:pt>
                <c:pt idx="16">
                  <c:v>929500</c:v>
                </c:pt>
                <c:pt idx="17">
                  <c:v>301000</c:v>
                </c:pt>
                <c:pt idx="18">
                  <c:v>139000</c:v>
                </c:pt>
                <c:pt idx="19">
                  <c:v>150666.66666666666</c:v>
                </c:pt>
                <c:pt idx="20">
                  <c:v>185216.66666666666</c:v>
                </c:pt>
                <c:pt idx="21">
                  <c:v>185216.66666666666</c:v>
                </c:pt>
                <c:pt idx="22">
                  <c:v>150666.66666666666</c:v>
                </c:pt>
                <c:pt idx="23">
                  <c:v>150666.66666666666</c:v>
                </c:pt>
              </c:numCache>
            </c:numRef>
          </c:val>
          <c:smooth val="0"/>
          <c:extLst>
            <c:ext xmlns:c16="http://schemas.microsoft.com/office/drawing/2014/chart" uri="{C3380CC4-5D6E-409C-BE32-E72D297353CC}">
              <c16:uniqueId val="{00000004-C32A-416F-9779-6A57C64AC663}"/>
            </c:ext>
          </c:extLst>
        </c:ser>
        <c:ser>
          <c:idx val="1"/>
          <c:order val="5"/>
          <c:tx>
            <c:strRef>
              <c:f>'Pole replacement'!$P$19</c:f>
              <c:strCache>
                <c:ptCount val="1"/>
                <c:pt idx="0">
                  <c:v>Average</c:v>
                </c:pt>
              </c:strCache>
            </c:strRef>
          </c:tx>
          <c:spPr>
            <a:ln w="15875" cap="rnd">
              <a:solidFill>
                <a:schemeClr val="accent2"/>
              </a:solidFill>
              <a:round/>
            </a:ln>
            <a:effectLst/>
          </c:spPr>
          <c:marker>
            <c:symbol val="none"/>
          </c:marker>
          <c:cat>
            <c:numRef>
              <c:f>'Pole replacement'!$F$20:$F$43</c:f>
              <c:numCache>
                <c:formatCode>General</c:formatCode>
                <c:ptCount val="24"/>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numCache>
            </c:numRef>
          </c:cat>
          <c:val>
            <c:numRef>
              <c:f>'Pole replacement'!$P$20:$P$43</c:f>
              <c:numCache>
                <c:formatCode>_("$"* #,##0.00_);_("$"* \(#,##0.00\);_("$"* "-"??_);_(@_)</c:formatCode>
                <c:ptCount val="24"/>
                <c:pt idx="4">
                  <c:v>218679.16666666666</c:v>
                </c:pt>
                <c:pt idx="5">
                  <c:v>218679.16666666666</c:v>
                </c:pt>
                <c:pt idx="6">
                  <c:v>218679.16666666666</c:v>
                </c:pt>
                <c:pt idx="7">
                  <c:v>218679.16666666666</c:v>
                </c:pt>
                <c:pt idx="8">
                  <c:v>218679.16666666666</c:v>
                </c:pt>
                <c:pt idx="9">
                  <c:v>218679.16666666666</c:v>
                </c:pt>
                <c:pt idx="10">
                  <c:v>218679.16666666666</c:v>
                </c:pt>
                <c:pt idx="11">
                  <c:v>218679.16666666666</c:v>
                </c:pt>
                <c:pt idx="12">
                  <c:v>218679.16666666666</c:v>
                </c:pt>
                <c:pt idx="13">
                  <c:v>218679.16666666666</c:v>
                </c:pt>
                <c:pt idx="14">
                  <c:v>218679.16666666666</c:v>
                </c:pt>
                <c:pt idx="15">
                  <c:v>218679.16666666666</c:v>
                </c:pt>
                <c:pt idx="16">
                  <c:v>218679.16666666666</c:v>
                </c:pt>
                <c:pt idx="17">
                  <c:v>218679.16666666666</c:v>
                </c:pt>
                <c:pt idx="18">
                  <c:v>218679.16666666666</c:v>
                </c:pt>
                <c:pt idx="19">
                  <c:v>218679.16666666666</c:v>
                </c:pt>
                <c:pt idx="20">
                  <c:v>218679.16666666666</c:v>
                </c:pt>
                <c:pt idx="21">
                  <c:v>218679.16666666666</c:v>
                </c:pt>
                <c:pt idx="22">
                  <c:v>218679.16666666666</c:v>
                </c:pt>
                <c:pt idx="23">
                  <c:v>218679.16666666666</c:v>
                </c:pt>
              </c:numCache>
            </c:numRef>
          </c:val>
          <c:smooth val="0"/>
          <c:extLst>
            <c:ext xmlns:c16="http://schemas.microsoft.com/office/drawing/2014/chart" uri="{C3380CC4-5D6E-409C-BE32-E72D297353CC}">
              <c16:uniqueId val="{00000005-C32A-416F-9779-6A57C64AC663}"/>
            </c:ext>
          </c:extLst>
        </c:ser>
        <c:dLbls>
          <c:showLegendKey val="0"/>
          <c:showVal val="0"/>
          <c:showCatName val="0"/>
          <c:showSerName val="0"/>
          <c:showPercent val="0"/>
          <c:showBubbleSize val="0"/>
        </c:dLbls>
        <c:marker val="1"/>
        <c:smooth val="0"/>
        <c:axId val="340992328"/>
        <c:axId val="340993640"/>
      </c:lineChart>
      <c:catAx>
        <c:axId val="3409923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n-US"/>
          </a:p>
        </c:txPr>
        <c:crossAx val="340993640"/>
        <c:crosses val="autoZero"/>
        <c:auto val="1"/>
        <c:lblAlgn val="ctr"/>
        <c:lblOffset val="100"/>
        <c:noMultiLvlLbl val="0"/>
      </c:catAx>
      <c:valAx>
        <c:axId val="34099364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40992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20</xdr:col>
      <xdr:colOff>0</xdr:colOff>
      <xdr:row>19</xdr:row>
      <xdr:rowOff>0</xdr:rowOff>
    </xdr:from>
    <xdr:to>
      <xdr:col>31</xdr:col>
      <xdr:colOff>76200</xdr:colOff>
      <xdr:row>34</xdr:row>
      <xdr:rowOff>171450</xdr:rowOff>
    </xdr:to>
    <xdr:grpSp>
      <xdr:nvGrpSpPr>
        <xdr:cNvPr id="2" name="Group 1">
          <a:extLst>
            <a:ext uri="{FF2B5EF4-FFF2-40B4-BE49-F238E27FC236}">
              <a16:creationId xmlns:a16="http://schemas.microsoft.com/office/drawing/2014/main" id="{A4FE42DB-F8F6-43F6-ADDE-F9A7579F9938}"/>
            </a:ext>
          </a:extLst>
        </xdr:cNvPr>
        <xdr:cNvGrpSpPr/>
      </xdr:nvGrpSpPr>
      <xdr:grpSpPr>
        <a:xfrm>
          <a:off x="14791765" y="4235824"/>
          <a:ext cx="6732494" cy="3051361"/>
          <a:chOff x="14354175" y="3714750"/>
          <a:chExt cx="6781800" cy="3048000"/>
        </a:xfrm>
      </xdr:grpSpPr>
      <xdr:graphicFrame macro="">
        <xdr:nvGraphicFramePr>
          <xdr:cNvPr id="3" name="Chart 2">
            <a:extLst>
              <a:ext uri="{FF2B5EF4-FFF2-40B4-BE49-F238E27FC236}">
                <a16:creationId xmlns:a16="http://schemas.microsoft.com/office/drawing/2014/main" id="{9F04EA69-E45F-435D-98FF-0B1A633DC6B9}"/>
              </a:ext>
            </a:extLst>
          </xdr:cNvPr>
          <xdr:cNvGraphicFramePr>
            <a:graphicFrameLocks/>
          </xdr:cNvGraphicFramePr>
        </xdr:nvGraphicFramePr>
        <xdr:xfrm>
          <a:off x="14354175" y="3714750"/>
          <a:ext cx="6781800" cy="304800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Straight Connector 3">
            <a:extLst>
              <a:ext uri="{FF2B5EF4-FFF2-40B4-BE49-F238E27FC236}">
                <a16:creationId xmlns:a16="http://schemas.microsoft.com/office/drawing/2014/main" id="{5AA626C7-5460-4816-BCB0-B6FF6F85F736}"/>
              </a:ext>
            </a:extLst>
          </xdr:cNvPr>
          <xdr:cNvCxnSpPr/>
        </xdr:nvCxnSpPr>
        <xdr:spPr>
          <a:xfrm>
            <a:off x="17706975" y="4181475"/>
            <a:ext cx="1" cy="2000250"/>
          </a:xfrm>
          <a:prstGeom prst="line">
            <a:avLst/>
          </a:prstGeom>
        </xdr:spPr>
        <xdr:style>
          <a:lnRef idx="3">
            <a:schemeClr val="accent1"/>
          </a:lnRef>
          <a:fillRef idx="0">
            <a:schemeClr val="accent1"/>
          </a:fillRef>
          <a:effectRef idx="2">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B4476584-E0BB-41EC-8D0A-7056A39B030B}"/>
              </a:ext>
            </a:extLst>
          </xdr:cNvPr>
          <xdr:cNvCxnSpPr/>
        </xdr:nvCxnSpPr>
        <xdr:spPr>
          <a:xfrm>
            <a:off x="19011900" y="4152900"/>
            <a:ext cx="1" cy="2038350"/>
          </a:xfrm>
          <a:prstGeom prst="line">
            <a:avLst/>
          </a:prstGeom>
        </xdr:spPr>
        <xdr:style>
          <a:lnRef idx="3">
            <a:schemeClr val="accent1"/>
          </a:lnRef>
          <a:fillRef idx="0">
            <a:schemeClr val="accent1"/>
          </a:fillRef>
          <a:effectRef idx="2">
            <a:schemeClr val="accent1"/>
          </a:effectRef>
          <a:fontRef idx="minor">
            <a:schemeClr val="tx1"/>
          </a:fontRef>
        </xdr:style>
      </xdr:cxnSp>
      <xdr:sp macro="" textlink="">
        <xdr:nvSpPr>
          <xdr:cNvPr id="6" name="TextBox 5">
            <a:extLst>
              <a:ext uri="{FF2B5EF4-FFF2-40B4-BE49-F238E27FC236}">
                <a16:creationId xmlns:a16="http://schemas.microsoft.com/office/drawing/2014/main" id="{DD2BC77B-0838-4CDC-84B8-E9FFD77E0613}"/>
              </a:ext>
            </a:extLst>
          </xdr:cNvPr>
          <xdr:cNvSpPr txBox="1"/>
        </xdr:nvSpPr>
        <xdr:spPr>
          <a:xfrm>
            <a:off x="17726025" y="4114800"/>
            <a:ext cx="1285875"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100"/>
              <a:t>2nd</a:t>
            </a:r>
            <a:r>
              <a:rPr lang="en-CA" sz="1100" baseline="0"/>
              <a:t> Transformer Replaced</a:t>
            </a:r>
            <a:endParaRPr lang="en-CA" sz="1100"/>
          </a:p>
        </xdr:txBody>
      </xdr:sp>
      <xdr:sp macro="" textlink="">
        <xdr:nvSpPr>
          <xdr:cNvPr id="7" name="TextBox 6">
            <a:extLst>
              <a:ext uri="{FF2B5EF4-FFF2-40B4-BE49-F238E27FC236}">
                <a16:creationId xmlns:a16="http://schemas.microsoft.com/office/drawing/2014/main" id="{1918DAC1-7663-4C2A-9187-40979123939E}"/>
              </a:ext>
            </a:extLst>
          </xdr:cNvPr>
          <xdr:cNvSpPr txBox="1"/>
        </xdr:nvSpPr>
        <xdr:spPr>
          <a:xfrm>
            <a:off x="16421100" y="4114800"/>
            <a:ext cx="1285875"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100"/>
              <a:t>1st </a:t>
            </a:r>
            <a:r>
              <a:rPr lang="en-CA" sz="1100" baseline="0"/>
              <a:t>Transformer Replaced</a:t>
            </a:r>
            <a:endParaRPr lang="en-CA" sz="1100"/>
          </a:p>
        </xdr:txBody>
      </xdr:sp>
    </xdr:grpSp>
    <xdr:clientData/>
  </xdr:twoCellAnchor>
  <xdr:twoCellAnchor>
    <xdr:from>
      <xdr:col>20</xdr:col>
      <xdr:colOff>0</xdr:colOff>
      <xdr:row>35</xdr:row>
      <xdr:rowOff>28575</xdr:rowOff>
    </xdr:from>
    <xdr:to>
      <xdr:col>31</xdr:col>
      <xdr:colOff>85726</xdr:colOff>
      <xdr:row>50</xdr:row>
      <xdr:rowOff>152400</xdr:rowOff>
    </xdr:to>
    <xdr:graphicFrame macro="">
      <xdr:nvGraphicFramePr>
        <xdr:cNvPr id="8" name="Chart 7">
          <a:extLst>
            <a:ext uri="{FF2B5EF4-FFF2-40B4-BE49-F238E27FC236}">
              <a16:creationId xmlns:a16="http://schemas.microsoft.com/office/drawing/2014/main" id="{8AE861E8-4D2B-4F05-8F20-65376FA41A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31</xdr:col>
      <xdr:colOff>342900</xdr:colOff>
      <xdr:row>19</xdr:row>
      <xdr:rowOff>19048</xdr:rowOff>
    </xdr:from>
    <xdr:to>
      <xdr:col>39</xdr:col>
      <xdr:colOff>142875</xdr:colOff>
      <xdr:row>50</xdr:row>
      <xdr:rowOff>180974</xdr:rowOff>
    </xdr:to>
    <xdr:sp macro="" textlink="">
      <xdr:nvSpPr>
        <xdr:cNvPr id="9" name="TextBox 8">
          <a:extLst>
            <a:ext uri="{FF2B5EF4-FFF2-40B4-BE49-F238E27FC236}">
              <a16:creationId xmlns:a16="http://schemas.microsoft.com/office/drawing/2014/main" id="{9699FD48-C9A8-453B-86CB-D4A2F044AECD}"/>
            </a:ext>
          </a:extLst>
        </xdr:cNvPr>
        <xdr:cNvSpPr txBox="1"/>
      </xdr:nvSpPr>
      <xdr:spPr>
        <a:xfrm>
          <a:off x="21878925" y="4229098"/>
          <a:ext cx="4676775" cy="6115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t>Feeder/Station</a:t>
          </a:r>
          <a:r>
            <a:rPr lang="en-CA" sz="1100" b="1" u="sng" baseline="0"/>
            <a:t> Conversion 20-year Plan</a:t>
          </a:r>
        </a:p>
        <a:p>
          <a:endParaRPr lang="en-CA" sz="1100" baseline="0"/>
        </a:p>
        <a:p>
          <a:r>
            <a:rPr lang="en-CA" sz="1100" baseline="0"/>
            <a:t>All poles originally installed for 4kV feeders will need to replaced to suport 25kV feeders. The estimated number of poles and cables is based on CPUC's line diagram and counting the approximate amount of poles on the 4kV feeders.</a:t>
          </a:r>
        </a:p>
        <a:p>
          <a:endParaRPr lang="en-CA" sz="1100" baseline="0"/>
        </a:p>
        <a:p>
          <a:r>
            <a:rPr lang="en-CA" sz="1100"/>
            <a:t>In Years</a:t>
          </a:r>
          <a:r>
            <a:rPr lang="en-CA" sz="1100" baseline="0"/>
            <a:t> 1-5 (2019-2023), poles that are "failed" are replaced with the historical replacement rate of 6 poles and the remaining poles for replacement are targetted mostly on feeder F2. This sums up to 14 poles per year.</a:t>
          </a:r>
        </a:p>
        <a:p>
          <a:endParaRPr lang="en-CA" sz="1100" baseline="0"/>
        </a:p>
        <a:p>
          <a:r>
            <a:rPr lang="en-CA" sz="1100" baseline="0"/>
            <a:t>In Years 6-10 (2024-2028), continue with pole replacement program and increase the count of poles replaced by 2028 to complete all pole replacements on F2 and to begin pole replacements on F9. Ideeally, the pole replacements on F9 would begin late 2026. In 2026, the station that feeds into F2 is rebuilt and presents the option to move the load off Hydro One's 25kV feeder. Near the end of this term and beginning of the next five year block, the F9 feeder can be converted to a hybrid 25kV/4kV system with the use of conversion transformers. </a:t>
          </a:r>
          <a:r>
            <a:rPr lang="en-CA" sz="1100" baseline="0">
              <a:solidFill>
                <a:schemeClr val="dk1"/>
              </a:solidFill>
              <a:effectLst/>
              <a:latin typeface="+mn-lt"/>
              <a:ea typeface="+mn-ea"/>
              <a:cs typeface="+mn-cs"/>
            </a:rPr>
            <a:t>Targetting feeder F9 over feeder F8 is advantagoues and beneficial for CUCP because it would improve the losses experienced on the system faster, since majority of losses are experienced on F9.</a:t>
          </a:r>
        </a:p>
        <a:p>
          <a:endParaRPr lang="en-CA" sz="1100" baseline="0">
            <a:solidFill>
              <a:schemeClr val="dk1"/>
            </a:solidFill>
            <a:effectLst/>
            <a:latin typeface="+mn-lt"/>
            <a:ea typeface="+mn-ea"/>
            <a:cs typeface="+mn-cs"/>
          </a:endParaRPr>
        </a:p>
        <a:p>
          <a:r>
            <a:rPr lang="en-CA" sz="1100" baseline="0">
              <a:solidFill>
                <a:schemeClr val="dk1"/>
              </a:solidFill>
              <a:effectLst/>
              <a:latin typeface="+mn-lt"/>
              <a:ea typeface="+mn-ea"/>
              <a:cs typeface="+mn-cs"/>
            </a:rPr>
            <a:t>In Years 11-15 (2029-2033), pole replacement continues for F9 and will begin for F8 mid period. The underlying assumption still runs that 6 poles/year are "failed" and require replacement, with the remaining poles in the replacement plan are targetted for feeder F9 primarily, and once completed followed by poles on feeder F8. By 2032, majority if not all poles on F9 should be replaced allowing for the conversion of the second transformer. </a:t>
          </a:r>
        </a:p>
        <a:p>
          <a:endParaRPr lang="en-CA" sz="1100" baseline="0">
            <a:solidFill>
              <a:schemeClr val="dk1"/>
            </a:solidFill>
            <a:effectLst/>
            <a:latin typeface="+mn-lt"/>
            <a:ea typeface="+mn-ea"/>
            <a:cs typeface="+mn-cs"/>
          </a:endParaRPr>
        </a:p>
        <a:p>
          <a:r>
            <a:rPr lang="en-CA" sz="1100" baseline="0">
              <a:solidFill>
                <a:schemeClr val="dk1"/>
              </a:solidFill>
              <a:effectLst/>
              <a:latin typeface="+mn-lt"/>
              <a:ea typeface="+mn-ea"/>
              <a:cs typeface="+mn-cs"/>
            </a:rPr>
            <a:t>In Years 16-20 (2034-2038), pole replacement is steady with the remaining poles on feeder F8 decreasing. By the end of the 20 year plan, feeder F8 will converted to the 25kV system with very few poles remaining. Pole replacement will return to replacing "fail" poles based on condition assessment and service requests in the next DSP period.</a:t>
          </a:r>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9CB26-7FBF-42BD-85A6-7D7525786222}">
  <dimension ref="A1:AA58"/>
  <sheetViews>
    <sheetView tabSelected="1" zoomScale="85" zoomScaleNormal="85" workbookViewId="0">
      <selection activeCell="O3" sqref="O3:S3"/>
    </sheetView>
  </sheetViews>
  <sheetFormatPr defaultRowHeight="15" x14ac:dyDescent="0.25"/>
  <cols>
    <col min="2" max="2" width="29.28515625" customWidth="1"/>
    <col min="4" max="4" width="10" customWidth="1"/>
    <col min="5" max="5" width="10.140625" customWidth="1"/>
    <col min="10" max="10" width="9.85546875" customWidth="1"/>
    <col min="11" max="11" width="11.5703125" bestFit="1" customWidth="1"/>
    <col min="12" max="12" width="11.42578125" customWidth="1"/>
    <col min="13" max="13" width="10.28515625" customWidth="1"/>
    <col min="14" max="14" width="10.140625" customWidth="1"/>
    <col min="15" max="15" width="12.140625" customWidth="1"/>
    <col min="16" max="16" width="12.5703125" bestFit="1" customWidth="1"/>
    <col min="17" max="17" width="10.7109375" customWidth="1"/>
    <col min="18" max="19" width="10.140625" customWidth="1"/>
  </cols>
  <sheetData>
    <row r="1" spans="1:23" ht="15.75" thickBot="1" x14ac:dyDescent="0.3">
      <c r="B1" s="1" t="s">
        <v>0</v>
      </c>
      <c r="C1" s="2" t="s">
        <v>1</v>
      </c>
      <c r="D1" s="3" t="s">
        <v>2</v>
      </c>
      <c r="E1" s="2" t="s">
        <v>3</v>
      </c>
      <c r="J1" s="98" t="s">
        <v>4</v>
      </c>
      <c r="K1" s="99"/>
      <c r="L1" s="99"/>
      <c r="M1" s="99"/>
      <c r="N1" s="100"/>
      <c r="O1" s="98" t="s">
        <v>5</v>
      </c>
      <c r="P1" s="99"/>
      <c r="Q1" s="99"/>
      <c r="R1" s="99"/>
      <c r="S1" s="100"/>
    </row>
    <row r="2" spans="1:23" ht="15.75" thickBot="1" x14ac:dyDescent="0.3">
      <c r="B2" s="4" t="s">
        <v>6</v>
      </c>
      <c r="C2" s="5">
        <v>80</v>
      </c>
      <c r="D2" s="6">
        <v>1153</v>
      </c>
      <c r="E2" s="5">
        <f>D2/1000</f>
        <v>1.153</v>
      </c>
      <c r="H2" s="7"/>
      <c r="J2" s="8">
        <v>2014</v>
      </c>
      <c r="K2" s="9">
        <v>2015</v>
      </c>
      <c r="L2" s="9">
        <v>2016</v>
      </c>
      <c r="M2" s="9">
        <v>2017</v>
      </c>
      <c r="N2" s="10">
        <v>2018</v>
      </c>
      <c r="O2" s="8">
        <v>2019</v>
      </c>
      <c r="P2" s="9">
        <v>2020</v>
      </c>
      <c r="Q2" s="9">
        <v>2021</v>
      </c>
      <c r="R2" s="9">
        <v>2022</v>
      </c>
      <c r="S2" s="10">
        <v>2023</v>
      </c>
    </row>
    <row r="3" spans="1:23" ht="15.75" thickBot="1" x14ac:dyDescent="0.3">
      <c r="B3" s="4" t="s">
        <v>7</v>
      </c>
      <c r="C3" s="5">
        <v>311</v>
      </c>
      <c r="D3" s="6">
        <v>1382</v>
      </c>
      <c r="E3" s="5">
        <f t="shared" ref="E3:E4" si="0">D3/1000</f>
        <v>1.3819999999999999</v>
      </c>
      <c r="H3" s="7"/>
      <c r="I3" s="11" t="s">
        <v>8</v>
      </c>
      <c r="J3" s="12">
        <v>18923</v>
      </c>
      <c r="K3" s="13">
        <v>45854</v>
      </c>
      <c r="L3" s="13">
        <v>35284</v>
      </c>
      <c r="M3" s="13">
        <v>4389</v>
      </c>
      <c r="N3" s="13">
        <v>34352</v>
      </c>
      <c r="O3" s="12">
        <f>O24</f>
        <v>80666.666666666672</v>
      </c>
      <c r="P3" s="14">
        <f>O25</f>
        <v>80666.666666666672</v>
      </c>
      <c r="Q3" s="14">
        <f>O26</f>
        <v>80666.666666666672</v>
      </c>
      <c r="R3" s="14">
        <f>O27</f>
        <v>80666.666666666672</v>
      </c>
      <c r="S3" s="15">
        <f>O28</f>
        <v>80666.666666666672</v>
      </c>
    </row>
    <row r="4" spans="1:23" ht="15.75" thickBot="1" x14ac:dyDescent="0.3">
      <c r="B4" s="4" t="s">
        <v>9</v>
      </c>
      <c r="C4" s="5">
        <v>166</v>
      </c>
      <c r="D4" s="6">
        <v>4050</v>
      </c>
      <c r="E4" s="5">
        <f t="shared" si="0"/>
        <v>4.05</v>
      </c>
      <c r="H4" s="7"/>
      <c r="I4" s="11" t="s">
        <v>10</v>
      </c>
      <c r="J4" s="16">
        <v>744673</v>
      </c>
      <c r="K4" s="17">
        <v>730565</v>
      </c>
      <c r="L4" s="17">
        <v>744037</v>
      </c>
      <c r="M4" s="17">
        <v>716586</v>
      </c>
      <c r="N4" s="18">
        <v>797830</v>
      </c>
      <c r="O4" s="16">
        <v>813787</v>
      </c>
      <c r="P4" s="19">
        <f>AVERAGE(N4:O4)</f>
        <v>805808.5</v>
      </c>
      <c r="Q4" s="19">
        <f>AVERAGE(O4:P4)</f>
        <v>809797.75</v>
      </c>
      <c r="R4" s="19">
        <f>AVERAGE(P4:Q4)</f>
        <v>807803.125</v>
      </c>
      <c r="S4" s="20">
        <f>AVERAGE(Q4:R4)</f>
        <v>808800.4375</v>
      </c>
    </row>
    <row r="5" spans="1:23" ht="15.75" thickBot="1" x14ac:dyDescent="0.3">
      <c r="B5" s="21" t="s">
        <v>11</v>
      </c>
      <c r="C5" s="22">
        <f>SUM(C2:C4)</f>
        <v>557</v>
      </c>
      <c r="D5" s="23">
        <f>SUM(D2:D4)</f>
        <v>6585</v>
      </c>
      <c r="E5" s="22">
        <f>SUM(E2:E4)</f>
        <v>6.585</v>
      </c>
    </row>
    <row r="6" spans="1:23" x14ac:dyDescent="0.25">
      <c r="B6" s="24" t="s">
        <v>12</v>
      </c>
      <c r="C6" s="25">
        <v>730</v>
      </c>
      <c r="D6" s="3"/>
      <c r="E6" s="2"/>
    </row>
    <row r="7" spans="1:23" ht="15.75" thickBot="1" x14ac:dyDescent="0.3">
      <c r="B7" s="26" t="s">
        <v>13</v>
      </c>
      <c r="C7" s="10">
        <v>173</v>
      </c>
      <c r="D7" s="9"/>
      <c r="E7" s="10"/>
      <c r="H7" s="7"/>
    </row>
    <row r="8" spans="1:23" ht="15.75" thickBot="1" x14ac:dyDescent="0.3">
      <c r="B8" s="27"/>
      <c r="C8" s="6"/>
    </row>
    <row r="9" spans="1:23" ht="15" customHeight="1" x14ac:dyDescent="0.25">
      <c r="A9" s="101" t="s">
        <v>14</v>
      </c>
      <c r="B9" s="103" t="s">
        <v>15</v>
      </c>
      <c r="C9" s="28" t="s">
        <v>16</v>
      </c>
      <c r="D9" s="28"/>
      <c r="E9" s="28"/>
      <c r="F9" s="28"/>
      <c r="G9" s="28"/>
      <c r="H9" s="29" t="s">
        <v>17</v>
      </c>
      <c r="I9" s="29"/>
      <c r="J9" s="29"/>
      <c r="K9" s="29"/>
      <c r="L9" s="29"/>
      <c r="M9" s="105" t="s">
        <v>18</v>
      </c>
      <c r="N9" s="105" t="s">
        <v>19</v>
      </c>
      <c r="O9" s="92"/>
      <c r="P9" s="92"/>
      <c r="Q9" s="108" t="s">
        <v>20</v>
      </c>
      <c r="R9" s="91" t="s">
        <v>21</v>
      </c>
      <c r="S9" s="92"/>
      <c r="T9" s="93"/>
      <c r="U9" s="91" t="s">
        <v>22</v>
      </c>
      <c r="V9" s="92"/>
      <c r="W9" s="93"/>
    </row>
    <row r="10" spans="1:23" x14ac:dyDescent="0.25">
      <c r="A10" s="102"/>
      <c r="B10" s="104"/>
      <c r="C10" s="30">
        <v>2019</v>
      </c>
      <c r="D10" s="30">
        <v>2020</v>
      </c>
      <c r="E10" s="30">
        <v>2021</v>
      </c>
      <c r="F10" s="30">
        <v>2022</v>
      </c>
      <c r="G10" s="30">
        <v>2023</v>
      </c>
      <c r="H10" s="31">
        <v>2024</v>
      </c>
      <c r="I10" s="31">
        <v>2025</v>
      </c>
      <c r="J10" s="31">
        <v>2026</v>
      </c>
      <c r="K10" s="31">
        <v>2027</v>
      </c>
      <c r="L10" s="31">
        <v>2028</v>
      </c>
      <c r="M10" s="106"/>
      <c r="N10" s="106"/>
      <c r="O10" s="107"/>
      <c r="P10" s="107"/>
      <c r="Q10" s="109"/>
      <c r="R10" s="94"/>
      <c r="S10" s="95"/>
      <c r="T10" s="96"/>
      <c r="U10" s="94"/>
      <c r="V10" s="95"/>
      <c r="W10" s="96"/>
    </row>
    <row r="11" spans="1:23" x14ac:dyDescent="0.25">
      <c r="A11" s="32">
        <v>1</v>
      </c>
      <c r="B11" s="33" t="s">
        <v>23</v>
      </c>
      <c r="C11" s="34">
        <v>14</v>
      </c>
      <c r="D11" s="6">
        <v>14</v>
      </c>
      <c r="E11" s="6">
        <v>14</v>
      </c>
      <c r="F11" s="6">
        <v>14</v>
      </c>
      <c r="G11" s="6">
        <v>14</v>
      </c>
      <c r="H11" s="6">
        <v>14</v>
      </c>
      <c r="I11" s="6">
        <v>14</v>
      </c>
      <c r="J11" s="6">
        <v>14</v>
      </c>
      <c r="K11" s="6">
        <v>14</v>
      </c>
      <c r="L11" s="6">
        <v>14</v>
      </c>
      <c r="M11" s="35">
        <f>SUM(C11:L11)</f>
        <v>140</v>
      </c>
      <c r="N11" s="36">
        <f>($C$5-M11)/L11</f>
        <v>29.785714285714285</v>
      </c>
      <c r="O11" s="97" t="s">
        <v>24</v>
      </c>
      <c r="P11" s="97"/>
      <c r="Q11" s="37">
        <f>$L$10+N11</f>
        <v>2057.7857142857142</v>
      </c>
      <c r="R11" s="4">
        <f>($C$5-M11)/10</f>
        <v>41.7</v>
      </c>
      <c r="S11" s="87" t="s">
        <v>25</v>
      </c>
      <c r="T11" s="88"/>
      <c r="U11" s="4">
        <f>($C$5-M11)/5</f>
        <v>83.4</v>
      </c>
      <c r="V11" s="87" t="s">
        <v>26</v>
      </c>
      <c r="W11" s="88"/>
    </row>
    <row r="12" spans="1:23" x14ac:dyDescent="0.25">
      <c r="A12" s="32">
        <v>2</v>
      </c>
      <c r="B12" s="33" t="s">
        <v>27</v>
      </c>
      <c r="C12" s="38">
        <v>7</v>
      </c>
      <c r="D12" s="6">
        <v>7</v>
      </c>
      <c r="E12" s="6">
        <v>7</v>
      </c>
      <c r="F12" s="6">
        <v>7</v>
      </c>
      <c r="G12" s="6">
        <v>7</v>
      </c>
      <c r="H12" s="6">
        <v>7</v>
      </c>
      <c r="I12" s="6">
        <v>7</v>
      </c>
      <c r="J12" s="6">
        <v>7</v>
      </c>
      <c r="K12" s="6">
        <v>7</v>
      </c>
      <c r="L12" s="6">
        <v>7</v>
      </c>
      <c r="M12" s="39">
        <f>SUM(C12:L12)</f>
        <v>70</v>
      </c>
      <c r="N12" s="40">
        <f>($C$5-M12)/L12</f>
        <v>69.571428571428569</v>
      </c>
      <c r="O12" s="87" t="s">
        <v>24</v>
      </c>
      <c r="P12" s="87"/>
      <c r="Q12" s="41">
        <f>$L$10+N12</f>
        <v>2097.5714285714284</v>
      </c>
      <c r="R12" s="4">
        <f t="shared" ref="R12:R13" si="1">($C$5-M12)/10</f>
        <v>48.7</v>
      </c>
      <c r="S12" s="87" t="s">
        <v>25</v>
      </c>
      <c r="T12" s="88"/>
      <c r="U12" s="4">
        <f t="shared" ref="U12:U13" si="2">($C$5-M12)/5</f>
        <v>97.4</v>
      </c>
      <c r="V12" s="87" t="s">
        <v>28</v>
      </c>
      <c r="W12" s="88"/>
    </row>
    <row r="13" spans="1:23" ht="26.25" x14ac:dyDescent="0.25">
      <c r="A13" s="32">
        <v>3</v>
      </c>
      <c r="B13" s="33" t="s">
        <v>29</v>
      </c>
      <c r="C13" s="38">
        <v>21</v>
      </c>
      <c r="D13" s="6">
        <v>21</v>
      </c>
      <c r="E13" s="6">
        <v>21</v>
      </c>
      <c r="F13" s="6">
        <v>21</v>
      </c>
      <c r="G13" s="6">
        <v>21</v>
      </c>
      <c r="H13" s="6">
        <v>21</v>
      </c>
      <c r="I13" s="6">
        <v>21</v>
      </c>
      <c r="J13" s="6">
        <v>21</v>
      </c>
      <c r="K13" s="6">
        <v>21</v>
      </c>
      <c r="L13" s="6">
        <v>21</v>
      </c>
      <c r="M13" s="39">
        <f>SUM(C13:L13)</f>
        <v>210</v>
      </c>
      <c r="N13" s="40">
        <f>($C$5-M13)/L13</f>
        <v>16.523809523809526</v>
      </c>
      <c r="O13" s="87" t="s">
        <v>24</v>
      </c>
      <c r="P13" s="87"/>
      <c r="Q13" s="41">
        <f>$L$10+N13</f>
        <v>2044.5238095238096</v>
      </c>
      <c r="R13" s="4">
        <f t="shared" si="1"/>
        <v>34.700000000000003</v>
      </c>
      <c r="S13" s="87" t="s">
        <v>25</v>
      </c>
      <c r="T13" s="88"/>
      <c r="U13" s="4">
        <f t="shared" si="2"/>
        <v>69.400000000000006</v>
      </c>
      <c r="V13" s="87" t="s">
        <v>30</v>
      </c>
      <c r="W13" s="88"/>
    </row>
    <row r="14" spans="1:23" ht="39.75" thickBot="1" x14ac:dyDescent="0.3">
      <c r="A14" s="42">
        <v>4</v>
      </c>
      <c r="B14" s="43" t="s">
        <v>31</v>
      </c>
      <c r="C14" s="44">
        <f>$C$5/(10+$N$14)</f>
        <v>27.85</v>
      </c>
      <c r="D14" s="45">
        <f t="shared" ref="D14:L14" si="3">$C$14</f>
        <v>27.85</v>
      </c>
      <c r="E14" s="45">
        <f t="shared" si="3"/>
        <v>27.85</v>
      </c>
      <c r="F14" s="45">
        <f t="shared" si="3"/>
        <v>27.85</v>
      </c>
      <c r="G14" s="45">
        <f t="shared" si="3"/>
        <v>27.85</v>
      </c>
      <c r="H14" s="45">
        <f t="shared" si="3"/>
        <v>27.85</v>
      </c>
      <c r="I14" s="45">
        <f t="shared" si="3"/>
        <v>27.85</v>
      </c>
      <c r="J14" s="45">
        <f t="shared" si="3"/>
        <v>27.85</v>
      </c>
      <c r="K14" s="45">
        <f t="shared" si="3"/>
        <v>27.85</v>
      </c>
      <c r="L14" s="45">
        <f t="shared" si="3"/>
        <v>27.85</v>
      </c>
      <c r="M14" s="44">
        <f>SUM(C14:L14)</f>
        <v>278.5</v>
      </c>
      <c r="N14" s="46">
        <v>10</v>
      </c>
      <c r="O14" s="89" t="s">
        <v>24</v>
      </c>
      <c r="P14" s="90"/>
      <c r="Q14" s="47">
        <f>$L$10+N14</f>
        <v>2038</v>
      </c>
      <c r="R14" s="8"/>
      <c r="S14" s="9"/>
      <c r="T14" s="10"/>
      <c r="U14" s="8"/>
      <c r="V14" s="9"/>
      <c r="W14" s="10"/>
    </row>
    <row r="15" spans="1:23" ht="15.75" thickBot="1" x14ac:dyDescent="0.3"/>
    <row r="16" spans="1:23" ht="16.5" thickTop="1" thickBot="1" x14ac:dyDescent="0.3">
      <c r="B16" s="48" t="s">
        <v>32</v>
      </c>
      <c r="I16" s="49">
        <v>4</v>
      </c>
      <c r="J16" t="s">
        <v>33</v>
      </c>
      <c r="K16" s="50">
        <v>14000</v>
      </c>
      <c r="L16" t="s">
        <v>34</v>
      </c>
      <c r="N16" s="51" t="s">
        <v>35</v>
      </c>
      <c r="O16" s="52"/>
    </row>
    <row r="17" spans="2:17" ht="15.75" thickTop="1" x14ac:dyDescent="0.25">
      <c r="B17" s="53" t="s">
        <v>36</v>
      </c>
      <c r="K17" s="54" t="s">
        <v>37</v>
      </c>
      <c r="L17" s="55" t="s">
        <v>38</v>
      </c>
      <c r="M17" s="55" t="s">
        <v>39</v>
      </c>
      <c r="N17" s="56">
        <f>14/6</f>
        <v>2.3333333333333335</v>
      </c>
      <c r="O17" s="57" t="s">
        <v>40</v>
      </c>
    </row>
    <row r="18" spans="2:17" ht="15.75" thickBot="1" x14ac:dyDescent="0.3">
      <c r="B18" s="53" t="s">
        <v>41</v>
      </c>
      <c r="K18" s="58">
        <v>2000</v>
      </c>
      <c r="L18" s="59">
        <v>50000</v>
      </c>
      <c r="M18" s="59">
        <v>2000</v>
      </c>
      <c r="N18" s="60">
        <v>6</v>
      </c>
      <c r="O18" s="61" t="s">
        <v>42</v>
      </c>
      <c r="Q18" t="s">
        <v>43</v>
      </c>
    </row>
    <row r="19" spans="2:17" ht="16.5" thickTop="1" thickBot="1" x14ac:dyDescent="0.3">
      <c r="B19" s="53" t="s">
        <v>44</v>
      </c>
      <c r="F19" s="9" t="s">
        <v>45</v>
      </c>
      <c r="G19" s="62" t="s">
        <v>46</v>
      </c>
      <c r="H19" s="62" t="s">
        <v>47</v>
      </c>
      <c r="I19" s="63" t="s">
        <v>48</v>
      </c>
      <c r="J19" s="64" t="s">
        <v>49</v>
      </c>
      <c r="K19" s="9" t="s">
        <v>50</v>
      </c>
      <c r="L19" s="9" t="s">
        <v>51</v>
      </c>
      <c r="M19" s="9" t="s">
        <v>52</v>
      </c>
      <c r="N19" s="9" t="s">
        <v>53</v>
      </c>
      <c r="O19" s="9" t="s">
        <v>54</v>
      </c>
      <c r="P19" s="9" t="s">
        <v>55</v>
      </c>
      <c r="Q19" s="65" t="s">
        <v>56</v>
      </c>
    </row>
    <row r="20" spans="2:17" x14ac:dyDescent="0.25">
      <c r="B20" s="53" t="s">
        <v>57</v>
      </c>
      <c r="F20" s="66">
        <v>2015</v>
      </c>
      <c r="G20" s="67"/>
      <c r="H20" s="67">
        <f t="shared" ref="H20:H43" si="4">I20-6</f>
        <v>0</v>
      </c>
      <c r="I20">
        <v>6</v>
      </c>
      <c r="K20" s="68">
        <f t="shared" ref="K20:K23" si="5">I20*$K$18</f>
        <v>12000</v>
      </c>
      <c r="L20" s="68">
        <f t="shared" ref="L20:L30" si="6">J20*$L$18</f>
        <v>0</v>
      </c>
      <c r="M20" s="69">
        <f t="shared" ref="M20:M43" si="7">(I20/$N$18)*$M$18</f>
        <v>2000</v>
      </c>
      <c r="N20" s="68"/>
      <c r="O20" s="68">
        <f t="shared" ref="O20:O43" si="8">SUM(K20:N20)</f>
        <v>14000</v>
      </c>
      <c r="P20" s="70"/>
    </row>
    <row r="21" spans="2:17" x14ac:dyDescent="0.25">
      <c r="B21" s="53" t="s">
        <v>58</v>
      </c>
      <c r="F21" s="66">
        <v>2016</v>
      </c>
      <c r="G21" s="67"/>
      <c r="H21" s="67">
        <f t="shared" si="4"/>
        <v>0</v>
      </c>
      <c r="I21">
        <v>6</v>
      </c>
      <c r="K21" s="68">
        <f t="shared" si="5"/>
        <v>12000</v>
      </c>
      <c r="L21" s="68">
        <f t="shared" si="6"/>
        <v>0</v>
      </c>
      <c r="M21" s="69">
        <f t="shared" si="7"/>
        <v>2000</v>
      </c>
      <c r="N21" s="68"/>
      <c r="O21" s="68">
        <f t="shared" si="8"/>
        <v>14000</v>
      </c>
      <c r="P21" s="70"/>
    </row>
    <row r="22" spans="2:17" x14ac:dyDescent="0.25">
      <c r="B22" s="53" t="s">
        <v>59</v>
      </c>
      <c r="F22">
        <v>2017</v>
      </c>
      <c r="G22" s="67"/>
      <c r="H22" s="67">
        <f t="shared" si="4"/>
        <v>0</v>
      </c>
      <c r="I22">
        <v>6</v>
      </c>
      <c r="K22" s="68">
        <f t="shared" si="5"/>
        <v>12000</v>
      </c>
      <c r="L22" s="68">
        <f t="shared" si="6"/>
        <v>0</v>
      </c>
      <c r="M22" s="69">
        <f t="shared" si="7"/>
        <v>2000</v>
      </c>
      <c r="N22" s="68"/>
      <c r="O22" s="68">
        <f t="shared" si="8"/>
        <v>14000</v>
      </c>
      <c r="P22" s="70"/>
    </row>
    <row r="23" spans="2:17" x14ac:dyDescent="0.25">
      <c r="F23" s="71">
        <v>2018</v>
      </c>
      <c r="G23" s="67"/>
      <c r="H23" s="67">
        <f t="shared" si="4"/>
        <v>0</v>
      </c>
      <c r="I23">
        <v>6</v>
      </c>
      <c r="K23" s="68">
        <f t="shared" si="5"/>
        <v>12000</v>
      </c>
      <c r="L23" s="68">
        <f t="shared" si="6"/>
        <v>0</v>
      </c>
      <c r="M23" s="69">
        <f t="shared" si="7"/>
        <v>2000</v>
      </c>
      <c r="N23" s="68"/>
      <c r="O23" s="68">
        <f t="shared" si="8"/>
        <v>14000</v>
      </c>
      <c r="P23" s="70"/>
    </row>
    <row r="24" spans="2:17" x14ac:dyDescent="0.25">
      <c r="F24" s="49">
        <v>2019</v>
      </c>
      <c r="G24" s="67">
        <f>SUM($H$24:H24)</f>
        <v>8</v>
      </c>
      <c r="H24" s="67">
        <f>I24-6</f>
        <v>8</v>
      </c>
      <c r="I24">
        <v>14</v>
      </c>
      <c r="K24" s="68">
        <f t="shared" ref="K24:K43" si="9">(I24-$I$16)*$K$18+($I$16*$K$16)</f>
        <v>76000</v>
      </c>
      <c r="L24" s="68">
        <f t="shared" si="6"/>
        <v>0</v>
      </c>
      <c r="M24" s="69">
        <f>(I24/$N$18)*$M$18</f>
        <v>4666.666666666667</v>
      </c>
      <c r="N24" s="68"/>
      <c r="O24" s="68">
        <f t="shared" si="8"/>
        <v>80666.666666666672</v>
      </c>
      <c r="P24" s="70">
        <f t="shared" ref="P24:P43" si="10">$P$44</f>
        <v>218679.16666666666</v>
      </c>
      <c r="Q24" t="s">
        <v>60</v>
      </c>
    </row>
    <row r="25" spans="2:17" x14ac:dyDescent="0.25">
      <c r="F25" s="72">
        <v>2020</v>
      </c>
      <c r="G25" s="67">
        <f>SUM($H$24:H25)</f>
        <v>16</v>
      </c>
      <c r="H25" s="67">
        <f t="shared" si="4"/>
        <v>8</v>
      </c>
      <c r="I25">
        <v>14</v>
      </c>
      <c r="K25" s="68">
        <f t="shared" si="9"/>
        <v>76000</v>
      </c>
      <c r="L25" s="68">
        <f t="shared" si="6"/>
        <v>0</v>
      </c>
      <c r="M25" s="69">
        <f t="shared" si="7"/>
        <v>4666.666666666667</v>
      </c>
      <c r="N25" s="68"/>
      <c r="O25" s="68">
        <f t="shared" si="8"/>
        <v>80666.666666666672</v>
      </c>
      <c r="P25" s="70">
        <f t="shared" si="10"/>
        <v>218679.16666666666</v>
      </c>
      <c r="Q25" t="s">
        <v>61</v>
      </c>
    </row>
    <row r="26" spans="2:17" x14ac:dyDescent="0.25">
      <c r="F26" s="49">
        <v>2021</v>
      </c>
      <c r="G26" s="67">
        <f>SUM($H$24:H26)</f>
        <v>24</v>
      </c>
      <c r="H26" s="67">
        <f t="shared" si="4"/>
        <v>8</v>
      </c>
      <c r="I26">
        <v>14</v>
      </c>
      <c r="K26" s="68">
        <f t="shared" si="9"/>
        <v>76000</v>
      </c>
      <c r="L26" s="68">
        <f t="shared" si="6"/>
        <v>0</v>
      </c>
      <c r="M26" s="69">
        <f t="shared" si="7"/>
        <v>4666.666666666667</v>
      </c>
      <c r="N26" s="68"/>
      <c r="O26" s="68">
        <f t="shared" si="8"/>
        <v>80666.666666666672</v>
      </c>
      <c r="P26" s="70">
        <f t="shared" si="10"/>
        <v>218679.16666666666</v>
      </c>
    </row>
    <row r="27" spans="2:17" x14ac:dyDescent="0.25">
      <c r="F27" s="72">
        <v>2022</v>
      </c>
      <c r="G27" s="67">
        <f>SUM($H$24:H27)</f>
        <v>32</v>
      </c>
      <c r="H27" s="67">
        <f t="shared" si="4"/>
        <v>8</v>
      </c>
      <c r="I27">
        <v>14</v>
      </c>
      <c r="K27" s="68">
        <f t="shared" si="9"/>
        <v>76000</v>
      </c>
      <c r="L27" s="68">
        <f t="shared" si="6"/>
        <v>0</v>
      </c>
      <c r="M27" s="69">
        <f t="shared" si="7"/>
        <v>4666.666666666667</v>
      </c>
      <c r="N27" s="68"/>
      <c r="O27" s="68">
        <f t="shared" si="8"/>
        <v>80666.666666666672</v>
      </c>
      <c r="P27" s="70">
        <f t="shared" si="10"/>
        <v>218679.16666666666</v>
      </c>
    </row>
    <row r="28" spans="2:17" x14ac:dyDescent="0.25">
      <c r="F28" s="49">
        <v>2023</v>
      </c>
      <c r="G28" s="67">
        <f>SUM($H$24:H28)</f>
        <v>40</v>
      </c>
      <c r="H28" s="67">
        <f t="shared" si="4"/>
        <v>8</v>
      </c>
      <c r="I28">
        <v>14</v>
      </c>
      <c r="K28" s="68">
        <f t="shared" si="9"/>
        <v>76000</v>
      </c>
      <c r="L28" s="68">
        <f t="shared" si="6"/>
        <v>0</v>
      </c>
      <c r="M28" s="69">
        <f t="shared" si="7"/>
        <v>4666.666666666667</v>
      </c>
      <c r="N28" s="68"/>
      <c r="O28" s="68">
        <f t="shared" si="8"/>
        <v>80666.666666666672</v>
      </c>
      <c r="P28" s="70">
        <f t="shared" si="10"/>
        <v>218679.16666666666</v>
      </c>
    </row>
    <row r="29" spans="2:17" ht="15.75" thickBot="1" x14ac:dyDescent="0.3">
      <c r="E29">
        <v>20</v>
      </c>
      <c r="F29" s="73">
        <v>2024</v>
      </c>
      <c r="G29" s="67">
        <f>SUM($H$24:H29)</f>
        <v>68</v>
      </c>
      <c r="H29" s="67">
        <f t="shared" si="4"/>
        <v>28</v>
      </c>
      <c r="I29">
        <f>14+E29</f>
        <v>34</v>
      </c>
      <c r="K29" s="68">
        <f t="shared" si="9"/>
        <v>116000</v>
      </c>
      <c r="L29" s="68">
        <f t="shared" si="6"/>
        <v>0</v>
      </c>
      <c r="M29" s="69">
        <f t="shared" si="7"/>
        <v>11333.333333333334</v>
      </c>
      <c r="N29" s="68"/>
      <c r="O29" s="68">
        <f t="shared" si="8"/>
        <v>127333.33333333333</v>
      </c>
      <c r="P29" s="70">
        <f t="shared" si="10"/>
        <v>218679.16666666666</v>
      </c>
    </row>
    <row r="30" spans="2:17" x14ac:dyDescent="0.25">
      <c r="B30" s="1" t="s">
        <v>0</v>
      </c>
      <c r="C30" s="2" t="s">
        <v>62</v>
      </c>
      <c r="D30" s="2" t="s">
        <v>3</v>
      </c>
      <c r="E30">
        <v>20</v>
      </c>
      <c r="F30" s="74">
        <v>2025</v>
      </c>
      <c r="G30" s="67">
        <f>SUM($H$24:H30)</f>
        <v>96</v>
      </c>
      <c r="H30" s="67">
        <f t="shared" si="4"/>
        <v>28</v>
      </c>
      <c r="I30">
        <f t="shared" ref="I30:I43" si="11">14+E30</f>
        <v>34</v>
      </c>
      <c r="K30" s="68">
        <f t="shared" si="9"/>
        <v>116000</v>
      </c>
      <c r="L30" s="68">
        <f t="shared" si="6"/>
        <v>0</v>
      </c>
      <c r="M30" s="69">
        <f t="shared" si="7"/>
        <v>11333.333333333334</v>
      </c>
      <c r="N30" s="68"/>
      <c r="O30" s="68">
        <f t="shared" si="8"/>
        <v>127333.33333333333</v>
      </c>
      <c r="P30" s="70">
        <f t="shared" si="10"/>
        <v>218679.16666666666</v>
      </c>
    </row>
    <row r="31" spans="2:17" x14ac:dyDescent="0.25">
      <c r="B31" s="4" t="s">
        <v>6</v>
      </c>
      <c r="C31" s="5">
        <v>80</v>
      </c>
      <c r="D31" s="5">
        <f>E2</f>
        <v>1.153</v>
      </c>
      <c r="E31">
        <v>20</v>
      </c>
      <c r="F31" s="75">
        <v>2026</v>
      </c>
      <c r="G31" s="67">
        <f>SUM($H$24:H31)</f>
        <v>124</v>
      </c>
      <c r="H31" s="67">
        <f t="shared" si="4"/>
        <v>28</v>
      </c>
      <c r="I31">
        <f t="shared" si="11"/>
        <v>34</v>
      </c>
      <c r="J31">
        <f>$D$31*0.2</f>
        <v>0.23060000000000003</v>
      </c>
      <c r="K31" s="68">
        <f t="shared" si="9"/>
        <v>116000</v>
      </c>
      <c r="L31" s="68">
        <f>J31*$L$18</f>
        <v>11530.000000000002</v>
      </c>
      <c r="M31" s="69">
        <f t="shared" si="7"/>
        <v>11333.333333333334</v>
      </c>
      <c r="N31" s="68">
        <v>750000</v>
      </c>
      <c r="O31" s="68">
        <f t="shared" si="8"/>
        <v>888863.33333333337</v>
      </c>
      <c r="P31" s="70">
        <f t="shared" si="10"/>
        <v>218679.16666666666</v>
      </c>
      <c r="Q31" t="s">
        <v>63</v>
      </c>
    </row>
    <row r="32" spans="2:17" x14ac:dyDescent="0.25">
      <c r="B32" s="4" t="s">
        <v>7</v>
      </c>
      <c r="C32" s="5">
        <v>311</v>
      </c>
      <c r="D32" s="5">
        <f>E3</f>
        <v>1.3819999999999999</v>
      </c>
      <c r="E32">
        <v>20</v>
      </c>
      <c r="F32" s="74">
        <v>2027</v>
      </c>
      <c r="G32" s="67">
        <f>SUM($H$24:H32)</f>
        <v>152</v>
      </c>
      <c r="H32" s="67">
        <f t="shared" si="4"/>
        <v>28</v>
      </c>
      <c r="I32">
        <f t="shared" si="11"/>
        <v>34</v>
      </c>
      <c r="J32">
        <f>$D$31*0.8</f>
        <v>0.92240000000000011</v>
      </c>
      <c r="K32" s="68">
        <f t="shared" si="9"/>
        <v>116000</v>
      </c>
      <c r="L32" s="68">
        <f>J32*$L$18</f>
        <v>46120.000000000007</v>
      </c>
      <c r="M32" s="69">
        <f>(I32/$N$18)*$M$18</f>
        <v>11333.333333333334</v>
      </c>
      <c r="N32" s="68"/>
      <c r="O32" s="68">
        <f t="shared" si="8"/>
        <v>173453.33333333334</v>
      </c>
      <c r="P32" s="70">
        <f t="shared" si="10"/>
        <v>218679.16666666666</v>
      </c>
      <c r="Q32" t="s">
        <v>64</v>
      </c>
    </row>
    <row r="33" spans="2:17" x14ac:dyDescent="0.25">
      <c r="B33" s="4" t="s">
        <v>9</v>
      </c>
      <c r="C33" s="5">
        <v>166</v>
      </c>
      <c r="D33" s="5">
        <f>E4</f>
        <v>4.05</v>
      </c>
      <c r="E33">
        <v>20</v>
      </c>
      <c r="F33" s="74">
        <v>2028</v>
      </c>
      <c r="G33" s="67">
        <f>SUM($H$24:H33)</f>
        <v>180</v>
      </c>
      <c r="H33" s="67">
        <f t="shared" si="4"/>
        <v>28</v>
      </c>
      <c r="I33">
        <f t="shared" si="11"/>
        <v>34</v>
      </c>
      <c r="K33" s="68">
        <f t="shared" si="9"/>
        <v>116000</v>
      </c>
      <c r="L33" s="68">
        <f t="shared" ref="L33:L43" si="12">J33*$L$18</f>
        <v>0</v>
      </c>
      <c r="M33" s="69">
        <f t="shared" si="7"/>
        <v>11333.333333333334</v>
      </c>
      <c r="N33" s="68"/>
      <c r="O33" s="68">
        <f t="shared" si="8"/>
        <v>127333.33333333333</v>
      </c>
      <c r="P33" s="70">
        <f t="shared" si="10"/>
        <v>218679.16666666666</v>
      </c>
    </row>
    <row r="34" spans="2:17" ht="15.75" thickBot="1" x14ac:dyDescent="0.3">
      <c r="B34" s="21" t="s">
        <v>11</v>
      </c>
      <c r="C34" s="22">
        <v>557</v>
      </c>
      <c r="D34" s="22">
        <f>SUM(D31:D33)</f>
        <v>6.585</v>
      </c>
      <c r="E34">
        <v>25</v>
      </c>
      <c r="F34" s="76">
        <v>2029</v>
      </c>
      <c r="G34" s="67">
        <f>SUM($H$24:H34)</f>
        <v>213</v>
      </c>
      <c r="H34" s="67">
        <f t="shared" si="4"/>
        <v>33</v>
      </c>
      <c r="I34">
        <f t="shared" si="11"/>
        <v>39</v>
      </c>
      <c r="K34" s="68">
        <f t="shared" si="9"/>
        <v>126000</v>
      </c>
      <c r="L34" s="68">
        <f t="shared" si="12"/>
        <v>0</v>
      </c>
      <c r="M34" s="69">
        <f t="shared" si="7"/>
        <v>13000</v>
      </c>
      <c r="N34" s="68"/>
      <c r="O34" s="68">
        <f t="shared" si="8"/>
        <v>139000</v>
      </c>
      <c r="P34" s="70">
        <f t="shared" si="10"/>
        <v>218679.16666666666</v>
      </c>
    </row>
    <row r="35" spans="2:17" ht="15.75" thickBot="1" x14ac:dyDescent="0.3">
      <c r="B35" s="77" t="s">
        <v>65</v>
      </c>
      <c r="C35" s="78">
        <f>C31+C33</f>
        <v>246</v>
      </c>
      <c r="D35" s="79">
        <f>D31+D33</f>
        <v>5.2029999999999994</v>
      </c>
      <c r="E35">
        <v>25</v>
      </c>
      <c r="F35" s="76">
        <v>2030</v>
      </c>
      <c r="G35" s="67">
        <f>SUM($H$24:H35)</f>
        <v>246</v>
      </c>
      <c r="H35" s="67">
        <f t="shared" si="4"/>
        <v>33</v>
      </c>
      <c r="I35">
        <f t="shared" si="11"/>
        <v>39</v>
      </c>
      <c r="K35" s="68">
        <f t="shared" si="9"/>
        <v>126000</v>
      </c>
      <c r="L35" s="68">
        <f t="shared" si="12"/>
        <v>0</v>
      </c>
      <c r="M35" s="69">
        <f t="shared" si="7"/>
        <v>13000</v>
      </c>
      <c r="N35" s="68"/>
      <c r="O35" s="68">
        <f t="shared" si="8"/>
        <v>139000</v>
      </c>
      <c r="P35" s="70">
        <f t="shared" si="10"/>
        <v>218679.16666666666</v>
      </c>
    </row>
    <row r="36" spans="2:17" x14ac:dyDescent="0.25">
      <c r="E36">
        <v>25</v>
      </c>
      <c r="F36" s="80">
        <v>2031</v>
      </c>
      <c r="G36" s="67">
        <f>SUM($H$24:H36)</f>
        <v>279</v>
      </c>
      <c r="H36" s="67">
        <f t="shared" si="4"/>
        <v>33</v>
      </c>
      <c r="I36">
        <f t="shared" si="11"/>
        <v>39</v>
      </c>
      <c r="J36">
        <f>$D$33*0.2</f>
        <v>0.81</v>
      </c>
      <c r="K36" s="68">
        <f t="shared" si="9"/>
        <v>126000</v>
      </c>
      <c r="L36" s="68">
        <f t="shared" si="12"/>
        <v>40500</v>
      </c>
      <c r="M36" s="69">
        <f t="shared" si="7"/>
        <v>13000</v>
      </c>
      <c r="N36" s="68">
        <v>750000</v>
      </c>
      <c r="O36" s="68">
        <f t="shared" si="8"/>
        <v>929500</v>
      </c>
      <c r="P36" s="70">
        <f t="shared" si="10"/>
        <v>218679.16666666666</v>
      </c>
      <c r="Q36" t="s">
        <v>66</v>
      </c>
    </row>
    <row r="37" spans="2:17" x14ac:dyDescent="0.25">
      <c r="E37">
        <v>25</v>
      </c>
      <c r="F37" s="76">
        <v>2032</v>
      </c>
      <c r="G37" s="67">
        <f>SUM($H$24:H37)</f>
        <v>312</v>
      </c>
      <c r="H37" s="67">
        <f t="shared" si="4"/>
        <v>33</v>
      </c>
      <c r="I37">
        <f t="shared" si="11"/>
        <v>39</v>
      </c>
      <c r="J37">
        <f>$D$33*0.8</f>
        <v>3.24</v>
      </c>
      <c r="K37" s="68">
        <f t="shared" si="9"/>
        <v>126000</v>
      </c>
      <c r="L37" s="68">
        <f t="shared" si="12"/>
        <v>162000</v>
      </c>
      <c r="M37" s="69">
        <f t="shared" si="7"/>
        <v>13000</v>
      </c>
      <c r="N37" s="68"/>
      <c r="O37" s="68">
        <f t="shared" si="8"/>
        <v>301000</v>
      </c>
      <c r="P37" s="70">
        <f t="shared" si="10"/>
        <v>218679.16666666666</v>
      </c>
      <c r="Q37" t="s">
        <v>67</v>
      </c>
    </row>
    <row r="38" spans="2:17" x14ac:dyDescent="0.25">
      <c r="E38">
        <v>25</v>
      </c>
      <c r="F38" s="76">
        <v>2033</v>
      </c>
      <c r="G38" s="67">
        <f>SUM($H$24:H38)</f>
        <v>345</v>
      </c>
      <c r="H38" s="67">
        <f t="shared" si="4"/>
        <v>33</v>
      </c>
      <c r="I38">
        <f t="shared" si="11"/>
        <v>39</v>
      </c>
      <c r="K38" s="68">
        <f t="shared" si="9"/>
        <v>126000</v>
      </c>
      <c r="L38" s="68">
        <f t="shared" si="12"/>
        <v>0</v>
      </c>
      <c r="M38" s="69">
        <f t="shared" si="7"/>
        <v>13000</v>
      </c>
      <c r="N38" s="68"/>
      <c r="O38" s="68">
        <f t="shared" si="8"/>
        <v>139000</v>
      </c>
      <c r="P38" s="70">
        <f t="shared" si="10"/>
        <v>218679.16666666666</v>
      </c>
    </row>
    <row r="39" spans="2:17" x14ac:dyDescent="0.25">
      <c r="E39">
        <v>30</v>
      </c>
      <c r="F39" s="81">
        <v>2034</v>
      </c>
      <c r="G39" s="67">
        <f>SUM($H$24:H39)</f>
        <v>383</v>
      </c>
      <c r="H39" s="67">
        <f t="shared" si="4"/>
        <v>38</v>
      </c>
      <c r="I39">
        <f t="shared" si="11"/>
        <v>44</v>
      </c>
      <c r="K39" s="68">
        <f t="shared" si="9"/>
        <v>136000</v>
      </c>
      <c r="L39" s="68">
        <f t="shared" si="12"/>
        <v>0</v>
      </c>
      <c r="M39" s="69">
        <f t="shared" si="7"/>
        <v>14666.666666666666</v>
      </c>
      <c r="N39" s="68"/>
      <c r="O39" s="68">
        <f t="shared" si="8"/>
        <v>150666.66666666666</v>
      </c>
      <c r="P39" s="70">
        <f t="shared" si="10"/>
        <v>218679.16666666666</v>
      </c>
    </row>
    <row r="40" spans="2:17" x14ac:dyDescent="0.25">
      <c r="E40">
        <v>30</v>
      </c>
      <c r="F40" s="81">
        <v>2035</v>
      </c>
      <c r="G40" s="67">
        <f>SUM($H$24:H40)</f>
        <v>421</v>
      </c>
      <c r="H40" s="67">
        <f t="shared" si="4"/>
        <v>38</v>
      </c>
      <c r="I40">
        <f t="shared" si="11"/>
        <v>44</v>
      </c>
      <c r="J40">
        <f>$D$32*0.5</f>
        <v>0.69099999999999995</v>
      </c>
      <c r="K40" s="68">
        <f t="shared" si="9"/>
        <v>136000</v>
      </c>
      <c r="L40" s="68">
        <f t="shared" si="12"/>
        <v>34550</v>
      </c>
      <c r="M40" s="69">
        <f t="shared" si="7"/>
        <v>14666.666666666666</v>
      </c>
      <c r="N40" s="68"/>
      <c r="O40" s="68">
        <f t="shared" si="8"/>
        <v>185216.66666666666</v>
      </c>
      <c r="P40" s="70">
        <f t="shared" si="10"/>
        <v>218679.16666666666</v>
      </c>
      <c r="Q40" t="s">
        <v>68</v>
      </c>
    </row>
    <row r="41" spans="2:17" x14ac:dyDescent="0.25">
      <c r="E41">
        <v>30</v>
      </c>
      <c r="F41" s="81">
        <v>2036</v>
      </c>
      <c r="G41" s="67">
        <f>SUM($H$24:H41)</f>
        <v>459</v>
      </c>
      <c r="H41" s="67">
        <f t="shared" si="4"/>
        <v>38</v>
      </c>
      <c r="I41">
        <f t="shared" si="11"/>
        <v>44</v>
      </c>
      <c r="J41">
        <f>$D$32*0.5</f>
        <v>0.69099999999999995</v>
      </c>
      <c r="K41" s="68">
        <f t="shared" si="9"/>
        <v>136000</v>
      </c>
      <c r="L41" s="68">
        <f t="shared" si="12"/>
        <v>34550</v>
      </c>
      <c r="M41" s="69">
        <f t="shared" si="7"/>
        <v>14666.666666666666</v>
      </c>
      <c r="N41" s="68"/>
      <c r="O41" s="68">
        <f t="shared" si="8"/>
        <v>185216.66666666666</v>
      </c>
      <c r="P41" s="70">
        <f t="shared" si="10"/>
        <v>218679.16666666666</v>
      </c>
      <c r="Q41" t="s">
        <v>68</v>
      </c>
    </row>
    <row r="42" spans="2:17" x14ac:dyDescent="0.25">
      <c r="E42">
        <v>30</v>
      </c>
      <c r="F42" s="81">
        <v>2037</v>
      </c>
      <c r="G42" s="67">
        <f>SUM($H$24:H42)</f>
        <v>497</v>
      </c>
      <c r="H42" s="67">
        <f t="shared" si="4"/>
        <v>38</v>
      </c>
      <c r="I42">
        <f t="shared" si="11"/>
        <v>44</v>
      </c>
      <c r="K42" s="68">
        <f t="shared" si="9"/>
        <v>136000</v>
      </c>
      <c r="L42" s="68">
        <f t="shared" si="12"/>
        <v>0</v>
      </c>
      <c r="M42" s="69">
        <f t="shared" si="7"/>
        <v>14666.666666666666</v>
      </c>
      <c r="N42" s="68"/>
      <c r="O42" s="68">
        <f t="shared" si="8"/>
        <v>150666.66666666666</v>
      </c>
      <c r="P42" s="70">
        <f t="shared" si="10"/>
        <v>218679.16666666666</v>
      </c>
    </row>
    <row r="43" spans="2:17" ht="15.75" thickBot="1" x14ac:dyDescent="0.3">
      <c r="E43">
        <v>30</v>
      </c>
      <c r="F43" s="81">
        <v>2038</v>
      </c>
      <c r="G43" s="82">
        <f>SUM($H$24:H43)</f>
        <v>535</v>
      </c>
      <c r="H43" s="67">
        <f t="shared" si="4"/>
        <v>38</v>
      </c>
      <c r="I43">
        <f t="shared" si="11"/>
        <v>44</v>
      </c>
      <c r="K43" s="68">
        <f t="shared" si="9"/>
        <v>136000</v>
      </c>
      <c r="L43" s="68">
        <f t="shared" si="12"/>
        <v>0</v>
      </c>
      <c r="M43" s="69">
        <f t="shared" si="7"/>
        <v>14666.666666666666</v>
      </c>
      <c r="N43" s="68"/>
      <c r="O43" s="59">
        <f t="shared" si="8"/>
        <v>150666.66666666666</v>
      </c>
      <c r="P43" s="70">
        <f t="shared" si="10"/>
        <v>218679.16666666666</v>
      </c>
    </row>
    <row r="44" spans="2:17" ht="15.75" thickTop="1" x14ac:dyDescent="0.25">
      <c r="G44" s="83">
        <f>G43</f>
        <v>535</v>
      </c>
      <c r="I44" s="6">
        <f>SUM(I24:I43)</f>
        <v>655</v>
      </c>
      <c r="O44" s="69">
        <f>SUM(O20:O43)</f>
        <v>4373583.333333333</v>
      </c>
      <c r="P44" s="70">
        <f>O44/20</f>
        <v>218679.16666666666</v>
      </c>
      <c r="Q44" t="s">
        <v>69</v>
      </c>
    </row>
    <row r="53" spans="6:27" ht="33" customHeight="1" x14ac:dyDescent="0.25">
      <c r="F53" t="s">
        <v>70</v>
      </c>
      <c r="U53" s="85" t="s">
        <v>71</v>
      </c>
      <c r="V53" s="85"/>
      <c r="W53" s="85" t="s">
        <v>72</v>
      </c>
      <c r="X53" s="85"/>
      <c r="Y53" s="86" t="s">
        <v>73</v>
      </c>
      <c r="Z53" s="86"/>
      <c r="AA53" s="86"/>
    </row>
    <row r="54" spans="6:27" x14ac:dyDescent="0.25">
      <c r="F54" t="s">
        <v>74</v>
      </c>
      <c r="U54" s="85"/>
      <c r="V54" s="85"/>
      <c r="W54" s="85"/>
      <c r="X54" s="85"/>
      <c r="Y54" s="84" t="s">
        <v>6</v>
      </c>
      <c r="Z54" s="84" t="s">
        <v>9</v>
      </c>
      <c r="AA54" s="84" t="s">
        <v>7</v>
      </c>
    </row>
    <row r="55" spans="6:27" x14ac:dyDescent="0.25">
      <c r="F55" t="s">
        <v>75</v>
      </c>
      <c r="U55" s="85">
        <v>2023</v>
      </c>
      <c r="V55" s="85"/>
      <c r="W55" s="85">
        <f>SUM(H24:H28)</f>
        <v>40</v>
      </c>
      <c r="X55" s="85"/>
      <c r="Y55" s="84">
        <f>C31-W55</f>
        <v>40</v>
      </c>
      <c r="Z55" s="84">
        <f>C33</f>
        <v>166</v>
      </c>
      <c r="AA55" s="84">
        <f>C32</f>
        <v>311</v>
      </c>
    </row>
    <row r="56" spans="6:27" x14ac:dyDescent="0.25">
      <c r="U56" s="85">
        <v>2028</v>
      </c>
      <c r="V56" s="85"/>
      <c r="W56" s="85">
        <f>SUM(H29:H33)</f>
        <v>140</v>
      </c>
      <c r="X56" s="85"/>
      <c r="Y56" s="84">
        <f>Y55-40</f>
        <v>0</v>
      </c>
      <c r="Z56" s="84">
        <f>Z55-100</f>
        <v>66</v>
      </c>
      <c r="AA56" s="84">
        <v>311</v>
      </c>
    </row>
    <row r="57" spans="6:27" x14ac:dyDescent="0.25">
      <c r="U57" s="85">
        <v>2033</v>
      </c>
      <c r="V57" s="85"/>
      <c r="W57" s="85">
        <f>SUM(H34:H38)</f>
        <v>165</v>
      </c>
      <c r="X57" s="85"/>
      <c r="Y57" s="84" t="s">
        <v>76</v>
      </c>
      <c r="Z57" s="84">
        <f>Z56-66</f>
        <v>0</v>
      </c>
      <c r="AA57" s="84">
        <f>AA56-(W57-Z56)</f>
        <v>212</v>
      </c>
    </row>
    <row r="58" spans="6:27" x14ac:dyDescent="0.25">
      <c r="U58" s="85">
        <v>2038</v>
      </c>
      <c r="V58" s="85"/>
      <c r="W58" s="85">
        <f>SUM(H39:H43)</f>
        <v>190</v>
      </c>
      <c r="X58" s="85"/>
      <c r="Y58" s="84" t="s">
        <v>76</v>
      </c>
      <c r="Z58" s="84" t="s">
        <v>76</v>
      </c>
      <c r="AA58" s="84">
        <f>AA57-W58</f>
        <v>22</v>
      </c>
    </row>
  </sheetData>
  <mergeCells count="30">
    <mergeCell ref="J1:N1"/>
    <mergeCell ref="O1:S1"/>
    <mergeCell ref="A9:A10"/>
    <mergeCell ref="B9:B10"/>
    <mergeCell ref="M9:M10"/>
    <mergeCell ref="N9:P10"/>
    <mergeCell ref="Q9:Q10"/>
    <mergeCell ref="R9:T10"/>
    <mergeCell ref="U9:W10"/>
    <mergeCell ref="O11:P11"/>
    <mergeCell ref="S11:T11"/>
    <mergeCell ref="V11:W11"/>
    <mergeCell ref="O12:P12"/>
    <mergeCell ref="S12:T12"/>
    <mergeCell ref="V12:W12"/>
    <mergeCell ref="O13:P13"/>
    <mergeCell ref="S13:T13"/>
    <mergeCell ref="V13:W13"/>
    <mergeCell ref="O14:P14"/>
    <mergeCell ref="U53:V54"/>
    <mergeCell ref="W53:X54"/>
    <mergeCell ref="U58:V58"/>
    <mergeCell ref="W58:X58"/>
    <mergeCell ref="Y53:AA53"/>
    <mergeCell ref="U55:V55"/>
    <mergeCell ref="W55:X55"/>
    <mergeCell ref="U56:V56"/>
    <mergeCell ref="W56:X56"/>
    <mergeCell ref="U57:V57"/>
    <mergeCell ref="W57:X5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Pole replacement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Dawid Lizak</dc:creator>
  <cp:lastModifiedBy>Tandem Energy Services</cp:lastModifiedBy>
  <dcterms:created xsi:type="dcterms:W3CDTF">2018-08-15T15:42:56Z</dcterms:created>
  <dcterms:modified xsi:type="dcterms:W3CDTF">2018-08-28T14:51:17Z</dcterms:modified>
</cp:coreProperties>
</file>