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75" windowWidth="16605" windowHeight="7230"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6-b Carrying Charges" sheetId="88" r:id="rId13"/>
    <sheet name="7.  Persistence Report" sheetId="68" r:id="rId14"/>
    <sheet name="8.  Streetlighting" sheetId="85" r:id="rId15"/>
  </sheets>
  <externalReferences>
    <externalReference r:id="rId16"/>
    <externalReference r:id="rId17"/>
  </externalReferences>
  <definedNames>
    <definedName name="_xlnm._FilterDatabase" localSheetId="13" hidden="1">'7.  Persistence Report'!$C$26:$BT$127</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8">'3-a.  Rate Class Allocations'!$A$1:$O$51</definedName>
    <definedName name="_xlnm.Print_Area" localSheetId="9">'4.  2011-2014 LRAM'!$A$1:$AM$533</definedName>
    <definedName name="_xlnm.Print_Area" localSheetId="10">'5.  2015-2020 LRAM'!$A:$AN</definedName>
    <definedName name="_xlnm.Print_Area" localSheetId="11">'6.  Carrying Charges'!$A$1:$X$134</definedName>
    <definedName name="_xlnm.Print_Area" localSheetId="13">'7.  Persistence Report'!$AQ$1:$BP$127</definedName>
    <definedName name="_xlnm.Print_Area" localSheetId="0">Contents!$A$1:$D$27</definedName>
    <definedName name="_xlnm.Print_Area" localSheetId="1">Instructions!$B$16:$U$60</definedName>
    <definedName name="_xlnm.Print_Area" localSheetId="2">'LRAMVA Checklist Schematic'!$A$1:$H$31</definedName>
    <definedName name="_xlnm.Print_Titles" localSheetId="9">'4.  2011-2014 LRAM'!$B:$B</definedName>
    <definedName name="_xlnm.Print_Titles" localSheetId="13">'7.  Persistence Report'!$B:$J</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 localSheetId="12">'[1]LDC Targets'!$A$3:$D$83</definedName>
    <definedName name="Targets">'[2]LDC Targets'!$A$3:$D$83</definedName>
  </definedNames>
  <calcPr calcId="145621"/>
</workbook>
</file>

<file path=xl/calcChain.xml><?xml version="1.0" encoding="utf-8"?>
<calcChain xmlns="http://schemas.openxmlformats.org/spreadsheetml/2006/main">
  <c r="N47" i="88" l="1"/>
  <c r="M47" i="88"/>
  <c r="L47" i="88"/>
  <c r="K47" i="88"/>
  <c r="J47" i="88"/>
  <c r="D36" i="88"/>
  <c r="D37" i="88" s="1"/>
  <c r="D38" i="88" s="1"/>
  <c r="D39" i="88" s="1"/>
  <c r="D40" i="88" s="1"/>
  <c r="D41" i="88" s="1"/>
  <c r="D42" i="88" s="1"/>
  <c r="D43" i="88" s="1"/>
  <c r="D44" i="88" s="1"/>
  <c r="D45" i="88" s="1"/>
  <c r="D35" i="88"/>
  <c r="D34" i="88"/>
  <c r="D22" i="88"/>
  <c r="D23" i="88" s="1"/>
  <c r="D24" i="88" s="1"/>
  <c r="D25" i="88" s="1"/>
  <c r="D26" i="88" s="1"/>
  <c r="D27" i="88" s="1"/>
  <c r="D28" i="88" s="1"/>
  <c r="D29" i="88" s="1"/>
  <c r="D30" i="88" s="1"/>
  <c r="D31" i="88" s="1"/>
  <c r="D21" i="88"/>
  <c r="D20" i="88"/>
  <c r="D8" i="88"/>
  <c r="D9" i="88" s="1"/>
  <c r="D10" i="88" s="1"/>
  <c r="D11" i="88" s="1"/>
  <c r="D12" i="88" s="1"/>
  <c r="D13" i="88" s="1"/>
  <c r="D14" i="88" s="1"/>
  <c r="D15" i="88" s="1"/>
  <c r="D16" i="88" s="1"/>
  <c r="D17" i="88" s="1"/>
  <c r="D7" i="88"/>
  <c r="D6" i="88"/>
  <c r="T29" i="46" l="1"/>
  <c r="Q408" i="46" l="1"/>
  <c r="D122" i="79" l="1"/>
  <c r="D58" i="79" l="1"/>
  <c r="D57" i="79"/>
  <c r="E58" i="79"/>
  <c r="D121" i="79"/>
  <c r="E122" i="79"/>
  <c r="E121" i="79"/>
  <c r="D305" i="79" l="1"/>
  <c r="T127" i="46" l="1"/>
  <c r="I127" i="46"/>
  <c r="BT190" i="68"/>
  <c r="BS190" i="68"/>
  <c r="BR190" i="68"/>
  <c r="BQ190" i="68"/>
  <c r="BP190" i="68"/>
  <c r="BO190" i="68"/>
  <c r="BN190" i="68"/>
  <c r="BM190" i="68"/>
  <c r="BL190" i="68"/>
  <c r="BK190" i="68"/>
  <c r="BJ190" i="68"/>
  <c r="BI190" i="68"/>
  <c r="BH190" i="68"/>
  <c r="BG190" i="68"/>
  <c r="BF190" i="68"/>
  <c r="BE190" i="68"/>
  <c r="BD190" i="68"/>
  <c r="BC190" i="68"/>
  <c r="BB190" i="68"/>
  <c r="BA190" i="68"/>
  <c r="AZ190" i="68"/>
  <c r="AY190" i="68"/>
  <c r="AX190" i="68"/>
  <c r="AW190" i="68"/>
  <c r="AV190" i="68"/>
  <c r="AU190" i="68"/>
  <c r="AT190" i="68"/>
  <c r="AS190" i="68"/>
  <c r="AR190" i="68"/>
  <c r="AQ190" i="68"/>
  <c r="AO190" i="68"/>
  <c r="AN190" i="68"/>
  <c r="AM190" i="68"/>
  <c r="AL190" i="68"/>
  <c r="AK190" i="68"/>
  <c r="AJ190" i="68"/>
  <c r="AI190" i="68"/>
  <c r="AH190" i="68"/>
  <c r="AG190" i="68"/>
  <c r="AF190" i="68"/>
  <c r="AE190" i="68"/>
  <c r="AD190" i="68"/>
  <c r="AC190" i="68"/>
  <c r="AB190" i="68"/>
  <c r="AA190" i="68"/>
  <c r="Z190" i="68"/>
  <c r="Y190" i="68"/>
  <c r="X190" i="68"/>
  <c r="W190" i="68"/>
  <c r="V190" i="68"/>
  <c r="U190" i="68"/>
  <c r="T190" i="68"/>
  <c r="S190" i="68"/>
  <c r="R190" i="68"/>
  <c r="Q190" i="68"/>
  <c r="P190" i="68"/>
  <c r="O190" i="68"/>
  <c r="N190" i="68"/>
  <c r="M190" i="68"/>
  <c r="L190" i="68"/>
  <c r="P408" i="46" l="1"/>
  <c r="O408" i="46"/>
  <c r="E408" i="46"/>
  <c r="F408" i="46"/>
  <c r="D408" i="46"/>
  <c r="E279" i="46"/>
  <c r="F279" i="46"/>
  <c r="G279" i="46"/>
  <c r="D279" i="46"/>
  <c r="E157" i="46"/>
  <c r="F157" i="46"/>
  <c r="G157" i="46"/>
  <c r="H157" i="46"/>
  <c r="D157" i="46"/>
  <c r="P513" i="46" l="1"/>
  <c r="Q513" i="46"/>
  <c r="E513" i="46"/>
  <c r="F513" i="46"/>
  <c r="P384" i="46" l="1"/>
  <c r="Q384" i="46"/>
  <c r="R384" i="46"/>
  <c r="E384" i="46"/>
  <c r="F384" i="46"/>
  <c r="G384" i="46"/>
  <c r="P255" i="46"/>
  <c r="Q255" i="46"/>
  <c r="R255" i="46"/>
  <c r="S255" i="46"/>
  <c r="E255" i="46"/>
  <c r="F255" i="46"/>
  <c r="G255" i="46"/>
  <c r="H255" i="46"/>
  <c r="E30" i="85" l="1"/>
  <c r="E41" i="85"/>
  <c r="E40" i="85"/>
  <c r="E39" i="85"/>
  <c r="E38" i="85"/>
  <c r="E37" i="85"/>
  <c r="E36" i="85"/>
  <c r="E35" i="85"/>
  <c r="E34" i="85"/>
  <c r="E33" i="85"/>
  <c r="E32" i="85"/>
  <c r="E31" i="85"/>
  <c r="E21" i="85"/>
  <c r="E26" i="85"/>
  <c r="E25" i="85"/>
  <c r="E24" i="85"/>
  <c r="E23" i="85"/>
  <c r="E22" i="85"/>
  <c r="N5" i="88" l="1"/>
  <c r="Z378" i="79" l="1"/>
  <c r="P58" i="79" l="1"/>
  <c r="P122" i="79"/>
  <c r="E57" i="79" l="1"/>
  <c r="D304" i="79"/>
  <c r="P195" i="79" l="1"/>
  <c r="E195" i="79"/>
  <c r="O305" i="79" l="1"/>
  <c r="O58" i="79" l="1"/>
  <c r="O122" i="79"/>
  <c r="G43" i="85" l="1"/>
  <c r="G25" i="85"/>
  <c r="G24" i="85"/>
  <c r="G23" i="85"/>
  <c r="G22" i="85"/>
  <c r="G21" i="85"/>
  <c r="R40" i="85" l="1"/>
  <c r="R39" i="85"/>
  <c r="R38" i="85"/>
  <c r="Q38" i="85"/>
  <c r="R37" i="85"/>
  <c r="Q37" i="85"/>
  <c r="P37" i="85"/>
  <c r="R36" i="85"/>
  <c r="Q36" i="85"/>
  <c r="P36" i="85"/>
  <c r="O36" i="85"/>
  <c r="R35" i="85"/>
  <c r="Q35" i="85"/>
  <c r="P35" i="85"/>
  <c r="O35" i="85"/>
  <c r="N35" i="85"/>
  <c r="R34" i="85"/>
  <c r="Q34" i="85"/>
  <c r="P34" i="85"/>
  <c r="O34" i="85"/>
  <c r="N34" i="85"/>
  <c r="M34" i="85"/>
  <c r="R33" i="85"/>
  <c r="Q33" i="85"/>
  <c r="P33" i="85"/>
  <c r="O33" i="85"/>
  <c r="N33" i="85"/>
  <c r="M33" i="85"/>
  <c r="L33" i="85"/>
  <c r="R32" i="85"/>
  <c r="Q32" i="85"/>
  <c r="P32" i="85"/>
  <c r="O32" i="85"/>
  <c r="N32" i="85"/>
  <c r="M32" i="85"/>
  <c r="L32" i="85"/>
  <c r="K32" i="85"/>
  <c r="R31" i="85"/>
  <c r="Q31" i="85"/>
  <c r="P31" i="85"/>
  <c r="O31" i="85"/>
  <c r="N31" i="85"/>
  <c r="M31" i="85"/>
  <c r="L31" i="85"/>
  <c r="K31" i="85"/>
  <c r="J31" i="85"/>
  <c r="R30" i="85"/>
  <c r="Q30" i="85"/>
  <c r="P30" i="85"/>
  <c r="O30" i="85"/>
  <c r="N30" i="85"/>
  <c r="M30" i="85"/>
  <c r="L30" i="85"/>
  <c r="K30" i="85"/>
  <c r="J30" i="85"/>
  <c r="I30" i="85"/>
  <c r="S41" i="85"/>
  <c r="Q39" i="85"/>
  <c r="S39" i="85" s="1"/>
  <c r="P38" i="85"/>
  <c r="S38" i="85" s="1"/>
  <c r="O37" i="85"/>
  <c r="N36" i="85"/>
  <c r="M35" i="85"/>
  <c r="L34" i="85"/>
  <c r="K33" i="85"/>
  <c r="J32" i="85"/>
  <c r="I31" i="85"/>
  <c r="H30" i="85"/>
  <c r="H43" i="85" s="1"/>
  <c r="H44" i="85" s="1"/>
  <c r="R26" i="85"/>
  <c r="Q26" i="85"/>
  <c r="P26" i="85"/>
  <c r="O26" i="85"/>
  <c r="N26" i="85"/>
  <c r="M26" i="85"/>
  <c r="L26" i="85"/>
  <c r="K26" i="85"/>
  <c r="J26" i="85"/>
  <c r="I26" i="85"/>
  <c r="H26" i="85"/>
  <c r="R25" i="85"/>
  <c r="Q25" i="85"/>
  <c r="P25" i="85"/>
  <c r="O25" i="85"/>
  <c r="N25" i="85"/>
  <c r="M25" i="85"/>
  <c r="L25" i="85"/>
  <c r="K25" i="85"/>
  <c r="J25" i="85"/>
  <c r="I25" i="85"/>
  <c r="H25" i="85"/>
  <c r="R24" i="85"/>
  <c r="Q24" i="85"/>
  <c r="P24" i="85"/>
  <c r="O24" i="85"/>
  <c r="N24" i="85"/>
  <c r="M24" i="85"/>
  <c r="L24" i="85"/>
  <c r="K24" i="85"/>
  <c r="J24" i="85"/>
  <c r="I24" i="85"/>
  <c r="H24" i="85"/>
  <c r="R23" i="85"/>
  <c r="Q23" i="85"/>
  <c r="P23" i="85"/>
  <c r="O23" i="85"/>
  <c r="N23" i="85"/>
  <c r="M23" i="85"/>
  <c r="L23" i="85"/>
  <c r="K23" i="85"/>
  <c r="J23" i="85"/>
  <c r="I23" i="85"/>
  <c r="H23" i="85"/>
  <c r="R22" i="85"/>
  <c r="Q22" i="85"/>
  <c r="P22" i="85"/>
  <c r="O22" i="85"/>
  <c r="N22" i="85"/>
  <c r="M22" i="85"/>
  <c r="L22" i="85"/>
  <c r="K22" i="85"/>
  <c r="J22" i="85"/>
  <c r="I22" i="85"/>
  <c r="H22" i="85"/>
  <c r="R21" i="85"/>
  <c r="Q21" i="85"/>
  <c r="P21" i="85"/>
  <c r="O21" i="85"/>
  <c r="N21" i="85"/>
  <c r="M21" i="85"/>
  <c r="L21" i="85"/>
  <c r="K21" i="85"/>
  <c r="J21" i="85"/>
  <c r="I21" i="85"/>
  <c r="H21" i="85"/>
  <c r="G26" i="85"/>
  <c r="G27" i="85" s="1"/>
  <c r="S40" i="85"/>
  <c r="K43" i="85" l="1"/>
  <c r="K44" i="85" s="1"/>
  <c r="K47" i="85" s="1"/>
  <c r="O43" i="85"/>
  <c r="O44" i="85" s="1"/>
  <c r="O47" i="85" s="1"/>
  <c r="S22" i="85"/>
  <c r="G28" i="85"/>
  <c r="G46" i="85"/>
  <c r="J43" i="85"/>
  <c r="J46" i="85" s="1"/>
  <c r="N43" i="85"/>
  <c r="N46" i="85" s="1"/>
  <c r="R43" i="85"/>
  <c r="S37" i="85"/>
  <c r="S36" i="85"/>
  <c r="L43" i="85"/>
  <c r="L44" i="85" s="1"/>
  <c r="P43" i="85"/>
  <c r="J27" i="85"/>
  <c r="J28" i="85" s="1"/>
  <c r="N27" i="85"/>
  <c r="N28" i="85" s="1"/>
  <c r="R27" i="85"/>
  <c r="R28" i="85" s="1"/>
  <c r="I43" i="85"/>
  <c r="M43" i="85"/>
  <c r="M44" i="85" s="1"/>
  <c r="Q43" i="85"/>
  <c r="Q46" i="85" s="1"/>
  <c r="K27" i="85"/>
  <c r="K28" i="85" s="1"/>
  <c r="S23" i="85"/>
  <c r="H27" i="85"/>
  <c r="L27" i="85"/>
  <c r="L28" i="85" s="1"/>
  <c r="P27" i="85"/>
  <c r="P28" i="85" s="1"/>
  <c r="O27" i="85"/>
  <c r="O28" i="85" s="1"/>
  <c r="I27" i="85"/>
  <c r="I28" i="85" s="1"/>
  <c r="M27" i="85"/>
  <c r="M28" i="85" s="1"/>
  <c r="Q27" i="85"/>
  <c r="Q28" i="85" s="1"/>
  <c r="S35" i="85"/>
  <c r="S34" i="85"/>
  <c r="S26" i="85"/>
  <c r="S24" i="85"/>
  <c r="S33" i="85"/>
  <c r="S32" i="85"/>
  <c r="S31" i="85"/>
  <c r="P44" i="85"/>
  <c r="P47" i="85" s="1"/>
  <c r="S30" i="85"/>
  <c r="R44" i="85"/>
  <c r="Q44" i="85"/>
  <c r="Q47" i="85" s="1"/>
  <c r="N44" i="85"/>
  <c r="I44" i="85"/>
  <c r="S25" i="85"/>
  <c r="G44" i="85"/>
  <c r="G47" i="85" s="1"/>
  <c r="S21" i="85"/>
  <c r="K6" i="88"/>
  <c r="J90" i="47" s="1"/>
  <c r="L6" i="88"/>
  <c r="K90" i="47" s="1"/>
  <c r="M6" i="88"/>
  <c r="L90" i="47" s="1"/>
  <c r="J6" i="88"/>
  <c r="I90" i="47" s="1"/>
  <c r="R47" i="85" l="1"/>
  <c r="M47" i="85"/>
  <c r="R46" i="85"/>
  <c r="J44" i="85"/>
  <c r="J47" i="85" s="1"/>
  <c r="L47" i="85"/>
  <c r="P46" i="85"/>
  <c r="N47" i="85"/>
  <c r="S43" i="85"/>
  <c r="I47" i="85"/>
  <c r="S27" i="85"/>
  <c r="S28" i="85" s="1"/>
  <c r="K46" i="85"/>
  <c r="I46" i="85"/>
  <c r="L46" i="85"/>
  <c r="O46" i="85"/>
  <c r="H28" i="85"/>
  <c r="H47" i="85" s="1"/>
  <c r="H46" i="85"/>
  <c r="M46" i="85"/>
  <c r="S44" i="85"/>
  <c r="S47" i="85" s="1"/>
  <c r="G67" i="43" s="1"/>
  <c r="N6" i="88"/>
  <c r="S46" i="85" l="1"/>
  <c r="R127" i="46" l="1"/>
  <c r="S127" i="46"/>
  <c r="F127" i="46"/>
  <c r="G127" i="46"/>
  <c r="H127" i="46"/>
  <c r="Q127" i="46"/>
  <c r="E127" i="46"/>
  <c r="P127" i="46" l="1"/>
  <c r="E22" i="45"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AA127" i="46" s="1"/>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L43" i="45"/>
  <c r="M43" i="45"/>
  <c r="N43" i="45"/>
  <c r="N36" i="45"/>
  <c r="F36" i="45"/>
  <c r="G36" i="45"/>
  <c r="H36" i="45"/>
  <c r="I36" i="45"/>
  <c r="J36" i="45"/>
  <c r="L36" i="45"/>
  <c r="M36" i="45"/>
  <c r="E29" i="45"/>
  <c r="F29" i="45"/>
  <c r="G29" i="45"/>
  <c r="H29" i="45"/>
  <c r="I29" i="45"/>
  <c r="J29" i="45"/>
  <c r="L29" i="45"/>
  <c r="M29" i="45"/>
  <c r="N29" i="45"/>
  <c r="G22" i="45"/>
  <c r="H22" i="45"/>
  <c r="I22" i="45"/>
  <c r="J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N4" i="88" s="1"/>
  <c r="J14" i="47"/>
  <c r="K4" i="88" s="1"/>
  <c r="K14" i="47"/>
  <c r="L4" i="88" s="1"/>
  <c r="L14" i="47"/>
  <c r="M4" i="88" s="1"/>
  <c r="M14" i="47"/>
  <c r="N14" i="47"/>
  <c r="O14" i="47"/>
  <c r="I14" i="47"/>
  <c r="J4" i="88" s="1"/>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1" i="43" s="1"/>
  <c r="AE198" i="79"/>
  <c r="AE202" i="79" s="1"/>
  <c r="AD522" i="46"/>
  <c r="I62" i="43" s="1"/>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9" i="79"/>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392" i="46"/>
  <c r="J59" i="43" s="1"/>
  <c r="AE390" i="46"/>
  <c r="AE388" i="46"/>
  <c r="Y132" i="46"/>
  <c r="Y131" i="46"/>
  <c r="Y392" i="46"/>
  <c r="Y390" i="46"/>
  <c r="Y199" i="79"/>
  <c r="Y203" i="79"/>
  <c r="Z262" i="46"/>
  <c r="E56" i="43" s="1"/>
  <c r="Z260" i="46"/>
  <c r="Z259" i="46"/>
  <c r="Z392" i="46"/>
  <c r="E59" i="43" s="1"/>
  <c r="Z390" i="46"/>
  <c r="Z388" i="46"/>
  <c r="AC131" i="46"/>
  <c r="H52" i="43" s="1"/>
  <c r="AA131" i="46"/>
  <c r="AB131" i="46"/>
  <c r="G52" i="43" s="1"/>
  <c r="Z131" i="46"/>
  <c r="Z132" i="46"/>
  <c r="E53" i="43" s="1"/>
  <c r="I52" i="43"/>
  <c r="AK570" i="79" l="1"/>
  <c r="AK565" i="79"/>
  <c r="AK567" i="79"/>
  <c r="AK571" i="79"/>
  <c r="AK566" i="79"/>
  <c r="AE205" i="79"/>
  <c r="J65" i="43" s="1"/>
  <c r="AE200" i="79"/>
  <c r="AE204" i="79" s="1"/>
  <c r="J64" i="43" s="1"/>
  <c r="AM259" i="46"/>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A391" i="46"/>
  <c r="K45" i="47" s="1"/>
  <c r="AL521" i="46"/>
  <c r="Q61" i="43" s="1"/>
  <c r="AC391" i="46"/>
  <c r="H58" i="43" s="1"/>
  <c r="M45" i="47" s="1"/>
  <c r="AE521" i="46"/>
  <c r="J61" i="43" s="1"/>
  <c r="AD391" i="46"/>
  <c r="I58" i="43" s="1"/>
  <c r="N51" i="47" s="1"/>
  <c r="AB521" i="46"/>
  <c r="G61" i="43" s="1"/>
  <c r="AD521" i="46"/>
  <c r="I61" i="43" s="1"/>
  <c r="AA521" i="46"/>
  <c r="AC521" i="46"/>
  <c r="H61" i="43" s="1"/>
  <c r="Z521" i="46"/>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Z391" i="46"/>
  <c r="Z261" i="46"/>
  <c r="Y391" i="46"/>
  <c r="J52" i="43"/>
  <c r="D53" i="43"/>
  <c r="AK572" i="79" l="1"/>
  <c r="P70" i="43" s="1"/>
  <c r="R53"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L81" i="47" s="1"/>
  <c r="AL572" i="79"/>
  <c r="Q70" i="43" s="1"/>
  <c r="E93" i="43"/>
  <c r="Z388" i="79"/>
  <c r="E67" i="43" s="1"/>
  <c r="AA204" i="79"/>
  <c r="AG572" i="79"/>
  <c r="L70" i="43" s="1"/>
  <c r="AB388" i="79"/>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R61"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I101" i="43"/>
  <c r="L79" i="47"/>
  <c r="G101" i="43"/>
  <c r="J101" i="43"/>
  <c r="L83" i="47"/>
  <c r="L78" i="47"/>
  <c r="K101" i="43"/>
  <c r="L76" i="47"/>
  <c r="M95" i="43"/>
  <c r="L80" i="47"/>
  <c r="E101" i="43"/>
  <c r="M99" i="43"/>
  <c r="M91" i="43"/>
  <c r="L84" i="47"/>
  <c r="W18" i="47"/>
  <c r="M94" i="43"/>
  <c r="M96" i="43"/>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R70" i="43"/>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E33" i="43"/>
  <c r="R67" i="43"/>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N122" i="47"/>
  <c r="N91" i="47"/>
  <c r="N99" i="47"/>
  <c r="N106" i="47"/>
  <c r="S111" i="47"/>
  <c r="S94" i="47"/>
  <c r="S97" i="47"/>
  <c r="P125" i="47"/>
  <c r="U123" i="47"/>
  <c r="N98" i="47"/>
  <c r="N100" i="47"/>
  <c r="N109" i="47"/>
  <c r="N112" i="47"/>
  <c r="M124" i="47"/>
  <c r="E39" i="43"/>
  <c r="U124" i="47"/>
  <c r="S91" i="47"/>
  <c r="S120" i="47"/>
  <c r="S96" i="47"/>
  <c r="E37" i="43"/>
  <c r="U120" i="47"/>
  <c r="U131" i="47"/>
  <c r="N115" i="47"/>
  <c r="N105" i="47"/>
  <c r="N94" i="47"/>
  <c r="N96" i="47"/>
  <c r="U130" i="47"/>
  <c r="S110" i="47"/>
  <c r="S106" i="47"/>
  <c r="S99" i="47"/>
  <c r="S112" i="47"/>
  <c r="R76" i="43"/>
  <c r="R73" i="43"/>
  <c r="R79" i="43"/>
  <c r="U126" i="47"/>
  <c r="N108" i="47"/>
  <c r="U128" i="47"/>
  <c r="U127" i="47"/>
  <c r="U129" i="47"/>
  <c r="S115" i="47"/>
  <c r="S90" i="47"/>
  <c r="S105" i="47"/>
  <c r="E34" i="43"/>
  <c r="R64" i="47"/>
  <c r="R53" i="47"/>
  <c r="O123" i="47"/>
  <c r="R52" i="47"/>
  <c r="R51" i="47"/>
  <c r="P129" i="47"/>
  <c r="R62" i="47"/>
  <c r="O131" i="47"/>
  <c r="O121" i="47"/>
  <c r="N121" i="47"/>
  <c r="E32" i="43"/>
  <c r="M126" i="47"/>
  <c r="M127" i="47"/>
  <c r="N131" i="47"/>
  <c r="S128" i="47"/>
  <c r="S123" i="47"/>
  <c r="R71" i="47"/>
  <c r="R67" i="47"/>
  <c r="R48" i="47"/>
  <c r="R61" i="47"/>
  <c r="E35" i="43"/>
  <c r="R60" i="47"/>
  <c r="R45" i="47"/>
  <c r="E30" i="43"/>
  <c r="M130" i="47"/>
  <c r="M131" i="47"/>
  <c r="R54" i="47"/>
  <c r="R46" i="47"/>
  <c r="R66" i="47"/>
  <c r="P128" i="47"/>
  <c r="N129" i="47"/>
  <c r="M120" i="47"/>
  <c r="M121" i="47"/>
  <c r="M123" i="47"/>
  <c r="N130" i="47"/>
  <c r="N128" i="47"/>
  <c r="S130" i="47"/>
  <c r="S127" i="47"/>
  <c r="S121" i="47"/>
  <c r="R56" i="47"/>
  <c r="R47" i="47"/>
  <c r="R122" i="47"/>
  <c r="R58" i="43"/>
  <c r="M129" i="47"/>
  <c r="N127" i="47"/>
  <c r="R50" i="47"/>
  <c r="P124" i="47"/>
  <c r="R65" i="47"/>
  <c r="O130" i="47"/>
  <c r="O129" i="47"/>
  <c r="N124" i="47"/>
  <c r="N120" i="47"/>
  <c r="N123" i="47"/>
  <c r="N125" i="47"/>
  <c r="S124" i="47"/>
  <c r="S129" i="47"/>
  <c r="R63" i="47"/>
  <c r="P131" i="47"/>
  <c r="O125" i="47"/>
  <c r="M125" i="47"/>
  <c r="E31" i="43"/>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E40" i="43"/>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E38" i="43"/>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E36" i="43"/>
  <c r="R64" i="43"/>
  <c r="R120" i="47"/>
  <c r="R100" i="47"/>
  <c r="R115" i="47"/>
  <c r="R90" i="47"/>
  <c r="R108" i="47"/>
  <c r="R93" i="47"/>
  <c r="R101" i="47"/>
  <c r="R82" i="47"/>
  <c r="R91" i="47"/>
  <c r="R85" i="47"/>
  <c r="R97" i="47"/>
  <c r="Q57" i="47"/>
  <c r="Q59" i="47" s="1"/>
  <c r="Q72" i="47" s="1"/>
  <c r="Q74" i="47" s="1"/>
  <c r="R129" i="47"/>
  <c r="R92" i="47"/>
  <c r="R124" i="47"/>
  <c r="R98" i="47"/>
  <c r="R116" i="47"/>
  <c r="R126" i="47"/>
  <c r="R130"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K63" i="47"/>
  <c r="K65" i="47"/>
  <c r="K81" i="47"/>
  <c r="K76" i="47"/>
  <c r="K85" i="47"/>
  <c r="E29" i="43"/>
  <c r="K77" i="47"/>
  <c r="K64" i="47"/>
  <c r="K84" i="47"/>
  <c r="K69" i="47"/>
  <c r="K78" i="47"/>
  <c r="K86" i="47"/>
  <c r="K83" i="47"/>
  <c r="K68" i="47"/>
  <c r="K79" i="47"/>
  <c r="K62" i="47"/>
  <c r="K60" i="47"/>
  <c r="K80" i="47"/>
  <c r="K71" i="47"/>
  <c r="K75" i="47"/>
  <c r="K70" i="47"/>
  <c r="K67" i="47"/>
  <c r="K61" i="47"/>
  <c r="K82" i="47"/>
  <c r="K66" i="47"/>
  <c r="I71" i="47"/>
  <c r="I68" i="47"/>
  <c r="I60" i="47"/>
  <c r="I70" i="47"/>
  <c r="I75" i="47"/>
  <c r="I83" i="47"/>
  <c r="I66" i="47"/>
  <c r="I54" i="47"/>
  <c r="I63" i="47"/>
  <c r="I61" i="47"/>
  <c r="I47" i="47"/>
  <c r="I85" i="47"/>
  <c r="I82" i="47"/>
  <c r="I77" i="47"/>
  <c r="I65" i="47"/>
  <c r="I80" i="47"/>
  <c r="I48" i="47"/>
  <c r="I79" i="47"/>
  <c r="I62" i="47"/>
  <c r="I76" i="47"/>
  <c r="I56" i="47"/>
  <c r="I69" i="47"/>
  <c r="I53" i="47"/>
  <c r="I55" i="47"/>
  <c r="I46" i="47"/>
  <c r="I51" i="47"/>
  <c r="I86" i="47"/>
  <c r="I84" i="47"/>
  <c r="I49" i="47"/>
  <c r="I67" i="47"/>
  <c r="I50" i="47"/>
  <c r="I81" i="47"/>
  <c r="I64" i="47"/>
  <c r="I52" i="47"/>
  <c r="I45" i="47"/>
  <c r="I78" i="47"/>
  <c r="E28" i="43"/>
  <c r="J76"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E41" i="43"/>
  <c r="W64" i="47"/>
  <c r="W55" i="47"/>
  <c r="W46" i="47"/>
  <c r="W48" i="47"/>
  <c r="W66" i="47"/>
  <c r="W82" i="47"/>
  <c r="W56" i="47"/>
  <c r="W61" i="47"/>
  <c r="W76" i="47"/>
  <c r="W85" i="47"/>
  <c r="W83" i="47"/>
  <c r="W45" i="47"/>
  <c r="W50" i="47"/>
  <c r="W51" i="47"/>
  <c r="W69" i="47"/>
  <c r="W79" i="47"/>
  <c r="W77" i="47"/>
  <c r="W47" i="47"/>
  <c r="W54" i="47"/>
  <c r="W68" i="47"/>
  <c r="W71" i="47"/>
  <c r="W52" i="47"/>
  <c r="W67" i="47"/>
  <c r="W49" i="47"/>
  <c r="W80" i="47"/>
  <c r="W70" i="47"/>
  <c r="W78" i="47"/>
  <c r="W81" i="47"/>
  <c r="W84" i="47"/>
  <c r="W86" i="47"/>
  <c r="W90" i="47"/>
  <c r="W53"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C7" i="88" l="1"/>
  <c r="V104" i="47"/>
  <c r="V117" i="47" s="1"/>
  <c r="V119" i="47" s="1"/>
  <c r="V132" i="47" s="1"/>
  <c r="Q82" i="43"/>
  <c r="P104" i="47"/>
  <c r="P117" i="47" s="1"/>
  <c r="P119" i="47" s="1"/>
  <c r="P132" i="47" s="1"/>
  <c r="K82" i="43"/>
  <c r="R104" i="47"/>
  <c r="R117" i="47" s="1"/>
  <c r="R119" i="47" s="1"/>
  <c r="R132" i="47" s="1"/>
  <c r="M82" i="43"/>
  <c r="Q104" i="47"/>
  <c r="Q117" i="47" s="1"/>
  <c r="Q119" i="47" s="1"/>
  <c r="Q132" i="47" s="1"/>
  <c r="L82" i="43"/>
  <c r="L83" i="43" s="1"/>
  <c r="S104" i="47"/>
  <c r="S117" i="47" s="1"/>
  <c r="S119" i="47" s="1"/>
  <c r="S132" i="47" s="1"/>
  <c r="N82" i="43"/>
  <c r="N83" i="43" s="1"/>
  <c r="T104" i="47"/>
  <c r="T117" i="47" s="1"/>
  <c r="T119" i="47" s="1"/>
  <c r="T132" i="47" s="1"/>
  <c r="O82" i="43"/>
  <c r="O83" i="43" s="1"/>
  <c r="U104" i="47"/>
  <c r="U117" i="47" s="1"/>
  <c r="U119" i="47" s="1"/>
  <c r="U132" i="47" s="1"/>
  <c r="P82" i="43"/>
  <c r="P83" i="43" s="1"/>
  <c r="W29" i="47"/>
  <c r="C104" i="43"/>
  <c r="M72" i="47"/>
  <c r="M74" i="47" s="1"/>
  <c r="M87" i="47" s="1"/>
  <c r="M89" i="47" s="1"/>
  <c r="M102" i="47" s="1"/>
  <c r="I72" i="47"/>
  <c r="I74" i="47" s="1"/>
  <c r="I87" i="47" s="1"/>
  <c r="I89" i="47" s="1"/>
  <c r="J72" i="47"/>
  <c r="J74" i="47" s="1"/>
  <c r="J87" i="47" s="1"/>
  <c r="J89" i="47" s="1"/>
  <c r="N72" i="47"/>
  <c r="N74" i="47" s="1"/>
  <c r="N87" i="47" s="1"/>
  <c r="N89" i="47" s="1"/>
  <c r="N102" i="47" s="1"/>
  <c r="O72" i="47"/>
  <c r="O74" i="47" s="1"/>
  <c r="O87" i="47" s="1"/>
  <c r="O89" i="47" s="1"/>
  <c r="O102" i="47" s="1"/>
  <c r="L44" i="47"/>
  <c r="L57" i="47" s="1"/>
  <c r="L59" i="47" s="1"/>
  <c r="C8" i="88" l="1"/>
  <c r="E6" i="88"/>
  <c r="M7" i="88"/>
  <c r="L91" i="47" s="1"/>
  <c r="J7" i="88"/>
  <c r="K7" i="88"/>
  <c r="J91" i="47" s="1"/>
  <c r="L7" i="88"/>
  <c r="K91" i="47" s="1"/>
  <c r="F36" i="43"/>
  <c r="G36" i="43" s="1"/>
  <c r="M83" i="43"/>
  <c r="F34" i="43"/>
  <c r="G34" i="43" s="1"/>
  <c r="K83" i="43"/>
  <c r="F40" i="43"/>
  <c r="G40" i="43" s="1"/>
  <c r="Q83" i="43"/>
  <c r="F39" i="43"/>
  <c r="G39" i="43" s="1"/>
  <c r="F37" i="43"/>
  <c r="G37" i="43" s="1"/>
  <c r="O104" i="47"/>
  <c r="O117" i="47" s="1"/>
  <c r="O119" i="47" s="1"/>
  <c r="O132" i="47" s="1"/>
  <c r="J82" i="43"/>
  <c r="J83" i="43" s="1"/>
  <c r="F38" i="43"/>
  <c r="G38" i="43" s="1"/>
  <c r="F35" i="43"/>
  <c r="G35" i="43" s="1"/>
  <c r="M104" i="47"/>
  <c r="M117" i="47" s="1"/>
  <c r="M119" i="47" s="1"/>
  <c r="M132" i="47" s="1"/>
  <c r="H82" i="43"/>
  <c r="N104" i="47"/>
  <c r="N117" i="47" s="1"/>
  <c r="N119" i="47" s="1"/>
  <c r="N132" i="47" s="1"/>
  <c r="I82" i="43"/>
  <c r="L72" i="47"/>
  <c r="L74" i="47" s="1"/>
  <c r="L87" i="47" s="1"/>
  <c r="L89" i="47" s="1"/>
  <c r="E7" i="88" l="1"/>
  <c r="I91" i="47"/>
  <c r="W91" i="47" s="1"/>
  <c r="N7" i="88"/>
  <c r="K8" i="88"/>
  <c r="J92" i="47" s="1"/>
  <c r="L8" i="88"/>
  <c r="K92" i="47" s="1"/>
  <c r="M8" i="88"/>
  <c r="L92" i="47" s="1"/>
  <c r="J8" i="88"/>
  <c r="F31" i="43"/>
  <c r="G31" i="43" s="1"/>
  <c r="H83" i="43"/>
  <c r="F32" i="43"/>
  <c r="G32" i="43" s="1"/>
  <c r="I83" i="43"/>
  <c r="F33" i="43"/>
  <c r="G33" i="43" s="1"/>
  <c r="E8" i="88" l="1"/>
  <c r="C9" i="88"/>
  <c r="M9" i="88" s="1"/>
  <c r="L93" i="47" s="1"/>
  <c r="N8" i="88"/>
  <c r="I92" i="47"/>
  <c r="W92" i="47" s="1"/>
  <c r="W42" i="47"/>
  <c r="D103" i="43" s="1"/>
  <c r="K42" i="47"/>
  <c r="K9" i="88" l="1"/>
  <c r="J93" i="47" s="1"/>
  <c r="L9" i="88"/>
  <c r="K93" i="47" s="1"/>
  <c r="C11" i="88"/>
  <c r="C10" i="88"/>
  <c r="M10" i="88" s="1"/>
  <c r="L94" i="47" s="1"/>
  <c r="J9" i="88"/>
  <c r="I93" i="47" s="1"/>
  <c r="E9" i="88"/>
  <c r="D104" i="43"/>
  <c r="K44" i="47"/>
  <c r="K57" i="47" s="1"/>
  <c r="K59" i="47" s="1"/>
  <c r="W44" i="47"/>
  <c r="W57" i="47" s="1"/>
  <c r="C12" i="88" l="1"/>
  <c r="W93" i="47"/>
  <c r="L10" i="88"/>
  <c r="K94" i="47" s="1"/>
  <c r="E10" i="88"/>
  <c r="K10" i="88"/>
  <c r="J94" i="47" s="1"/>
  <c r="J10" i="88"/>
  <c r="I94" i="47" s="1"/>
  <c r="N9" i="88"/>
  <c r="L11" i="88"/>
  <c r="K95" i="47" s="1"/>
  <c r="M11" i="88"/>
  <c r="L95" i="47" s="1"/>
  <c r="J11" i="88"/>
  <c r="K11" i="88"/>
  <c r="J95" i="47" s="1"/>
  <c r="W59" i="47"/>
  <c r="W72" i="47" s="1"/>
  <c r="E103" i="43"/>
  <c r="K72" i="47"/>
  <c r="K74" i="47" s="1"/>
  <c r="K87" i="47" s="1"/>
  <c r="K89" i="47" s="1"/>
  <c r="C13" i="88" l="1"/>
  <c r="E11" i="88"/>
  <c r="W94" i="47"/>
  <c r="N10" i="88"/>
  <c r="I95" i="47"/>
  <c r="W95" i="47" s="1"/>
  <c r="N11" i="88"/>
  <c r="K12" i="88"/>
  <c r="J96" i="47" s="1"/>
  <c r="L12" i="88"/>
  <c r="K96" i="47" s="1"/>
  <c r="M12" i="88"/>
  <c r="L96" i="47" s="1"/>
  <c r="J12" i="88"/>
  <c r="W74" i="47"/>
  <c r="W87" i="47" s="1"/>
  <c r="F103" i="43"/>
  <c r="F104" i="43" s="1"/>
  <c r="E104" i="43"/>
  <c r="E12" i="88" l="1"/>
  <c r="C14" i="88"/>
  <c r="J13" i="88"/>
  <c r="K13" i="88"/>
  <c r="J97" i="47" s="1"/>
  <c r="L13" i="88"/>
  <c r="K97" i="47" s="1"/>
  <c r="M13" i="88"/>
  <c r="L97" i="47" s="1"/>
  <c r="I96" i="47"/>
  <c r="W96" i="47" s="1"/>
  <c r="N12" i="88"/>
  <c r="W89" i="47"/>
  <c r="G103" i="43"/>
  <c r="E13" i="88" l="1"/>
  <c r="C15" i="88"/>
  <c r="M14" i="88"/>
  <c r="L98" i="47" s="1"/>
  <c r="J14" i="88"/>
  <c r="K14" i="88"/>
  <c r="J98" i="47" s="1"/>
  <c r="L14" i="88"/>
  <c r="K98" i="47" s="1"/>
  <c r="I97" i="47"/>
  <c r="W97" i="47" s="1"/>
  <c r="N13" i="88"/>
  <c r="G104" i="43"/>
  <c r="E14" i="88" l="1"/>
  <c r="C16" i="88"/>
  <c r="I98" i="47"/>
  <c r="W98" i="47" s="1"/>
  <c r="N14" i="88"/>
  <c r="L15" i="88"/>
  <c r="K99" i="47" s="1"/>
  <c r="M15" i="88"/>
  <c r="L99" i="47" s="1"/>
  <c r="J15" i="88"/>
  <c r="K15" i="88"/>
  <c r="J99" i="47" s="1"/>
  <c r="E15" i="88" l="1"/>
  <c r="C17" i="88"/>
  <c r="K16" i="88"/>
  <c r="J100" i="47" s="1"/>
  <c r="L16" i="88"/>
  <c r="K100" i="47" s="1"/>
  <c r="M16" i="88"/>
  <c r="L100" i="47" s="1"/>
  <c r="J16" i="88"/>
  <c r="N15" i="88"/>
  <c r="I99" i="47"/>
  <c r="W99" i="47" s="1"/>
  <c r="E16" i="88" l="1"/>
  <c r="C20" i="88"/>
  <c r="J17" i="88"/>
  <c r="K17" i="88"/>
  <c r="J101" i="47" s="1"/>
  <c r="J102" i="47" s="1"/>
  <c r="J104" i="47" s="1"/>
  <c r="L17" i="88"/>
  <c r="K101" i="47" s="1"/>
  <c r="K102" i="47" s="1"/>
  <c r="K104" i="47" s="1"/>
  <c r="M17" i="88"/>
  <c r="L101" i="47" s="1"/>
  <c r="L102" i="47" s="1"/>
  <c r="L104" i="47" s="1"/>
  <c r="N16" i="88"/>
  <c r="I100" i="47"/>
  <c r="W100" i="47" s="1"/>
  <c r="E17" i="88" l="1"/>
  <c r="I101" i="47"/>
  <c r="N17" i="88"/>
  <c r="E20" i="88" l="1"/>
  <c r="C21" i="88"/>
  <c r="M20" i="88"/>
  <c r="L105" i="47" s="1"/>
  <c r="L20" i="88"/>
  <c r="K105" i="47" s="1"/>
  <c r="K20" i="88"/>
  <c r="J105" i="47" s="1"/>
  <c r="J20" i="88"/>
  <c r="I102" i="47"/>
  <c r="I104" i="47" s="1"/>
  <c r="W101" i="47"/>
  <c r="W102" i="47" s="1"/>
  <c r="E21" i="88" l="1"/>
  <c r="C22" i="88"/>
  <c r="N20" i="88"/>
  <c r="I105" i="47"/>
  <c r="W105" i="47" s="1"/>
  <c r="W104" i="47"/>
  <c r="H103" i="43"/>
  <c r="M21" i="88"/>
  <c r="L106" i="47" s="1"/>
  <c r="L21" i="88"/>
  <c r="K106" i="47" s="1"/>
  <c r="K21" i="88"/>
  <c r="J106" i="47" s="1"/>
  <c r="J21" i="88"/>
  <c r="E22" i="88" l="1"/>
  <c r="C23" i="88"/>
  <c r="I106" i="47"/>
  <c r="N21" i="88"/>
  <c r="H104" i="43"/>
  <c r="M22" i="88"/>
  <c r="L107" i="47" s="1"/>
  <c r="L22" i="88"/>
  <c r="K107" i="47" s="1"/>
  <c r="J22" i="88"/>
  <c r="K22" i="88"/>
  <c r="J107" i="47" s="1"/>
  <c r="E23" i="88" l="1"/>
  <c r="C24" i="88"/>
  <c r="M23" i="88"/>
  <c r="L108" i="47" s="1"/>
  <c r="L23" i="88"/>
  <c r="K108" i="47" s="1"/>
  <c r="K23" i="88"/>
  <c r="J108" i="47" s="1"/>
  <c r="J23" i="88"/>
  <c r="W106" i="47"/>
  <c r="I107" i="47"/>
  <c r="W107" i="47" s="1"/>
  <c r="N22" i="88"/>
  <c r="E24" i="88" l="1"/>
  <c r="C25" i="88"/>
  <c r="N23" i="88"/>
  <c r="I108" i="47"/>
  <c r="W108" i="47" s="1"/>
  <c r="M24" i="88"/>
  <c r="L109" i="47" s="1"/>
  <c r="L24" i="88"/>
  <c r="K109" i="47" s="1"/>
  <c r="K24" i="88"/>
  <c r="J109" i="47" s="1"/>
  <c r="J24" i="88"/>
  <c r="E25" i="88" l="1"/>
  <c r="C26" i="88"/>
  <c r="I109" i="47"/>
  <c r="N24" i="88"/>
  <c r="M25" i="88"/>
  <c r="L110" i="47" s="1"/>
  <c r="L25" i="88"/>
  <c r="K110" i="47" s="1"/>
  <c r="K25" i="88"/>
  <c r="J110" i="47" s="1"/>
  <c r="J25" i="88"/>
  <c r="E26" i="88" l="1"/>
  <c r="C27" i="88"/>
  <c r="M26" i="88"/>
  <c r="L111" i="47" s="1"/>
  <c r="L26" i="88"/>
  <c r="K111" i="47" s="1"/>
  <c r="K26" i="88"/>
  <c r="J111" i="47" s="1"/>
  <c r="J26" i="88"/>
  <c r="I110" i="47"/>
  <c r="W110" i="47" s="1"/>
  <c r="N25" i="88"/>
  <c r="W109" i="47"/>
  <c r="E27" i="88" l="1"/>
  <c r="C28" i="88"/>
  <c r="M27" i="88"/>
  <c r="L112" i="47" s="1"/>
  <c r="L27" i="88"/>
  <c r="K112" i="47" s="1"/>
  <c r="K27" i="88"/>
  <c r="J112" i="47" s="1"/>
  <c r="J27" i="88"/>
  <c r="I111" i="47"/>
  <c r="N26" i="88"/>
  <c r="E28" i="88" l="1"/>
  <c r="C29" i="88"/>
  <c r="N27" i="88"/>
  <c r="I112" i="47"/>
  <c r="W112" i="47" s="1"/>
  <c r="J28" i="88"/>
  <c r="M28" i="88"/>
  <c r="L113" i="47" s="1"/>
  <c r="L28" i="88"/>
  <c r="K113" i="47" s="1"/>
  <c r="K28" i="88"/>
  <c r="J113" i="47" s="1"/>
  <c r="W111" i="47"/>
  <c r="E29" i="88" l="1"/>
  <c r="C30" i="88"/>
  <c r="M29" i="88"/>
  <c r="L114" i="47" s="1"/>
  <c r="L29" i="88"/>
  <c r="K114" i="47" s="1"/>
  <c r="K29" i="88"/>
  <c r="J114" i="47" s="1"/>
  <c r="J29" i="88"/>
  <c r="I113" i="47"/>
  <c r="W113" i="47" s="1"/>
  <c r="N28" i="88"/>
  <c r="E30" i="88" l="1"/>
  <c r="C31" i="88"/>
  <c r="M30" i="88"/>
  <c r="L115" i="47" s="1"/>
  <c r="J30" i="88"/>
  <c r="K30" i="88"/>
  <c r="J115" i="47" s="1"/>
  <c r="L30" i="88"/>
  <c r="K115" i="47" s="1"/>
  <c r="I114" i="47"/>
  <c r="W114" i="47" s="1"/>
  <c r="N29" i="88"/>
  <c r="E31" i="88" l="1"/>
  <c r="N30" i="88"/>
  <c r="I115" i="47"/>
  <c r="W115" i="47" s="1"/>
  <c r="M31" i="88"/>
  <c r="L116" i="47" s="1"/>
  <c r="L117" i="47" s="1"/>
  <c r="L119" i="47" s="1"/>
  <c r="L31" i="88"/>
  <c r="K116" i="47" s="1"/>
  <c r="K117" i="47" s="1"/>
  <c r="K119" i="47" s="1"/>
  <c r="K31" i="88"/>
  <c r="J116" i="47" s="1"/>
  <c r="J117" i="47" s="1"/>
  <c r="J119" i="47" s="1"/>
  <c r="J31" i="88"/>
  <c r="C34" i="88"/>
  <c r="N31" i="88" l="1"/>
  <c r="I116" i="47"/>
  <c r="E34" i="88" l="1"/>
  <c r="C35" i="88"/>
  <c r="K34" i="88"/>
  <c r="J120" i="47" s="1"/>
  <c r="M34" i="88"/>
  <c r="L120" i="47" s="1"/>
  <c r="L34" i="88"/>
  <c r="K120" i="47" s="1"/>
  <c r="J34" i="88"/>
  <c r="W116" i="47"/>
  <c r="W117" i="47" s="1"/>
  <c r="I117" i="47"/>
  <c r="I119" i="47" s="1"/>
  <c r="E35" i="88" l="1"/>
  <c r="C36" i="88"/>
  <c r="W119" i="47"/>
  <c r="I103" i="43"/>
  <c r="I120" i="47"/>
  <c r="W120" i="47" s="1"/>
  <c r="N34" i="88"/>
  <c r="L35" i="88"/>
  <c r="K121" i="47" s="1"/>
  <c r="J35" i="88"/>
  <c r="M35" i="88"/>
  <c r="L121" i="47" s="1"/>
  <c r="K35" i="88"/>
  <c r="J121" i="47" s="1"/>
  <c r="E36" i="88" l="1"/>
  <c r="C37" i="88"/>
  <c r="I104" i="43"/>
  <c r="L36" i="88"/>
  <c r="K122" i="47" s="1"/>
  <c r="J36" i="88"/>
  <c r="M36" i="88"/>
  <c r="L122" i="47" s="1"/>
  <c r="K36" i="88"/>
  <c r="J122" i="47" s="1"/>
  <c r="N35" i="88"/>
  <c r="I121" i="47"/>
  <c r="W121" i="47" s="1"/>
  <c r="E37" i="88" l="1"/>
  <c r="C38" i="88"/>
  <c r="N36" i="88"/>
  <c r="I122" i="47"/>
  <c r="W122" i="47" s="1"/>
  <c r="M37" i="88"/>
  <c r="L123" i="47" s="1"/>
  <c r="K37" i="88"/>
  <c r="J123" i="47" s="1"/>
  <c r="L37" i="88"/>
  <c r="K123" i="47" s="1"/>
  <c r="J37" i="88"/>
  <c r="E38" i="88" l="1"/>
  <c r="C39" i="88"/>
  <c r="I123" i="47"/>
  <c r="N37" i="88"/>
  <c r="J38" i="88"/>
  <c r="M38" i="88"/>
  <c r="L124" i="47" s="1"/>
  <c r="K38" i="88"/>
  <c r="J124" i="47" s="1"/>
  <c r="L38" i="88"/>
  <c r="K124" i="47" s="1"/>
  <c r="E39" i="88" l="1"/>
  <c r="C40" i="88"/>
  <c r="L39" i="88"/>
  <c r="K125" i="47" s="1"/>
  <c r="J39" i="88"/>
  <c r="M39" i="88"/>
  <c r="L125" i="47" s="1"/>
  <c r="K39" i="88"/>
  <c r="J125" i="47" s="1"/>
  <c r="N38" i="88"/>
  <c r="I124" i="47"/>
  <c r="W124" i="47" s="1"/>
  <c r="W123" i="47"/>
  <c r="E40" i="88" l="1"/>
  <c r="C41" i="88"/>
  <c r="N39" i="88"/>
  <c r="I125" i="47"/>
  <c r="L40" i="88"/>
  <c r="K126" i="47" s="1"/>
  <c r="M40" i="88"/>
  <c r="L126" i="47" s="1"/>
  <c r="K40" i="88"/>
  <c r="J126" i="47" s="1"/>
  <c r="J40" i="88"/>
  <c r="E41" i="88" l="1"/>
  <c r="C42" i="88"/>
  <c r="N40" i="88"/>
  <c r="I126" i="47"/>
  <c r="W126" i="47" s="1"/>
  <c r="W125" i="47"/>
  <c r="L41" i="88"/>
  <c r="K127" i="47" s="1"/>
  <c r="J41" i="88"/>
  <c r="M41" i="88"/>
  <c r="L127" i="47" s="1"/>
  <c r="K41" i="88"/>
  <c r="J127" i="47" s="1"/>
  <c r="E42" i="88" l="1"/>
  <c r="C43" i="88"/>
  <c r="M42" i="88"/>
  <c r="L128" i="47" s="1"/>
  <c r="K42" i="88"/>
  <c r="J128" i="47" s="1"/>
  <c r="L42" i="88"/>
  <c r="K128" i="47" s="1"/>
  <c r="J42" i="88"/>
  <c r="N41" i="88"/>
  <c r="I127" i="47"/>
  <c r="W127" i="47" s="1"/>
  <c r="E43" i="88" l="1"/>
  <c r="C44" i="88"/>
  <c r="N42" i="88"/>
  <c r="I128" i="47"/>
  <c r="W128" i="47" s="1"/>
  <c r="M43" i="88"/>
  <c r="L129" i="47" s="1"/>
  <c r="K43" i="88"/>
  <c r="J129" i="47" s="1"/>
  <c r="L43" i="88"/>
  <c r="K129" i="47" s="1"/>
  <c r="J43" i="88"/>
  <c r="E44" i="88" l="1"/>
  <c r="C45" i="88"/>
  <c r="L44" i="88"/>
  <c r="K130" i="47" s="1"/>
  <c r="J44" i="88"/>
  <c r="M44" i="88"/>
  <c r="L130" i="47" s="1"/>
  <c r="K44" i="88"/>
  <c r="J130" i="47" s="1"/>
  <c r="I129" i="47"/>
  <c r="W129" i="47" s="1"/>
  <c r="N43" i="88"/>
  <c r="E45" i="88" l="1"/>
  <c r="N44" i="88"/>
  <c r="I130" i="47"/>
  <c r="W130" i="47" s="1"/>
  <c r="L45" i="88"/>
  <c r="K131" i="47" s="1"/>
  <c r="K132" i="47" s="1"/>
  <c r="J45" i="88"/>
  <c r="M45" i="88"/>
  <c r="L131" i="47" s="1"/>
  <c r="L132" i="47" s="1"/>
  <c r="K45" i="88"/>
  <c r="J131" i="47" s="1"/>
  <c r="J132" i="47" s="1"/>
  <c r="F82" i="43" l="1"/>
  <c r="E82" i="43"/>
  <c r="G82" i="43"/>
  <c r="N45" i="88"/>
  <c r="I131" i="47"/>
  <c r="F28" i="43" l="1"/>
  <c r="G28" i="43" s="1"/>
  <c r="E83" i="43"/>
  <c r="W131" i="47"/>
  <c r="W132" i="47" s="1"/>
  <c r="I132" i="47"/>
  <c r="G83" i="43"/>
  <c r="F30" i="43"/>
  <c r="G30" i="43" s="1"/>
  <c r="F83" i="43"/>
  <c r="F29" i="43"/>
  <c r="D82" i="43" l="1"/>
  <c r="G29" i="43"/>
  <c r="J103" i="43"/>
  <c r="K103" i="43" l="1"/>
  <c r="K104" i="43" s="1"/>
  <c r="L103" i="43"/>
  <c r="L104" i="43" s="1"/>
  <c r="D83" i="43"/>
  <c r="F27" i="43"/>
  <c r="R82" i="43"/>
  <c r="J104" i="43"/>
  <c r="M103" i="43" l="1"/>
  <c r="M104" i="43" s="1"/>
  <c r="G27" i="43"/>
  <c r="G41" i="43" s="1"/>
  <c r="F41" i="43"/>
  <c r="R83" i="43"/>
  <c r="H19" i="43"/>
  <c r="H20" i="43" s="1"/>
</calcChain>
</file>

<file path=xl/sharedStrings.xml><?xml version="1.0" encoding="utf-8"?>
<sst xmlns="http://schemas.openxmlformats.org/spreadsheetml/2006/main" count="3757" uniqueCount="763">
  <si>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</si>
  <si>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</si>
  <si>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</si>
  <si>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</si>
  <si>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</si>
  <si>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</si>
  <si>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</si>
  <si>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</si>
  <si>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</si>
  <si>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</si>
  <si>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</si>
  <si>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</si>
  <si>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</si>
  <si>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</si>
  <si>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</si>
  <si>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</si>
  <si>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</si>
  <si>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</si>
  <si>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</si>
  <si>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</si>
  <si>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</si>
  <si>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</si>
  <si>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</si>
  <si>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</si>
  <si>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</si>
  <si>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</si>
  <si>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</si>
  <si>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</si>
  <si>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</si>
  <si>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</si>
  <si>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</si>
  <si>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</si>
  <si>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</si>
  <si>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</si>
  <si>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</si>
  <si>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</si>
  <si>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</si>
  <si>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</si>
  <si>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</si>
  <si>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</si>
  <si>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</si>
  <si>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</si>
  <si>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</si>
  <si>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</si>
  <si>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</si>
  <si>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</si>
  <si>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</si>
  <si>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</si>
  <si>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</si>
  <si>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</si>
  <si>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</si>
  <si>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</si>
  <si>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</si>
  <si>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</si>
  <si>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</si>
  <si>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</si>
  <si>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</si>
  <si>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</si>
  <si>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</si>
  <si>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</si>
  <si>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</si>
  <si>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</si>
  <si>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</si>
  <si>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</si>
  <si>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</si>
  <si>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</si>
  <si>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</si>
  <si>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</si>
  <si>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</si>
  <si>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</si>
  <si>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</si>
  <si>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</si>
  <si>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</si>
  <si>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</si>
  <si>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</si>
  <si>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</si>
  <si>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</si>
  <si>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</si>
  <si>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</si>
  <si>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</si>
  <si>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</si>
  <si>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</si>
  <si>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</si>
  <si>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</si>
  <si>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</si>
  <si>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</si>
  <si>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</si>
  <si>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</si>
  <si>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</si>
  <si>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</si>
  <si>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</si>
  <si>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</si>
  <si>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</si>
  <si>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</si>
  <si>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</si>
  <si>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</si>
  <si>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</si>
  <si>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</si>
  <si>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</si>
  <si>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</si>
  <si>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</si>
  <si>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</si>
  <si>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</si>
  <si>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</si>
  <si>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</si>
  <si>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</si>
  <si>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</si>
  <si>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</si>
  <si>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</si>
  <si>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</si>
  <si>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</si>
  <si>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</si>
  <si>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</si>
  <si>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</si>
  <si>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</si>
  <si>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</si>
  <si>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</si>
  <si>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</si>
  <si>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</si>
  <si>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</si>
  <si>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</si>
  <si>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</si>
  <si>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</si>
  <si>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</si>
  <si>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</si>
  <si>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</si>
  <si>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</si>
  <si>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</si>
  <si>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</si>
  <si>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</si>
  <si>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</si>
  <si>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</si>
  <si>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</si>
  <si>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</si>
  <si>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</si>
  <si>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</si>
  <si>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</si>
  <si>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</si>
  <si>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</si>
  <si>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</si>
  <si>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</si>
  <si>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</si>
  <si>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</si>
  <si>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</si>
  <si>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</si>
  <si>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</si>
  <si>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</si>
  <si>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</si>
  <si>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</si>
  <si>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</si>
  <si>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</si>
  <si>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</si>
  <si>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</si>
  <si>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</si>
  <si>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</si>
  <si>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</si>
  <si>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</si>
  <si>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</si>
  <si>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</si>
  <si>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</si>
  <si>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</si>
  <si>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</si>
  <si>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</si>
  <si>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</si>
  <si>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</si>
  <si>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</si>
  <si>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</si>
  <si>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</si>
  <si>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</si>
  <si>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</si>
  <si>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</si>
  <si>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</si>
  <si>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</si>
  <si>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</si>
  <si>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</si>
  <si>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</si>
  <si>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</si>
  <si>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</si>
  <si>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</si>
  <si>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</si>
  <si>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</si>
  <si>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</si>
  <si>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</si>
  <si>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</si>
  <si>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</si>
  <si>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</si>
  <si>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</si>
  <si>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</si>
  <si>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</si>
  <si>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</si>
  <si>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</si>
  <si>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</si>
  <si>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</si>
  <si>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</si>
  <si>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</si>
  <si>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</si>
  <si>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</si>
  <si>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</si>
  <si>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</si>
  <si>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</si>
  <si>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</si>
  <si>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</si>
  <si>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</si>
  <si>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</si>
  <si>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</si>
  <si>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</si>
  <si>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</si>
  <si>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</si>
  <si>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</si>
  <si>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</si>
  <si>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</si>
  <si>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</si>
  <si>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</si>
  <si>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</si>
  <si>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</si>
  <si>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</si>
  <si>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</si>
  <si>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</si>
  <si>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</si>
  <si>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</si>
  <si>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</si>
  <si>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</si>
  <si>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</si>
  <si>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</si>
  <si>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</si>
  <si>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</si>
  <si>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</si>
  <si>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</si>
  <si>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</si>
  <si>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</si>
  <si>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</si>
  <si>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</si>
  <si>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</si>
  <si>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</si>
  <si>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</si>
  <si>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</si>
  <si>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</si>
  <si>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</si>
  <si>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</si>
  <si>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</si>
  <si>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</si>
  <si>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</si>
  <si>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</si>
  <si>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</si>
  <si>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</si>
  <si>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</si>
  <si>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</si>
  <si>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</si>
  <si>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</si>
  <si>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</si>
  <si>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</si>
  <si>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</si>
  <si>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</si>
  <si>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</si>
  <si>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</si>
  <si>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</si>
  <si>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</si>
  <si>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</si>
  <si>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</si>
  <si>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</si>
  <si>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</si>
  <si>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</si>
  <si>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</si>
  <si>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</si>
  <si>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</si>
  <si>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</si>
  <si>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</si>
  <si>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</si>
  <si>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</si>
  <si>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</si>
  <si>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</si>
  <si>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</si>
  <si>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</si>
  <si>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</si>
  <si>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</si>
  <si>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</si>
  <si>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</si>
  <si>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</si>
  <si>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</si>
  <si>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</si>
  <si>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</si>
  <si>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</si>
  <si>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</si>
  <si>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</si>
  <si>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</si>
  <si>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</si>
  <si>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</si>
  <si>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</si>
  <si>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</si>
  <si>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</si>
  <si>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</si>
  <si>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</si>
  <si>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</si>
  <si>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</si>
  <si>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</si>
  <si>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</si>
  <si>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</si>
  <si>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</si>
  <si>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</si>
  <si>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</si>
  <si>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</si>
  <si>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</si>
  <si>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</si>
  <si>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</si>
  <si>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</si>
  <si>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</si>
  <si>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</si>
  <si>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</si>
  <si>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</si>
  <si>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</si>
  <si>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</si>
  <si>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</si>
  <si>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</si>
  <si>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</si>
  <si>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</si>
  <si>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</si>
  <si>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</si>
  <si>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</si>
  <si>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</si>
  <si>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</si>
  <si>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</si>
  <si>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</si>
  <si>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</si>
  <si>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</si>
  <si>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</si>
  <si>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</si>
  <si>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</si>
  <si>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</si>
  <si>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</si>
  <si>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</si>
  <si>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</si>
  <si>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</si>
  <si>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</si>
  <si>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</si>
  <si>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</si>
  <si>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</si>
  <si>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</si>
  <si>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</si>
  <si>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</si>
  <si>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</si>
  <si>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</si>
  <si>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</si>
  <si>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</si>
  <si>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</si>
  <si>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</si>
  <si>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</si>
  <si>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</si>
  <si>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</si>
  <si>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</si>
  <si>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</si>
  <si>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</si>
  <si>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</si>
  <si>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</si>
  <si>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</si>
  <si>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</si>
  <si>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</si>
  <si>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</si>
  <si>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</si>
  <si>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</si>
  <si>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</si>
  <si>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</si>
  <si>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</si>
  <si>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</si>
  <si>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</si>
  <si>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</si>
  <si>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</si>
  <si>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</si>
  <si>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</si>
  <si>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</si>
  <si>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</si>
  <si>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</si>
  <si>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</si>
  <si>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</si>
  <si>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</si>
  <si>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</si>
  <si>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</si>
  <si>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</si>
  <si>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</si>
  <si>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</si>
  <si>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</si>
  <si>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</si>
  <si>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</si>
  <si>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</si>
  <si>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</si>
  <si>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</si>
  <si>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</si>
  <si>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</si>
  <si>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</si>
  <si>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</si>
  <si>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</si>
  <si>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</si>
  <si>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</si>
  <si>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</si>
  <si>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</si>
  <si>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</si>
  <si>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</si>
  <si>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</si>
  <si>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</si>
  <si>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</si>
  <si>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</si>
  <si>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</si>
  <si>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</si>
  <si>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</si>
  <si>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</si>
  <si>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</si>
  <si>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</si>
  <si>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</si>
  <si>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</si>
  <si>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</si>
  <si>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</si>
  <si>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</si>
  <si>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</si>
  <si>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</si>
  <si>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</si>
  <si>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</si>
  <si>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</si>
  <si>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</si>
  <si>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</si>
  <si>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</si>
  <si>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</si>
  <si>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</si>
  <si>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</si>
  <si>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</si>
  <si>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</si>
  <si>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</si>
  <si>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</si>
  <si>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</si>
  <si>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</si>
  <si>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</si>
  <si>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</si>
  <si>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</si>
  <si>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</si>
  <si>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</si>
  <si>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</si>
  <si>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</si>
  <si>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</si>
  <si>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</si>
  <si>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</si>
  <si>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</si>
  <si>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</si>
  <si>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</si>
  <si>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</si>
  <si>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</si>
  <si>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</si>
  <si>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</si>
  <si>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</si>
  <si>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</si>
  <si>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</si>
  <si>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</si>
  <si>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</si>
  <si>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</si>
  <si>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</si>
  <si>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</si>
  <si>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</si>
  <si>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</si>
  <si>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</si>
  <si>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</si>
  <si>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</si>
  <si>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</si>
  <si>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</si>
  <si>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</si>
  <si>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</si>
  <si>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</si>
  <si>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</si>
  <si>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</si>
  <si>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</si>
  <si>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</si>
  <si>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</si>
  <si>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</si>
  <si>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</si>
  <si>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</si>
  <si>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</si>
  <si>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</si>
  <si>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</si>
  <si>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</si>
  <si>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</si>
  <si>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</si>
  <si>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</si>
  <si>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</si>
  <si>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</si>
  <si>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</si>
  <si>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</si>
  <si>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</si>
  <si>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</si>
  <si>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</si>
  <si>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</si>
  <si>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</si>
  <si>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</si>
  <si>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</si>
  <si>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</si>
  <si>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</si>
  <si>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</si>
  <si>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</si>
  <si>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</si>
  <si>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</si>
  <si>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</si>
  <si>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</si>
  <si>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</si>
  <si>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</si>
  <si>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</si>
  <si>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</si>
  <si>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</si>
  <si>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</si>
  <si>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</si>
  <si>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</si>
  <si>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</si>
  <si>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</si>
  <si>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</si>
  <si>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</si>
  <si>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</si>
  <si>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</si>
  <si>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</si>
  <si>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</si>
  <si>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</si>
  <si>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</si>
  <si>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</si>
  <si>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</si>
  <si>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</si>
  <si>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</si>
  <si>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</si>
  <si>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</si>
  <si>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</si>
  <si>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</si>
  <si>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</si>
  <si>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</si>
  <si>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</si>
  <si>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</si>
  <si>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</si>
  <si>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</si>
  <si>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</si>
  <si>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</si>
  <si>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</si>
  <si>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</si>
  <si>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</si>
  <si>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</si>
  <si>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</si>
  <si>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</si>
  <si>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</si>
  <si>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</si>
  <si>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</si>
  <si>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</si>
  <si>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</si>
  <si>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</si>
  <si>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</si>
  <si>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</si>
  <si>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</si>
  <si>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</si>
  <si>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</si>
  <si>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</si>
  <si>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</si>
  <si>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</si>
  <si>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</si>
  <si>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</si>
  <si>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</si>
  <si>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</si>
  <si>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</si>
  <si>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</si>
  <si>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</si>
  <si>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</si>
  <si>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</si>
  <si>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</si>
  <si>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</si>
  <si>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</si>
  <si>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</si>
  <si>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</si>
  <si>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</si>
  <si>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</si>
  <si>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</si>
  <si>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</si>
  <si>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</si>
  <si>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</si>
  <si>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</si>
  <si>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</si>
  <si>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</si>
  <si>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</si>
  <si>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</si>
  <si>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</si>
  <si>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</si>
  <si>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</si>
  <si>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</si>
  <si>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</si>
  <si>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</si>
  <si>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</si>
  <si>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</si>
  <si>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</si>
  <si>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</si>
  <si>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</si>
  <si>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</si>
  <si>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</si>
  <si>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</si>
  <si>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</si>
  <si>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</si>
  <si>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</si>
  <si>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</si>
  <si>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</si>
  <si>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</si>
  <si>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</si>
  <si>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</si>
  <si>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</si>
  <si>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</si>
  <si>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</si>
  <si>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</si>
  <si>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</si>
  <si>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</si>
  <si>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</si>
  <si>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</si>
  <si>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</si>
  <si>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</si>
  <si>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</si>
  <si>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</si>
  <si>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</si>
  <si>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</si>
  <si>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</si>
  <si>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</si>
  <si>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</si>
  <si>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</si>
  <si>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</si>
  <si>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</si>
  <si>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</si>
  <si>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</si>
  <si>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</si>
  <si>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</si>
  <si>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</si>
  <si>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</si>
  <si>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</si>
  <si>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</si>
  <si>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</si>
  <si>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</si>
  <si>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</si>
  <si>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</si>
  <si>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</si>
  <si>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</si>
  <si>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</si>
  <si>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</si>
  <si>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</si>
  <si>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</si>
  <si>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</si>
  <si>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</si>
  <si>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</si>
  <si>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</si>
  <si>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</si>
  <si>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</si>
  <si>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</si>
  <si>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</si>
  <si>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</si>
  <si>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</si>
  <si>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</si>
  <si>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</si>
  <si>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</si>
  <si>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</si>
  <si>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</si>
  <si>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</si>
  <si>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</si>
  <si>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</si>
  <si>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</si>
  <si>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</si>
  <si>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</si>
  <si>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</si>
  <si>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</si>
  <si>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</si>
  <si>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</si>
  <si>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</si>
  <si>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</si>
  <si>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</si>
  <si>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</si>
  <si>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</si>
  <si>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</si>
  <si>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</si>
  <si>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</si>
  <si>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</si>
  <si>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</si>
  <si>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</si>
  <si>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</si>
  <si>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</si>
  <si>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</si>
  <si>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KW</t>
  </si>
  <si>
    <t>Streetlighting</t>
  </si>
  <si>
    <t>EB-2010-0123</t>
  </si>
  <si>
    <t>EB-2011-0206</t>
  </si>
  <si>
    <t>EB-2012-0177</t>
  </si>
  <si>
    <t>EB-2013-0181</t>
  </si>
  <si>
    <t>EB-2014-0124</t>
  </si>
  <si>
    <t>ok</t>
  </si>
  <si>
    <t>OK</t>
  </si>
  <si>
    <t>Tier 1</t>
  </si>
  <si>
    <t>Consumer</t>
  </si>
  <si>
    <t>Whitby Hydro Electric Corporation</t>
  </si>
  <si>
    <t>EE</t>
  </si>
  <si>
    <t>Business</t>
  </si>
  <si>
    <t>Demand Response 3 (part of the Industrial program schedule)</t>
  </si>
  <si>
    <t>Commercial &amp; Institutional</t>
  </si>
  <si>
    <t>DR</t>
  </si>
  <si>
    <t>Industrial</t>
  </si>
  <si>
    <t>Pre-2011 Programs Completed in 2011</t>
  </si>
  <si>
    <t>C&amp;I</t>
  </si>
  <si>
    <t>Tier 1 - 2011 Adjustment</t>
  </si>
  <si>
    <t>DR-3</t>
  </si>
  <si>
    <t>Small Business Lighting</t>
  </si>
  <si>
    <t>Annual Coupons</t>
  </si>
  <si>
    <t>Bi-Annual Retailer Events</t>
  </si>
  <si>
    <t>HVAC</t>
  </si>
  <si>
    <t>peaksaverPLUS</t>
  </si>
  <si>
    <t>peaksaverPLUS (IHD)</t>
  </si>
  <si>
    <t>Commercial</t>
  </si>
  <si>
    <t>Home Assistance</t>
  </si>
  <si>
    <t>Time-of-Use Savings</t>
  </si>
  <si>
    <t xml:space="preserve">Demand Response 3 </t>
  </si>
  <si>
    <t>HVAC Incentives Initiative</t>
  </si>
  <si>
    <t xml:space="preserve"> diff of $3.76</t>
  </si>
  <si>
    <t>EB-2016-0114</t>
  </si>
  <si>
    <t>2017 Price Cap IR Distribution Rate Application</t>
  </si>
  <si>
    <t>EB-2009-0274</t>
  </si>
  <si>
    <t>EB-2015-0113</t>
  </si>
  <si>
    <t>EB-2017-0085</t>
  </si>
  <si>
    <t>Home Depot Home Appliance Market Uplift Conservation Fund Pilot Program</t>
  </si>
  <si>
    <t>Save on Energy Heating &amp; Cooling Program</t>
  </si>
  <si>
    <t>Loblaws Pilot/HOME DEPOT Appliance Market  Uplift</t>
  </si>
  <si>
    <t>LRAM</t>
  </si>
  <si>
    <t>Rate rider for 1576 Discposition</t>
  </si>
  <si>
    <t>Cumulative Balance</t>
  </si>
  <si>
    <t>Balance including  Carrying Charges</t>
  </si>
  <si>
    <t>Gross kW reduction</t>
  </si>
  <si>
    <t xml:space="preserve"> </t>
  </si>
  <si>
    <t>Net Savings</t>
  </si>
  <si>
    <t>NTGR</t>
  </si>
  <si>
    <t>Net kW reduction</t>
  </si>
  <si>
    <t>Conservation Fund Pilot</t>
  </si>
  <si>
    <t>Table 6-b.  Calculation of Carrying Charges by Rate Class</t>
  </si>
  <si>
    <t>Prescribed Interest Rate</t>
  </si>
  <si>
    <t>Removed Streetlight (ST) savings</t>
  </si>
  <si>
    <t>6-b Carrying Charges</t>
  </si>
  <si>
    <t>EB-2018-0079</t>
  </si>
  <si>
    <t>2019 Annual IR Application</t>
  </si>
  <si>
    <t xml:space="preserve">Changed reference to Carrying Charges tab 6-b to capture actual amounts </t>
  </si>
  <si>
    <t>New Tab  to present WH calculation of carrying charges as recorded in the general ledger</t>
  </si>
  <si>
    <t>as above</t>
  </si>
  <si>
    <t>Res New Construction</t>
  </si>
  <si>
    <t>Monitoring and Targetting</t>
  </si>
  <si>
    <t>Rate Class Allocation</t>
  </si>
  <si>
    <t xml:space="preserve">Split between GS&lt;50 and GS&gt;50 based </t>
  </si>
  <si>
    <t xml:space="preserve">Electricity Retrofit Incentive Program </t>
  </si>
  <si>
    <t>Retrofit (2011-2014 Framework)</t>
  </si>
  <si>
    <t>Save on Energy Retrofit Program (new framework)</t>
  </si>
  <si>
    <t>Efficiency: Equipment Replacement Incentive Initiative (new framework)</t>
  </si>
  <si>
    <t>IESO Sector Classification</t>
  </si>
  <si>
    <t>Conservation Fund</t>
  </si>
  <si>
    <t>Commerical</t>
  </si>
  <si>
    <t>Residential Programs</t>
  </si>
  <si>
    <t>General Service &lt; 50 Programs</t>
  </si>
  <si>
    <t>General Service &gt; 50 Programs</t>
  </si>
  <si>
    <t>Multi-Class Programs</t>
  </si>
  <si>
    <t>100% Residential</t>
  </si>
  <si>
    <t>100% GS&lt;50</t>
  </si>
  <si>
    <t>100% GS&gt;50</t>
  </si>
  <si>
    <t>Table 5-a: cells D57-E58 &amp; D121-E122</t>
  </si>
  <si>
    <t>Table 5-b: cells  D304 &amp; D305</t>
  </si>
  <si>
    <t>Rows 90-132</t>
  </si>
  <si>
    <t>Whitby Hydro has modifed the carrying charges tab to reflect the fact that the carrying charges are based on the month end GL balance and not necessarily applied evenly throughout the year.  The GL balance is impacted by the timing of true ups and adjustments.  See tab 6b</t>
  </si>
  <si>
    <t>2015 GS&lt;50 / GS &gt; 50 Split: 21/79</t>
  </si>
  <si>
    <t>2016 GS&lt;50 / GS &gt; 50 Split: 4/96</t>
  </si>
  <si>
    <t>Cumulative Carrying Charges</t>
  </si>
  <si>
    <t>on participant specific information</t>
  </si>
  <si>
    <t>The IESO included the calculated kilowatt hours (kWh) of energy savings from the street lighting project in Whitby Hydro’s 2015 and 2016 results but no corresponding kW savings. Since the LRAMVA workform only allows for one set of rate allocation %’s, the estimated kWh savings for street lighting needed to be removed in order to produce the correct allocations for all customers classes to be used in the LRAMVA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</si>
</sst>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4">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u/>
      <sz val="10"/>
      <color rgb="FFFF0000"/>
      <name val="Arial"/>
      <family val="2"/>
    </font>
    <font>
      <sz val="18"/>
      <color theme="1"/>
      <name val="Calibri"/>
      <family val="2"/>
      <scheme val="minor"/>
    </font>
    <font>
      <b/>
      <sz val="10"/>
      <color rgb="FF0033CC"/>
      <name val="Arial"/>
      <family val="2"/>
    </font>
    <font>
      <b/>
      <sz val="10"/>
      <color theme="0"/>
      <name val="Arial"/>
      <family val="2"/>
    </font>
    <font>
      <sz val="10"/>
      <color rgb="FF0033CC"/>
      <name val="Arial"/>
      <family val="2"/>
    </font>
    <font>
      <b/>
      <sz val="9"/>
      <color theme="0"/>
      <name val="Arial"/>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s>
  <cellStyleXfs count="9773">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1" fillId="0" borderId="0"/>
  </cellStyleXfs>
  <cellXfs count="916">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Border="1" applyAlignment="1">
      <alignment vertical="top"/>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178" fontId="49" fillId="2" borderId="0" xfId="40" applyNumberFormat="1" applyFont="1" applyFill="1" applyBorder="1" applyAlignment="1">
      <alignment vertical="center"/>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287" fontId="214" fillId="2" borderId="28" xfId="70" applyNumberFormat="1" applyFont="1" applyFill="1" applyBorder="1" applyAlignment="1">
      <alignment horizontal="left" vertic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13" xfId="0" applyNumberFormat="1" applyFont="1" applyFill="1" applyBorder="1" applyAlignment="1">
      <alignment horizontal="center"/>
    </xf>
    <xf numFmtId="175" fontId="89" fillId="2" borderId="119" xfId="0" applyNumberFormat="1" applyFont="1" applyFill="1" applyBorder="1" applyAlignment="1">
      <alignment horizontal="center"/>
    </xf>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Border="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73" fontId="43" fillId="0" borderId="7" xfId="70" applyNumberFormat="1" applyFont="1" applyFill="1" applyBorder="1"/>
    <xf numFmtId="173"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8" xfId="0" applyNumberFormat="1" applyFont="1" applyFill="1" applyBorder="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89" fillId="2" borderId="4" xfId="0" applyNumberFormat="1" applyFont="1" applyFill="1" applyBorder="1" applyAlignment="1" applyProtection="1">
      <alignment horizontal="left" vertical="center"/>
      <protection locked="0"/>
    </xf>
    <xf numFmtId="0" fontId="43" fillId="2" borderId="5" xfId="0" applyNumberFormat="1"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NumberFormat="1"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4"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pplyProtection="1">
      <alignment horizontal="center"/>
    </xf>
    <xf numFmtId="288" fontId="39" fillId="2" borderId="103" xfId="0" applyNumberFormat="1" applyFont="1" applyFill="1" applyBorder="1" applyAlignment="1" applyProtection="1">
      <alignment horizontal="center"/>
    </xf>
    <xf numFmtId="288" fontId="43" fillId="2" borderId="137" xfId="0" applyNumberFormat="1" applyFont="1" applyFill="1" applyBorder="1" applyAlignment="1" applyProtection="1">
      <alignment horizontal="center"/>
    </xf>
    <xf numFmtId="172" fontId="43" fillId="2" borderId="107" xfId="0" applyNumberFormat="1" applyFont="1" applyFill="1" applyBorder="1" applyAlignment="1" applyProtection="1">
      <alignment horizontal="center"/>
    </xf>
    <xf numFmtId="288" fontId="39" fillId="2" borderId="37" xfId="0" applyNumberFormat="1" applyFont="1" applyFill="1" applyBorder="1" applyAlignment="1" applyProtection="1">
      <alignment horizontal="center"/>
    </xf>
    <xf numFmtId="288" fontId="43" fillId="2" borderId="107" xfId="0" applyNumberFormat="1" applyFont="1" applyFill="1" applyBorder="1" applyAlignment="1" applyProtection="1">
      <alignment horizontal="center"/>
    </xf>
    <xf numFmtId="172" fontId="43" fillId="2" borderId="48" xfId="0" applyNumberFormat="1" applyFont="1" applyFill="1" applyBorder="1" applyAlignment="1" applyProtection="1">
      <alignment horizontal="center"/>
    </xf>
    <xf numFmtId="288" fontId="39" fillId="2" borderId="55" xfId="0" applyNumberFormat="1" applyFont="1" applyFill="1" applyBorder="1" applyAlignment="1" applyProtection="1">
      <alignment horizontal="center"/>
    </xf>
    <xf numFmtId="288" fontId="43" fillId="2" borderId="48"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11"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5"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0" fontId="238" fillId="2" borderId="0" xfId="0" applyFont="1" applyFill="1" applyBorder="1" applyProtection="1">
      <protection locked="0"/>
    </xf>
    <xf numFmtId="0" fontId="0" fillId="0" borderId="0" xfId="0" applyFill="1"/>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 borderId="110" xfId="0" applyFill="1" applyBorder="1" applyAlignment="1">
      <alignment horizontal="center" vertical="center"/>
    </xf>
    <xf numFmtId="0" fontId="0" fillId="90" borderId="110" xfId="0" applyFill="1" applyBorder="1" applyAlignment="1">
      <alignment vertical="center"/>
    </xf>
    <xf numFmtId="0" fontId="0" fillId="28" borderId="110" xfId="0" applyFill="1" applyBorder="1" applyAlignment="1">
      <alignment vertical="center"/>
    </xf>
    <xf numFmtId="43" fontId="0" fillId="2" borderId="0" xfId="0" applyNumberFormat="1" applyFill="1"/>
    <xf numFmtId="0" fontId="42" fillId="97" borderId="0" xfId="0" applyFont="1" applyFill="1" applyAlignment="1" applyProtection="1">
      <protection locked="0"/>
    </xf>
    <xf numFmtId="9" fontId="43" fillId="28" borderId="0" xfId="72" applyFont="1" applyFill="1" applyBorder="1" applyAlignment="1">
      <alignment horizontal="center" vertical="top"/>
    </xf>
    <xf numFmtId="0" fontId="0" fillId="28" borderId="122" xfId="0" applyFill="1" applyBorder="1" applyAlignment="1">
      <alignment horizontal="left"/>
    </xf>
    <xf numFmtId="0" fontId="0" fillId="28" borderId="134" xfId="0" applyFill="1" applyBorder="1" applyAlignment="1">
      <alignment horizontal="left"/>
    </xf>
    <xf numFmtId="0" fontId="0" fillId="28" borderId="0" xfId="0" applyFont="1" applyFill="1" applyBorder="1" applyAlignment="1">
      <alignment vertical="top"/>
    </xf>
    <xf numFmtId="0" fontId="0" fillId="28" borderId="0" xfId="0" applyFill="1" applyBorder="1"/>
    <xf numFmtId="0" fontId="11" fillId="28" borderId="0" xfId="0" applyFont="1" applyFill="1"/>
    <xf numFmtId="0" fontId="0" fillId="28" borderId="0" xfId="0" applyFill="1"/>
    <xf numFmtId="0" fontId="11" fillId="28" borderId="0" xfId="0" applyFont="1" applyFill="1" applyBorder="1"/>
    <xf numFmtId="0" fontId="42" fillId="0" borderId="0" xfId="0" applyFont="1" applyFill="1" applyAlignment="1" applyProtection="1">
      <protection locked="0"/>
    </xf>
    <xf numFmtId="17" fontId="240" fillId="2" borderId="7" xfId="0" applyNumberFormat="1" applyFont="1" applyFill="1" applyBorder="1"/>
    <xf numFmtId="17" fontId="32" fillId="2" borderId="8" xfId="0" applyNumberFormat="1" applyFont="1" applyFill="1" applyBorder="1" applyAlignment="1">
      <alignment horizontal="center"/>
    </xf>
    <xf numFmtId="17" fontId="240" fillId="2" borderId="110" xfId="0" applyNumberFormat="1" applyFont="1" applyFill="1" applyBorder="1"/>
    <xf numFmtId="17" fontId="32" fillId="2" borderId="110" xfId="0" applyNumberFormat="1" applyFont="1" applyFill="1" applyBorder="1" applyAlignment="1">
      <alignment horizontal="center"/>
    </xf>
    <xf numFmtId="0" fontId="32" fillId="0" borderId="0" xfId="0" applyFont="1" applyAlignment="1">
      <alignment horizontal="center"/>
    </xf>
    <xf numFmtId="0" fontId="32" fillId="0" borderId="0" xfId="0" applyFont="1"/>
    <xf numFmtId="0" fontId="41" fillId="2" borderId="0" xfId="0" applyFont="1" applyFill="1"/>
    <xf numFmtId="174" fontId="241" fillId="26" borderId="110" xfId="6" applyNumberFormat="1" applyFont="1" applyFill="1" applyBorder="1" applyAlignment="1">
      <alignment horizontal="center" vertical="center" wrapText="1"/>
    </xf>
    <xf numFmtId="174" fontId="241" fillId="26" borderId="137" xfId="6" applyNumberFormat="1" applyFont="1" applyFill="1" applyBorder="1" applyAlignment="1">
      <alignment horizontal="center" vertical="center" wrapText="1"/>
    </xf>
    <xf numFmtId="0" fontId="32" fillId="0" borderId="110" xfId="0" applyFont="1" applyBorder="1" applyAlignment="1">
      <alignment horizontal="center"/>
    </xf>
    <xf numFmtId="10" fontId="32" fillId="2" borderId="89" xfId="0" applyNumberFormat="1" applyFont="1" applyFill="1" applyBorder="1" applyAlignment="1" applyProtection="1">
      <alignment horizontal="center"/>
      <protection locked="0"/>
    </xf>
    <xf numFmtId="10" fontId="41" fillId="0" borderId="110" xfId="0" applyNumberFormat="1" applyFont="1" applyBorder="1" applyAlignment="1">
      <alignment horizontal="center"/>
    </xf>
    <xf numFmtId="43" fontId="32" fillId="0" borderId="0" xfId="0" applyNumberFormat="1" applyFont="1"/>
    <xf numFmtId="10" fontId="32" fillId="2" borderId="7" xfId="0" applyNumberFormat="1" applyFont="1" applyFill="1" applyBorder="1" applyAlignment="1" applyProtection="1">
      <alignment horizontal="center"/>
      <protection locked="0"/>
    </xf>
    <xf numFmtId="10" fontId="32" fillId="2" borderId="8" xfId="0" applyNumberFormat="1" applyFont="1" applyFill="1" applyBorder="1" applyAlignment="1" applyProtection="1">
      <alignment horizontal="center"/>
      <protection locked="0"/>
    </xf>
    <xf numFmtId="0" fontId="32" fillId="0" borderId="0" xfId="0" applyFont="1" applyBorder="1"/>
    <xf numFmtId="10" fontId="32" fillId="2" borderId="48" xfId="0" applyNumberFormat="1" applyFont="1" applyFill="1" applyBorder="1" applyAlignment="1" applyProtection="1">
      <alignment horizontal="center"/>
      <protection locked="0"/>
    </xf>
    <xf numFmtId="0" fontId="40" fillId="2" borderId="0" xfId="0" applyFont="1" applyFill="1" applyAlignment="1">
      <alignment vertical="top"/>
    </xf>
    <xf numFmtId="10" fontId="32" fillId="0" borderId="7" xfId="0" applyNumberFormat="1" applyFont="1" applyFill="1" applyBorder="1" applyAlignment="1" applyProtection="1">
      <alignment horizontal="center"/>
      <protection locked="0"/>
    </xf>
    <xf numFmtId="10" fontId="32" fillId="0" borderId="8" xfId="0" applyNumberFormat="1" applyFont="1" applyFill="1" applyBorder="1" applyAlignment="1" applyProtection="1">
      <alignment horizontal="center"/>
      <protection locked="0"/>
    </xf>
    <xf numFmtId="10" fontId="32" fillId="0" borderId="48" xfId="0" applyNumberFormat="1" applyFont="1" applyFill="1" applyBorder="1" applyAlignment="1" applyProtection="1">
      <alignment horizontal="center"/>
      <protection locked="0"/>
    </xf>
    <xf numFmtId="10" fontId="32" fillId="2" borderId="110" xfId="0" applyNumberFormat="1" applyFont="1" applyFill="1" applyBorder="1" applyAlignment="1" applyProtection="1">
      <alignment horizontal="center"/>
      <protection locked="0"/>
    </xf>
    <xf numFmtId="10" fontId="32" fillId="0" borderId="110" xfId="0" applyNumberFormat="1" applyFont="1" applyFill="1" applyBorder="1" applyAlignment="1" applyProtection="1">
      <alignment horizontal="center"/>
      <protection locked="0"/>
    </xf>
    <xf numFmtId="0" fontId="0" fillId="28" borderId="134" xfId="0" applyFill="1" applyBorder="1" applyAlignment="1">
      <alignment horizontal="left" wrapText="1"/>
    </xf>
    <xf numFmtId="0" fontId="0" fillId="28" borderId="134" xfId="0" applyFill="1" applyBorder="1" applyAlignment="1">
      <alignment horizontal="left"/>
    </xf>
    <xf numFmtId="0" fontId="50" fillId="26" borderId="0" xfId="0" applyNumberFormat="1" applyFont="1" applyFill="1" applyBorder="1" applyAlignment="1" applyProtection="1">
      <alignment horizontal="center" vertical="center" wrapText="1"/>
      <protection locked="0"/>
    </xf>
    <xf numFmtId="0" fontId="0" fillId="28" borderId="122" xfId="0" applyFill="1" applyBorder="1" applyAlignment="1">
      <alignment horizontal="left" vertical="center" wrapText="1"/>
    </xf>
    <xf numFmtId="169" fontId="41" fillId="0" borderId="110" xfId="70" applyFont="1" applyBorder="1" applyAlignment="1">
      <alignment horizontal="center"/>
    </xf>
    <xf numFmtId="169" fontId="41" fillId="0" borderId="9" xfId="70" applyFont="1" applyBorder="1" applyAlignment="1">
      <alignment horizontal="center"/>
    </xf>
    <xf numFmtId="10" fontId="32" fillId="0" borderId="0" xfId="0" applyNumberFormat="1" applyFont="1" applyAlignment="1">
      <alignment horizontal="center"/>
    </xf>
    <xf numFmtId="40" fontId="32" fillId="0" borderId="110" xfId="0" applyNumberFormat="1" applyFont="1" applyBorder="1" applyAlignment="1">
      <alignment horizontal="center"/>
    </xf>
    <xf numFmtId="0" fontId="0" fillId="0" borderId="0" xfId="0" applyAlignment="1">
      <alignment horizontal="center"/>
    </xf>
    <xf numFmtId="174" fontId="243" fillId="26" borderId="110" xfId="6" applyNumberFormat="1" applyFont="1" applyFill="1" applyBorder="1" applyAlignment="1">
      <alignment horizontal="center" vertical="center" wrapText="1"/>
    </xf>
    <xf numFmtId="169" fontId="32" fillId="0" borderId="110" xfId="70" applyFont="1" applyBorder="1" applyAlignment="1">
      <alignment horizontal="center"/>
    </xf>
    <xf numFmtId="169" fontId="32" fillId="0" borderId="110" xfId="70" applyFont="1" applyBorder="1"/>
    <xf numFmtId="169" fontId="242" fillId="0" borderId="110" xfId="70" applyFont="1" applyBorder="1" applyAlignment="1">
      <alignment horizontal="center"/>
    </xf>
    <xf numFmtId="169" fontId="32" fillId="0" borderId="9" xfId="70" applyFont="1" applyBorder="1" applyAlignment="1">
      <alignment horizontal="center"/>
    </xf>
    <xf numFmtId="169" fontId="242" fillId="0" borderId="110" xfId="70" applyFont="1" applyBorder="1"/>
    <xf numFmtId="169" fontId="32" fillId="0" borderId="9" xfId="70" applyFont="1" applyBorder="1"/>
    <xf numFmtId="0" fontId="50" fillId="26" borderId="0" xfId="0" applyFont="1" applyFill="1" applyBorder="1" applyAlignment="1">
      <alignment horizontal="center" vertical="center" wrapText="1"/>
    </xf>
    <xf numFmtId="3" fontId="225" fillId="0" borderId="137" xfId="0" applyNumberFormat="1" applyFont="1" applyFill="1" applyBorder="1" applyAlignment="1" applyProtection="1">
      <alignment vertical="center"/>
      <protection locked="0"/>
    </xf>
    <xf numFmtId="0" fontId="5" fillId="0" borderId="88" xfId="9772" applyNumberFormat="1" applyFont="1" applyFill="1" applyBorder="1" applyAlignment="1" applyProtection="1">
      <alignment vertical="top"/>
      <protection hidden="1"/>
    </xf>
    <xf numFmtId="3" fontId="4" fillId="0" borderId="88" xfId="0" applyNumberFormat="1" applyFont="1" applyFill="1" applyBorder="1" applyAlignment="1">
      <alignment vertical="center"/>
    </xf>
    <xf numFmtId="0" fontId="0" fillId="2" borderId="88" xfId="0" applyFill="1" applyBorder="1"/>
    <xf numFmtId="3" fontId="225" fillId="0" borderId="88" xfId="0" applyNumberFormat="1" applyFont="1" applyFill="1" applyBorder="1" applyAlignment="1" applyProtection="1">
      <alignment vertical="center"/>
      <protection locked="0"/>
    </xf>
    <xf numFmtId="0" fontId="0" fillId="2" borderId="9" xfId="0" applyFill="1" applyBorder="1"/>
    <xf numFmtId="181" fontId="0" fillId="2" borderId="0" xfId="71" applyNumberFormat="1" applyFont="1" applyFill="1"/>
    <xf numFmtId="181" fontId="0" fillId="90" borderId="0" xfId="71" applyNumberFormat="1" applyFont="1" applyFill="1"/>
    <xf numFmtId="181" fontId="0" fillId="2" borderId="0" xfId="71" applyNumberFormat="1" applyFont="1" applyFill="1" applyBorder="1"/>
    <xf numFmtId="0" fontId="0" fillId="28" borderId="110" xfId="0" applyFill="1" applyBorder="1" applyAlignment="1">
      <alignment wrapText="1"/>
    </xf>
    <xf numFmtId="3" fontId="5" fillId="0" borderId="88" xfId="0" applyNumberFormat="1" applyFont="1" applyFill="1" applyBorder="1" applyAlignment="1">
      <alignment horizontal="center" vertical="center"/>
    </xf>
    <xf numFmtId="3" fontId="5" fillId="0" borderId="9" xfId="0" applyNumberFormat="1" applyFont="1" applyFill="1" applyBorder="1" applyAlignment="1">
      <alignment horizontal="center" vertical="center"/>
    </xf>
    <xf numFmtId="169" fontId="41" fillId="0" borderId="110" xfId="70" applyFont="1" applyBorder="1"/>
    <xf numFmtId="0" fontId="0" fillId="0" borderId="118" xfId="0" applyFill="1" applyBorder="1"/>
    <xf numFmtId="0" fontId="239" fillId="0" borderId="103" xfId="0" applyFont="1" applyFill="1" applyBorder="1"/>
    <xf numFmtId="0" fontId="0" fillId="0" borderId="103" xfId="0" applyFill="1" applyBorder="1"/>
    <xf numFmtId="0" fontId="0" fillId="0" borderId="89" xfId="0" applyFill="1" applyBorder="1"/>
    <xf numFmtId="0" fontId="0" fillId="0" borderId="0" xfId="0" applyFill="1" applyBorder="1"/>
    <xf numFmtId="0" fontId="0" fillId="0" borderId="0" xfId="0" applyFill="1" applyBorder="1" applyAlignment="1">
      <alignment horizontal="center" wrapText="1"/>
    </xf>
    <xf numFmtId="17" fontId="0" fillId="0" borderId="0" xfId="0" applyNumberFormat="1" applyFill="1" applyBorder="1"/>
    <xf numFmtId="0" fontId="3" fillId="0" borderId="12" xfId="0" applyFont="1" applyFill="1" applyBorder="1" applyAlignment="1">
      <alignment horizontal="center"/>
    </xf>
    <xf numFmtId="43" fontId="0" fillId="0" borderId="0" xfId="71" applyFont="1" applyFill="1" applyBorder="1"/>
    <xf numFmtId="43" fontId="3" fillId="0" borderId="12" xfId="0" applyNumberFormat="1" applyFont="1" applyFill="1" applyBorder="1"/>
    <xf numFmtId="9" fontId="0" fillId="0" borderId="0" xfId="0" applyNumberFormat="1" applyFill="1" applyBorder="1" applyAlignment="1">
      <alignment horizontal="center"/>
    </xf>
    <xf numFmtId="43" fontId="0" fillId="0" borderId="0" xfId="71" applyFont="1" applyFill="1" applyBorder="1" applyAlignment="1">
      <alignment horizontal="right"/>
    </xf>
    <xf numFmtId="43" fontId="0" fillId="0" borderId="103" xfId="71" applyFont="1" applyFill="1" applyBorder="1"/>
    <xf numFmtId="43" fontId="3" fillId="0" borderId="97" xfId="71" applyFont="1" applyFill="1" applyBorder="1"/>
    <xf numFmtId="0" fontId="0" fillId="0" borderId="0" xfId="0" applyFill="1" applyBorder="1" applyAlignment="1">
      <alignment horizontal="right"/>
    </xf>
    <xf numFmtId="169" fontId="0" fillId="0" borderId="143" xfId="70" applyFont="1" applyFill="1" applyBorder="1"/>
    <xf numFmtId="169" fontId="3" fillId="0" borderId="144" xfId="70" applyFont="1" applyFill="1" applyBorder="1"/>
    <xf numFmtId="0" fontId="3" fillId="0" borderId="12" xfId="0" applyFont="1" applyFill="1" applyBorder="1"/>
    <xf numFmtId="43" fontId="0" fillId="0" borderId="103" xfId="0" applyNumberFormat="1" applyFill="1" applyBorder="1"/>
    <xf numFmtId="43" fontId="3" fillId="0" borderId="97" xfId="0" applyNumberFormat="1" applyFont="1" applyFill="1" applyBorder="1"/>
    <xf numFmtId="43" fontId="0" fillId="0" borderId="0" xfId="0" applyNumberFormat="1" applyFill="1" applyBorder="1"/>
    <xf numFmtId="169" fontId="0" fillId="0" borderId="65" xfId="70" applyFont="1" applyFill="1" applyBorder="1"/>
    <xf numFmtId="169" fontId="3" fillId="0" borderId="145" xfId="70" applyFont="1" applyFill="1" applyBorder="1"/>
    <xf numFmtId="0" fontId="0" fillId="0" borderId="109" xfId="0" applyFill="1" applyBorder="1"/>
    <xf numFmtId="0" fontId="0" fillId="0" borderId="5" xfId="0" applyFill="1" applyBorder="1"/>
    <xf numFmtId="43" fontId="3" fillId="0" borderId="112" xfId="0" applyNumberFormat="1" applyFont="1" applyFill="1" applyBorder="1"/>
    <xf numFmtId="0" fontId="46" fillId="92" borderId="0" xfId="0" applyFont="1" applyFill="1" applyAlignment="1">
      <alignment vertical="center" wrapText="1"/>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89" fillId="2" borderId="12"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210" fillId="92" borderId="0" xfId="40" applyNumberFormat="1" applyFont="1" applyFill="1" applyBorder="1" applyAlignment="1" applyProtection="1">
      <alignment horizontal="left" vertical="center" wrapText="1"/>
      <protection locked="0"/>
    </xf>
    <xf numFmtId="0" fontId="43" fillId="2" borderId="53"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42" fillId="2" borderId="0" xfId="0" applyFont="1" applyFill="1" applyBorder="1" applyAlignment="1" applyProtection="1">
      <alignment horizontal="left" vertical="top"/>
      <protection locked="0"/>
    </xf>
    <xf numFmtId="0" fontId="89" fillId="92" borderId="0" xfId="0" applyFont="1" applyFill="1" applyBorder="1" applyAlignment="1" applyProtection="1">
      <alignment horizontal="left" vertical="center" wrapText="1"/>
      <protection locked="0"/>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32"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41" fillId="0" borderId="5" xfId="0" applyFont="1" applyBorder="1" applyAlignment="1">
      <alignment horizontal="center" vertical="center"/>
    </xf>
    <xf numFmtId="0" fontId="0" fillId="0" borderId="5" xfId="0" applyBorder="1" applyAlignment="1">
      <alignment horizontal="center" vertical="center"/>
    </xf>
    <xf numFmtId="0" fontId="235" fillId="2" borderId="5" xfId="0" applyFont="1" applyFill="1" applyBorder="1" applyAlignment="1">
      <alignment horizontal="left"/>
    </xf>
    <xf numFmtId="0" fontId="0" fillId="0" borderId="103" xfId="0" applyFill="1" applyBorder="1" applyAlignment="1">
      <alignment horizontal="center"/>
    </xf>
    <xf numFmtId="0" fontId="0" fillId="0" borderId="97" xfId="0" applyFill="1" applyBorder="1" applyAlignment="1">
      <alignment horizontal="center"/>
    </xf>
  </cellXfs>
  <cellStyles count="9773">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59 2" xfId="9772"/>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0033CC"/>
      <color rgb="FFFFFF99"/>
      <color rgb="FFFFFF66"/>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700749"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243417</xdr:colOff>
      <xdr:row>1</xdr:row>
      <xdr:rowOff>4282</xdr:rowOff>
    </xdr:from>
    <xdr:to>
      <xdr:col>9</xdr:col>
      <xdr:colOff>955465</xdr:colOff>
      <xdr:row>9</xdr:row>
      <xdr:rowOff>140270</xdr:rowOff>
    </xdr:to>
    <xdr:grpSp>
      <xdr:nvGrpSpPr>
        <xdr:cNvPr id="2" name="Group 1"/>
        <xdr:cNvGrpSpPr/>
      </xdr:nvGrpSpPr>
      <xdr:grpSpPr>
        <a:xfrm>
          <a:off x="243417" y="194782"/>
          <a:ext cx="16047298" cy="1659988"/>
          <a:chOff x="10997237" y="5479722"/>
          <a:chExt cx="8673700" cy="1672594"/>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722"/>
            <a:ext cx="4969022" cy="1066051"/>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621128" cy="276404"/>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16</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15</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6</xdr:col>
      <xdr:colOff>0</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12</xdr:col>
      <xdr:colOff>371475</xdr:colOff>
      <xdr:row>8</xdr:row>
      <xdr:rowOff>47625</xdr:rowOff>
    </xdr:from>
    <xdr:to>
      <xdr:col>16</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oneCellAnchor>
    <xdr:from>
      <xdr:col>0</xdr:col>
      <xdr:colOff>409575</xdr:colOff>
      <xdr:row>16</xdr:row>
      <xdr:rowOff>0</xdr:rowOff>
    </xdr:from>
    <xdr:ext cx="800099" cy="619126"/>
    <xdr:sp macro="" textlink="">
      <xdr:nvSpPr>
        <xdr:cNvPr id="10" name="TextBox 9"/>
        <xdr:cNvSpPr txBox="1"/>
      </xdr:nvSpPr>
      <xdr:spPr>
        <a:xfrm>
          <a:off x="409575" y="5972174"/>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twoCellAnchor>
    <xdr:from>
      <xdr:col>0</xdr:col>
      <xdr:colOff>381000</xdr:colOff>
      <xdr:row>22</xdr:row>
      <xdr:rowOff>19050</xdr:rowOff>
    </xdr:from>
    <xdr:to>
      <xdr:col>2</xdr:col>
      <xdr:colOff>9525</xdr:colOff>
      <xdr:row>25</xdr:row>
      <xdr:rowOff>123825</xdr:rowOff>
    </xdr:to>
    <xdr:sp macro="" textlink="">
      <xdr:nvSpPr>
        <xdr:cNvPr id="12" name="TextBox 11"/>
        <xdr:cNvSpPr txBox="1"/>
      </xdr:nvSpPr>
      <xdr:spPr>
        <a:xfrm>
          <a:off x="381000" y="4305300"/>
          <a:ext cx="84772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2015 Program</a:t>
          </a:r>
          <a:r>
            <a:rPr lang="en-US" sz="1100" baseline="0"/>
            <a:t> Year</a:t>
          </a:r>
        </a:p>
        <a:p>
          <a:endParaRPr lang="en-US" sz="1100"/>
        </a:p>
      </xdr:txBody>
    </xdr:sp>
    <xdr:clientData/>
  </xdr:twoCellAnchor>
  <xdr:oneCellAnchor>
    <xdr:from>
      <xdr:col>0</xdr:col>
      <xdr:colOff>409575</xdr:colOff>
      <xdr:row>31</xdr:row>
      <xdr:rowOff>161924</xdr:rowOff>
    </xdr:from>
    <xdr:ext cx="800099" cy="619126"/>
    <xdr:sp macro="" textlink="">
      <xdr:nvSpPr>
        <xdr:cNvPr id="13" name="TextBox 12"/>
        <xdr:cNvSpPr txBox="1"/>
      </xdr:nvSpPr>
      <xdr:spPr>
        <a:xfrm>
          <a:off x="409575" y="5972174"/>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twoCellAnchor>
    <xdr:from>
      <xdr:col>0</xdr:col>
      <xdr:colOff>409575</xdr:colOff>
      <xdr:row>32</xdr:row>
      <xdr:rowOff>9525</xdr:rowOff>
    </xdr:from>
    <xdr:to>
      <xdr:col>2</xdr:col>
      <xdr:colOff>0</xdr:colOff>
      <xdr:row>35</xdr:row>
      <xdr:rowOff>57150</xdr:rowOff>
    </xdr:to>
    <xdr:sp macro="" textlink="">
      <xdr:nvSpPr>
        <xdr:cNvPr id="14" name="TextBox 13"/>
        <xdr:cNvSpPr txBox="1"/>
      </xdr:nvSpPr>
      <xdr:spPr>
        <a:xfrm>
          <a:off x="409575" y="6010275"/>
          <a:ext cx="80962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2016 Program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6485" cy="1978479"/>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87658"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952500</xdr:colOff>
          <xdr:row>50</xdr:row>
          <xdr:rowOff>171450</xdr:rowOff>
        </xdr:from>
        <xdr:to>
          <xdr:col>2</xdr:col>
          <xdr:colOff>1371600</xdr:colOff>
          <xdr:row>52</xdr:row>
          <xdr:rowOff>123825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53</xdr:row>
          <xdr:rowOff>190500</xdr:rowOff>
        </xdr:from>
        <xdr:to>
          <xdr:col>2</xdr:col>
          <xdr:colOff>1371600</xdr:colOff>
          <xdr:row>55</xdr:row>
          <xdr:rowOff>142875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57</xdr:row>
          <xdr:rowOff>9525</xdr:rowOff>
        </xdr:from>
        <xdr:to>
          <xdr:col>2</xdr:col>
          <xdr:colOff>1371600</xdr:colOff>
          <xdr:row>58</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60</xdr:row>
          <xdr:rowOff>28575</xdr:rowOff>
        </xdr:from>
        <xdr:to>
          <xdr:col>2</xdr:col>
          <xdr:colOff>1371600</xdr:colOff>
          <xdr:row>61</xdr:row>
          <xdr:rowOff>180975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63</xdr:row>
          <xdr:rowOff>47625</xdr:rowOff>
        </xdr:from>
        <xdr:to>
          <xdr:col>2</xdr:col>
          <xdr:colOff>1371600</xdr:colOff>
          <xdr:row>65</xdr:row>
          <xdr:rowOff>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6111818"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9477" y="281441"/>
          <a:ext cx="15379420" cy="1563721"/>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304822</xdr:colOff>
      <xdr:row>1</xdr:row>
      <xdr:rowOff>104786</xdr:rowOff>
    </xdr:from>
    <xdr:to>
      <xdr:col>2</xdr:col>
      <xdr:colOff>3192802</xdr:colOff>
      <xdr:row>6</xdr:row>
      <xdr:rowOff>82688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04822" y="295286"/>
          <a:ext cx="4107180" cy="930402"/>
        </a:xfrm>
        <a:prstGeom prst="rect">
          <a:avLst/>
        </a:prstGeom>
        <a:ln>
          <a:noFill/>
        </a:ln>
        <a:effectLst>
          <a:softEdge rad="112500"/>
        </a:effectLst>
      </xdr:spPr>
    </xdr:pic>
    <xdr:clientData/>
  </xdr:twoCellAnchor>
  <xdr:twoCellAnchor>
    <xdr:from>
      <xdr:col>1</xdr:col>
      <xdr:colOff>219080</xdr:colOff>
      <xdr:row>4</xdr:row>
      <xdr:rowOff>114300</xdr:rowOff>
    </xdr:from>
    <xdr:to>
      <xdr:col>13</xdr:col>
      <xdr:colOff>126352</xdr:colOff>
      <xdr:row>11</xdr:row>
      <xdr:rowOff>2470</xdr:rowOff>
    </xdr:to>
    <xdr:sp macro="" textlink="">
      <xdr:nvSpPr>
        <xdr:cNvPr id="3" name="Rectangle 2"/>
        <xdr:cNvSpPr/>
      </xdr:nvSpPr>
      <xdr:spPr>
        <a:xfrm>
          <a:off x="828680" y="876300"/>
          <a:ext cx="13909022" cy="122167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68111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costrategic-my.sharepoint.com/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workbookViewId="0">
      <selection activeCell="F10" sqref="F10"/>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46" t="s">
        <v>175</v>
      </c>
      <c r="C3" s="846"/>
    </row>
    <row r="4" spans="1:3" ht="11.25" customHeight="1"/>
    <row r="5" spans="1:3" s="30" customFormat="1" ht="25.5" customHeight="1">
      <c r="B5" s="62" t="s">
        <v>419</v>
      </c>
      <c r="C5" s="62" t="s">
        <v>174</v>
      </c>
    </row>
    <row r="6" spans="1:3" s="178" customFormat="1" ht="48" customHeight="1">
      <c r="A6" s="243"/>
      <c r="B6" s="620" t="s">
        <v>171</v>
      </c>
      <c r="C6" s="673" t="s">
        <v>597</v>
      </c>
    </row>
    <row r="7" spans="1:3" s="178" customFormat="1" ht="21" customHeight="1">
      <c r="A7" s="243"/>
      <c r="B7" s="614" t="s">
        <v>547</v>
      </c>
      <c r="C7" s="674" t="s">
        <v>610</v>
      </c>
    </row>
    <row r="8" spans="1:3" s="178" customFormat="1" ht="32.25" customHeight="1">
      <c r="B8" s="614" t="s">
        <v>367</v>
      </c>
      <c r="C8" s="675" t="s">
        <v>598</v>
      </c>
    </row>
    <row r="9" spans="1:3" s="178" customFormat="1" ht="27.75" customHeight="1">
      <c r="B9" s="614" t="s">
        <v>170</v>
      </c>
      <c r="C9" s="675" t="s">
        <v>599</v>
      </c>
    </row>
    <row r="10" spans="1:3" s="178" customFormat="1" ht="33" customHeight="1">
      <c r="B10" s="614" t="s">
        <v>595</v>
      </c>
      <c r="C10" s="674" t="s">
        <v>603</v>
      </c>
    </row>
    <row r="11" spans="1:3" s="178" customFormat="1" ht="26.25" customHeight="1">
      <c r="B11" s="629" t="s">
        <v>368</v>
      </c>
      <c r="C11" s="677" t="s">
        <v>600</v>
      </c>
    </row>
    <row r="12" spans="1:3" s="178" customFormat="1" ht="39.75" customHeight="1">
      <c r="B12" s="614" t="s">
        <v>369</v>
      </c>
      <c r="C12" s="675" t="s">
        <v>601</v>
      </c>
    </row>
    <row r="13" spans="1:3" s="178" customFormat="1" ht="18" customHeight="1">
      <c r="B13" s="614" t="s">
        <v>370</v>
      </c>
      <c r="C13" s="675" t="s">
        <v>602</v>
      </c>
    </row>
    <row r="14" spans="1:3" s="178" customFormat="1" ht="13.5" customHeight="1">
      <c r="B14" s="614"/>
      <c r="C14" s="676"/>
    </row>
    <row r="15" spans="1:3" s="178" customFormat="1" ht="18" customHeight="1">
      <c r="B15" s="614" t="s">
        <v>674</v>
      </c>
      <c r="C15" s="674" t="s">
        <v>672</v>
      </c>
    </row>
    <row r="16" spans="1:3" s="178" customFormat="1" ht="8.25" customHeight="1">
      <c r="B16" s="614"/>
      <c r="C16" s="676"/>
    </row>
    <row r="17" spans="2:3" s="178" customFormat="1" ht="33" customHeight="1">
      <c r="B17" s="678" t="s">
        <v>596</v>
      </c>
      <c r="C17" s="679" t="s">
        <v>673</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25" right="0.25" top="0.75" bottom="0.75" header="0.3" footer="0.3"/>
  <pageSetup scale="82"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90" zoomScaleNormal="90" zoomScaleSheetLayoutView="80" zoomScalePageLayoutView="85" workbookViewId="0">
      <selection activeCell="AA127" sqref="AA127"/>
    </sheetView>
  </sheetViews>
  <sheetFormatPr defaultColWidth="9.140625" defaultRowHeight="14.25" outlineLevelRow="1" outlineLevelCol="1"/>
  <cols>
    <col min="1" max="1" width="4.7109375" style="511" customWidth="1"/>
    <col min="2" max="2" width="31.85546875" style="256" customWidth="1"/>
    <col min="3" max="3" width="14" style="256" customWidth="1"/>
    <col min="4" max="4" width="18.140625" style="255" customWidth="1"/>
    <col min="5" max="9" width="10.42578125" style="255" customWidth="1" outlineLevel="1"/>
    <col min="10" max="13" width="9.140625" style="255"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hidden="1" customWidth="1"/>
    <col min="36" max="38" width="15" style="257" hidden="1"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95"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95"/>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893" t="s">
        <v>546</v>
      </c>
      <c r="D5" s="894"/>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95" t="s">
        <v>500</v>
      </c>
      <c r="C7" s="896" t="s">
        <v>633</v>
      </c>
      <c r="D7" s="896"/>
      <c r="E7" s="896"/>
      <c r="F7" s="896"/>
      <c r="G7" s="896"/>
      <c r="H7" s="896"/>
      <c r="I7" s="896"/>
      <c r="J7" s="896"/>
      <c r="K7" s="896"/>
      <c r="L7" s="896"/>
      <c r="M7" s="896"/>
      <c r="N7" s="896"/>
      <c r="O7" s="896"/>
      <c r="P7" s="896"/>
      <c r="Q7" s="896"/>
      <c r="R7" s="896"/>
      <c r="S7" s="896"/>
      <c r="T7" s="896"/>
      <c r="U7" s="896"/>
      <c r="V7" s="896"/>
      <c r="W7" s="896"/>
      <c r="X7" s="896"/>
      <c r="Y7" s="608"/>
      <c r="Z7" s="608"/>
      <c r="AA7" s="608"/>
      <c r="AB7" s="608"/>
      <c r="AC7" s="608"/>
      <c r="AD7" s="608"/>
      <c r="AE7" s="272"/>
      <c r="AF7" s="272"/>
      <c r="AG7" s="272"/>
      <c r="AH7" s="272"/>
      <c r="AI7" s="272"/>
      <c r="AJ7" s="272"/>
      <c r="AK7" s="272"/>
      <c r="AL7" s="272"/>
    </row>
    <row r="8" spans="1:39" s="273" customFormat="1" ht="58.5" customHeight="1">
      <c r="A8" s="511"/>
      <c r="B8" s="895"/>
      <c r="C8" s="896" t="s">
        <v>567</v>
      </c>
      <c r="D8" s="896"/>
      <c r="E8" s="896"/>
      <c r="F8" s="896"/>
      <c r="G8" s="896"/>
      <c r="H8" s="896"/>
      <c r="I8" s="896"/>
      <c r="J8" s="896"/>
      <c r="K8" s="896"/>
      <c r="L8" s="896"/>
      <c r="M8" s="896"/>
      <c r="N8" s="896"/>
      <c r="O8" s="896"/>
      <c r="P8" s="896"/>
      <c r="Q8" s="896"/>
      <c r="R8" s="896"/>
      <c r="S8" s="896"/>
      <c r="T8" s="896"/>
      <c r="U8" s="896"/>
      <c r="V8" s="896"/>
      <c r="W8" s="896"/>
      <c r="X8" s="896"/>
      <c r="Y8" s="608"/>
      <c r="Z8" s="608"/>
      <c r="AA8" s="608"/>
      <c r="AB8" s="608"/>
      <c r="AC8" s="608"/>
      <c r="AD8" s="608"/>
      <c r="AE8" s="274"/>
      <c r="AF8" s="257"/>
      <c r="AG8" s="257"/>
      <c r="AH8" s="257"/>
      <c r="AI8" s="257"/>
      <c r="AJ8" s="257"/>
      <c r="AK8" s="257"/>
      <c r="AL8" s="257"/>
      <c r="AM8" s="258"/>
    </row>
    <row r="9" spans="1:39" s="273" customFormat="1" ht="57.75" customHeight="1">
      <c r="A9" s="511"/>
      <c r="B9" s="275"/>
      <c r="C9" s="896" t="s">
        <v>566</v>
      </c>
      <c r="D9" s="896"/>
      <c r="E9" s="896"/>
      <c r="F9" s="896"/>
      <c r="G9" s="896"/>
      <c r="H9" s="896"/>
      <c r="I9" s="896"/>
      <c r="J9" s="896"/>
      <c r="K9" s="896"/>
      <c r="L9" s="896"/>
      <c r="M9" s="896"/>
      <c r="N9" s="896"/>
      <c r="O9" s="896"/>
      <c r="P9" s="896"/>
      <c r="Q9" s="896"/>
      <c r="R9" s="896"/>
      <c r="S9" s="896"/>
      <c r="T9" s="896"/>
      <c r="U9" s="896"/>
      <c r="V9" s="896"/>
      <c r="W9" s="896"/>
      <c r="X9" s="896"/>
      <c r="Y9" s="608"/>
      <c r="Z9" s="608"/>
      <c r="AA9" s="608"/>
      <c r="AB9" s="608"/>
      <c r="AC9" s="608"/>
      <c r="AD9" s="608"/>
      <c r="AE9" s="274"/>
      <c r="AF9" s="257"/>
      <c r="AG9" s="257"/>
      <c r="AH9" s="257"/>
      <c r="AI9" s="257"/>
      <c r="AJ9" s="257"/>
      <c r="AK9" s="257"/>
      <c r="AL9" s="257"/>
      <c r="AM9" s="258"/>
    </row>
    <row r="10" spans="1:39" ht="41.25" customHeight="1">
      <c r="B10" s="277"/>
      <c r="C10" s="896" t="s">
        <v>636</v>
      </c>
      <c r="D10" s="896"/>
      <c r="E10" s="896"/>
      <c r="F10" s="896"/>
      <c r="G10" s="896"/>
      <c r="H10" s="896"/>
      <c r="I10" s="896"/>
      <c r="J10" s="896"/>
      <c r="K10" s="896"/>
      <c r="L10" s="896"/>
      <c r="M10" s="896"/>
      <c r="N10" s="896"/>
      <c r="O10" s="896"/>
      <c r="P10" s="896"/>
      <c r="Q10" s="896"/>
      <c r="R10" s="896"/>
      <c r="S10" s="896"/>
      <c r="T10" s="896"/>
      <c r="U10" s="896"/>
      <c r="V10" s="896"/>
      <c r="W10" s="896"/>
      <c r="X10" s="896"/>
      <c r="Y10" s="608"/>
      <c r="Z10" s="608"/>
      <c r="AA10" s="608"/>
      <c r="AB10" s="608"/>
      <c r="AC10" s="608"/>
      <c r="AD10" s="608"/>
      <c r="AE10" s="274"/>
      <c r="AF10" s="278"/>
      <c r="AG10" s="278"/>
      <c r="AH10" s="278"/>
      <c r="AI10" s="278"/>
      <c r="AJ10" s="278"/>
      <c r="AK10" s="278"/>
      <c r="AL10" s="278"/>
    </row>
    <row r="11" spans="1:39" ht="53.25" customHeight="1">
      <c r="C11" s="896" t="s">
        <v>619</v>
      </c>
      <c r="D11" s="896"/>
      <c r="E11" s="896"/>
      <c r="F11" s="896"/>
      <c r="G11" s="896"/>
      <c r="H11" s="896"/>
      <c r="I11" s="896"/>
      <c r="J11" s="896"/>
      <c r="K11" s="896"/>
      <c r="L11" s="896"/>
      <c r="M11" s="896"/>
      <c r="N11" s="896"/>
      <c r="O11" s="896"/>
      <c r="P11" s="896"/>
      <c r="Q11" s="896"/>
      <c r="R11" s="896"/>
      <c r="S11" s="896"/>
      <c r="T11" s="896"/>
      <c r="U11" s="896"/>
      <c r="V11" s="896"/>
      <c r="W11" s="896"/>
      <c r="X11" s="896"/>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95" t="s">
        <v>522</v>
      </c>
      <c r="C13" s="593" t="s">
        <v>517</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95"/>
      <c r="C14" s="593" t="s">
        <v>518</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519</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520</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240</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97" t="s">
        <v>210</v>
      </c>
      <c r="C19" s="899" t="s">
        <v>33</v>
      </c>
      <c r="D19" s="286" t="s">
        <v>421</v>
      </c>
      <c r="E19" s="901" t="s">
        <v>208</v>
      </c>
      <c r="F19" s="902"/>
      <c r="G19" s="902"/>
      <c r="H19" s="902"/>
      <c r="I19" s="902"/>
      <c r="J19" s="902"/>
      <c r="K19" s="902"/>
      <c r="L19" s="902"/>
      <c r="M19" s="903"/>
      <c r="N19" s="907" t="s">
        <v>212</v>
      </c>
      <c r="O19" s="286" t="s">
        <v>422</v>
      </c>
      <c r="P19" s="901" t="s">
        <v>211</v>
      </c>
      <c r="Q19" s="902"/>
      <c r="R19" s="902"/>
      <c r="S19" s="902"/>
      <c r="T19" s="902"/>
      <c r="U19" s="902"/>
      <c r="V19" s="902"/>
      <c r="W19" s="902"/>
      <c r="X19" s="903"/>
      <c r="Y19" s="904" t="s">
        <v>242</v>
      </c>
      <c r="Z19" s="905"/>
      <c r="AA19" s="905"/>
      <c r="AB19" s="905"/>
      <c r="AC19" s="905"/>
      <c r="AD19" s="905"/>
      <c r="AE19" s="905"/>
      <c r="AF19" s="905"/>
      <c r="AG19" s="905"/>
      <c r="AH19" s="905"/>
      <c r="AI19" s="905"/>
      <c r="AJ19" s="905"/>
      <c r="AK19" s="905"/>
      <c r="AL19" s="905"/>
      <c r="AM19" s="906"/>
    </row>
    <row r="20" spans="1:39" s="285" customFormat="1" ht="59.25" customHeight="1">
      <c r="A20" s="511"/>
      <c r="B20" s="898"/>
      <c r="C20" s="900"/>
      <c r="D20" s="287">
        <v>2011</v>
      </c>
      <c r="E20" s="287">
        <v>2012</v>
      </c>
      <c r="F20" s="287">
        <v>2013</v>
      </c>
      <c r="G20" s="287">
        <v>2014</v>
      </c>
      <c r="H20" s="287">
        <v>2015</v>
      </c>
      <c r="I20" s="287">
        <v>2016</v>
      </c>
      <c r="J20" s="287">
        <v>2017</v>
      </c>
      <c r="K20" s="287">
        <v>2018</v>
      </c>
      <c r="L20" s="287">
        <v>2019</v>
      </c>
      <c r="M20" s="287">
        <v>2020</v>
      </c>
      <c r="N20" s="908"/>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GS&gt;50 kW</v>
      </c>
      <c r="AB20" s="288" t="str">
        <f>'1.  LRAMVA Summary'!G50</f>
        <v>Streetlighting</v>
      </c>
      <c r="AC20" s="288" t="str">
        <f>'1.  LRAMVA Summary'!H50</f>
        <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f>'1.  LRAMVA Summary'!H51</f>
        <v>0</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v>226453</v>
      </c>
      <c r="E22" s="297">
        <v>226453.15</v>
      </c>
      <c r="F22" s="297">
        <v>226453.15</v>
      </c>
      <c r="G22" s="297">
        <v>226148.76</v>
      </c>
      <c r="H22" s="297">
        <v>153556.72</v>
      </c>
      <c r="I22" s="297">
        <v>0</v>
      </c>
      <c r="J22" s="297"/>
      <c r="K22" s="297"/>
      <c r="L22" s="297"/>
      <c r="M22" s="297"/>
      <c r="N22" s="293"/>
      <c r="O22" s="297">
        <v>31</v>
      </c>
      <c r="P22" s="297">
        <v>31</v>
      </c>
      <c r="Q22" s="297">
        <v>31</v>
      </c>
      <c r="R22" s="297">
        <v>30.5</v>
      </c>
      <c r="S22" s="297">
        <v>20.190000000000001</v>
      </c>
      <c r="T22" s="297">
        <v>0</v>
      </c>
      <c r="U22" s="297"/>
      <c r="V22" s="297"/>
      <c r="W22" s="297"/>
      <c r="X22" s="297"/>
      <c r="Y22" s="412">
        <v>1</v>
      </c>
      <c r="Z22" s="412"/>
      <c r="AA22" s="412"/>
      <c r="AB22" s="412"/>
      <c r="AC22" s="412"/>
      <c r="AD22" s="412"/>
      <c r="AE22" s="412"/>
      <c r="AF22" s="412"/>
      <c r="AG22" s="412"/>
      <c r="AH22" s="412"/>
      <c r="AI22" s="412"/>
      <c r="AJ22" s="412"/>
      <c r="AK22" s="412"/>
      <c r="AL22" s="412"/>
      <c r="AM22" s="298">
        <f>SUM(Y22:AL22)</f>
        <v>1</v>
      </c>
    </row>
    <row r="23" spans="1:39" s="285" customFormat="1" ht="15" outlineLevel="1">
      <c r="A23" s="511"/>
      <c r="B23" s="296" t="s">
        <v>213</v>
      </c>
      <c r="C23" s="293" t="s">
        <v>164</v>
      </c>
      <c r="D23" s="297"/>
      <c r="E23" s="297"/>
      <c r="F23" s="297"/>
      <c r="G23" s="297"/>
      <c r="H23" s="297"/>
      <c r="I23" s="297"/>
      <c r="J23" s="297"/>
      <c r="K23" s="297"/>
      <c r="L23" s="297"/>
      <c r="M23" s="297"/>
      <c r="N23" s="470"/>
      <c r="O23" s="297"/>
      <c r="P23" s="297"/>
      <c r="Q23" s="297"/>
      <c r="R23" s="297"/>
      <c r="S23" s="297"/>
      <c r="T23" s="297">
        <v>0</v>
      </c>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v>3509</v>
      </c>
      <c r="E25" s="297">
        <v>3509.23</v>
      </c>
      <c r="F25" s="297">
        <v>3509.23</v>
      </c>
      <c r="G25" s="297">
        <v>2611.42</v>
      </c>
      <c r="H25" s="297">
        <v>0</v>
      </c>
      <c r="I25" s="297">
        <v>0</v>
      </c>
      <c r="J25" s="297"/>
      <c r="K25" s="297"/>
      <c r="L25" s="297"/>
      <c r="M25" s="297"/>
      <c r="N25" s="293"/>
      <c r="O25" s="297">
        <v>2</v>
      </c>
      <c r="P25" s="297">
        <v>2</v>
      </c>
      <c r="Q25" s="297">
        <v>2</v>
      </c>
      <c r="R25" s="297">
        <v>1.46</v>
      </c>
      <c r="S25" s="297">
        <v>0</v>
      </c>
      <c r="T25" s="297">
        <v>0</v>
      </c>
      <c r="U25" s="297"/>
      <c r="V25" s="297"/>
      <c r="W25" s="297"/>
      <c r="X25" s="297"/>
      <c r="Y25" s="412">
        <v>1</v>
      </c>
      <c r="Z25" s="412"/>
      <c r="AA25" s="412"/>
      <c r="AB25" s="412"/>
      <c r="AC25" s="412"/>
      <c r="AD25" s="412"/>
      <c r="AE25" s="412"/>
      <c r="AF25" s="412"/>
      <c r="AG25" s="412"/>
      <c r="AH25" s="412"/>
      <c r="AI25" s="412"/>
      <c r="AJ25" s="412"/>
      <c r="AK25" s="412"/>
      <c r="AL25" s="412"/>
      <c r="AM25" s="298">
        <f>SUM(Y25:AL25)</f>
        <v>1</v>
      </c>
    </row>
    <row r="26" spans="1:39" s="285" customFormat="1" ht="15" outlineLevel="1">
      <c r="A26" s="511"/>
      <c r="B26" s="296" t="s">
        <v>213</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v>580361</v>
      </c>
      <c r="E28" s="297">
        <v>580360.59</v>
      </c>
      <c r="F28" s="297">
        <v>580360.59</v>
      </c>
      <c r="G28" s="297">
        <v>580360.59</v>
      </c>
      <c r="H28" s="297">
        <v>580360.59</v>
      </c>
      <c r="I28" s="297">
        <v>580360.59</v>
      </c>
      <c r="J28" s="297"/>
      <c r="K28" s="297"/>
      <c r="L28" s="297"/>
      <c r="M28" s="297"/>
      <c r="N28" s="293"/>
      <c r="O28" s="297">
        <v>319</v>
      </c>
      <c r="P28" s="297">
        <v>319</v>
      </c>
      <c r="Q28" s="297">
        <v>319</v>
      </c>
      <c r="R28" s="297">
        <v>318.79000000000002</v>
      </c>
      <c r="S28" s="297">
        <v>318.79000000000002</v>
      </c>
      <c r="T28" s="297">
        <v>318.78579999999999</v>
      </c>
      <c r="U28" s="297"/>
      <c r="V28" s="297"/>
      <c r="W28" s="297"/>
      <c r="X28" s="297"/>
      <c r="Y28" s="412">
        <v>1</v>
      </c>
      <c r="Z28" s="412"/>
      <c r="AA28" s="412"/>
      <c r="AB28" s="412"/>
      <c r="AC28" s="412"/>
      <c r="AD28" s="412"/>
      <c r="AE28" s="412"/>
      <c r="AF28" s="412"/>
      <c r="AG28" s="412"/>
      <c r="AH28" s="412"/>
      <c r="AI28" s="412"/>
      <c r="AJ28" s="412"/>
      <c r="AK28" s="412"/>
      <c r="AL28" s="412"/>
      <c r="AM28" s="298">
        <f>SUM(Y28:AL28)</f>
        <v>1</v>
      </c>
    </row>
    <row r="29" spans="1:39" s="285" customFormat="1" ht="15" outlineLevel="1">
      <c r="A29" s="511"/>
      <c r="B29" s="296" t="s">
        <v>213</v>
      </c>
      <c r="C29" s="293" t="s">
        <v>164</v>
      </c>
      <c r="D29" s="297">
        <v>-72230.350000000006</v>
      </c>
      <c r="E29" s="297">
        <v>-72230.350000000006</v>
      </c>
      <c r="F29" s="297">
        <v>-72230.350000000006</v>
      </c>
      <c r="G29" s="297">
        <v>-72230.350000000006</v>
      </c>
      <c r="H29" s="297">
        <v>-72230.350000000006</v>
      </c>
      <c r="I29" s="297">
        <v>-72230.350000000006</v>
      </c>
      <c r="J29" s="297"/>
      <c r="K29" s="297"/>
      <c r="L29" s="297"/>
      <c r="M29" s="297"/>
      <c r="N29" s="470"/>
      <c r="O29" s="297">
        <v>-40</v>
      </c>
      <c r="P29" s="297">
        <v>-40</v>
      </c>
      <c r="Q29" s="297">
        <v>-40</v>
      </c>
      <c r="R29" s="297">
        <v>-40</v>
      </c>
      <c r="S29" s="297">
        <v>-40</v>
      </c>
      <c r="T29" s="297">
        <f>-40.07</f>
        <v>-40.07</v>
      </c>
      <c r="U29" s="297"/>
      <c r="V29" s="297"/>
      <c r="W29" s="297"/>
      <c r="X29" s="297"/>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v>191285</v>
      </c>
      <c r="E31" s="297">
        <v>191284.51</v>
      </c>
      <c r="F31" s="297">
        <v>191284.51</v>
      </c>
      <c r="G31" s="297">
        <v>191284.51</v>
      </c>
      <c r="H31" s="297">
        <v>176008.38</v>
      </c>
      <c r="I31" s="297">
        <v>159319.85999999999</v>
      </c>
      <c r="J31" s="297"/>
      <c r="K31" s="297"/>
      <c r="L31" s="297"/>
      <c r="M31" s="297"/>
      <c r="N31" s="293"/>
      <c r="O31" s="297">
        <v>12</v>
      </c>
      <c r="P31" s="297">
        <v>12</v>
      </c>
      <c r="Q31" s="297">
        <v>12</v>
      </c>
      <c r="R31" s="297">
        <v>11.55</v>
      </c>
      <c r="S31" s="297">
        <v>10.84</v>
      </c>
      <c r="T31" s="297">
        <v>10.071400000000001</v>
      </c>
      <c r="U31" s="297"/>
      <c r="V31" s="297"/>
      <c r="W31" s="297"/>
      <c r="X31" s="297"/>
      <c r="Y31" s="412">
        <v>1</v>
      </c>
      <c r="Z31" s="412"/>
      <c r="AA31" s="412"/>
      <c r="AB31" s="412"/>
      <c r="AC31" s="412"/>
      <c r="AD31" s="412"/>
      <c r="AE31" s="412"/>
      <c r="AF31" s="412"/>
      <c r="AG31" s="412"/>
      <c r="AH31" s="412"/>
      <c r="AI31" s="412"/>
      <c r="AJ31" s="412"/>
      <c r="AK31" s="412"/>
      <c r="AL31" s="412"/>
      <c r="AM31" s="298">
        <f>SUM(Y31:AL31)</f>
        <v>1</v>
      </c>
    </row>
    <row r="32" spans="1:39" s="285" customFormat="1" ht="15" outlineLevel="1">
      <c r="A32" s="511"/>
      <c r="B32" s="296" t="s">
        <v>213</v>
      </c>
      <c r="C32" s="293" t="s">
        <v>164</v>
      </c>
      <c r="D32" s="297">
        <v>2384.66</v>
      </c>
      <c r="E32" s="297">
        <v>2384.66</v>
      </c>
      <c r="F32" s="297">
        <v>2384.66</v>
      </c>
      <c r="G32" s="297">
        <v>2384.66</v>
      </c>
      <c r="H32" s="297">
        <v>2384.66</v>
      </c>
      <c r="I32" s="297">
        <v>2179</v>
      </c>
      <c r="J32" s="297"/>
      <c r="K32" s="297"/>
      <c r="L32" s="297"/>
      <c r="M32" s="297"/>
      <c r="N32" s="470"/>
      <c r="O32" s="297">
        <v>0</v>
      </c>
      <c r="P32" s="297">
        <v>0</v>
      </c>
      <c r="Q32" s="297">
        <v>0</v>
      </c>
      <c r="R32" s="297">
        <v>0</v>
      </c>
      <c r="S32" s="297">
        <v>0</v>
      </c>
      <c r="T32" s="297">
        <v>0</v>
      </c>
      <c r="U32" s="297"/>
      <c r="V32" s="297"/>
      <c r="W32" s="297"/>
      <c r="X32" s="297"/>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v>254227</v>
      </c>
      <c r="E34" s="297">
        <v>254227.22</v>
      </c>
      <c r="F34" s="297">
        <v>254227.22</v>
      </c>
      <c r="G34" s="297">
        <v>254227.22</v>
      </c>
      <c r="H34" s="297">
        <v>232344.95999999999</v>
      </c>
      <c r="I34" s="297">
        <v>208439.51</v>
      </c>
      <c r="J34" s="297"/>
      <c r="K34" s="297"/>
      <c r="L34" s="297"/>
      <c r="M34" s="297"/>
      <c r="N34" s="293"/>
      <c r="O34" s="297">
        <v>15</v>
      </c>
      <c r="P34" s="297">
        <v>15</v>
      </c>
      <c r="Q34" s="297">
        <v>15</v>
      </c>
      <c r="R34" s="297">
        <v>14.55</v>
      </c>
      <c r="S34" s="297">
        <v>13.53</v>
      </c>
      <c r="T34" s="297">
        <v>12.426</v>
      </c>
      <c r="U34" s="297"/>
      <c r="V34" s="297"/>
      <c r="W34" s="297"/>
      <c r="X34" s="297"/>
      <c r="Y34" s="412">
        <v>1</v>
      </c>
      <c r="Z34" s="412"/>
      <c r="AA34" s="412"/>
      <c r="AB34" s="412"/>
      <c r="AC34" s="412"/>
      <c r="AD34" s="412"/>
      <c r="AE34" s="412"/>
      <c r="AF34" s="412"/>
      <c r="AG34" s="412"/>
      <c r="AH34" s="412"/>
      <c r="AI34" s="412"/>
      <c r="AJ34" s="412"/>
      <c r="AK34" s="412"/>
      <c r="AL34" s="412"/>
      <c r="AM34" s="298">
        <f>SUM(Y34:AL34)</f>
        <v>1</v>
      </c>
    </row>
    <row r="35" spans="1:39" s="285" customFormat="1" ht="15" outlineLevel="1">
      <c r="A35" s="511"/>
      <c r="B35" s="296" t="s">
        <v>213</v>
      </c>
      <c r="C35" s="293" t="s">
        <v>164</v>
      </c>
      <c r="D35" s="297">
        <v>18888.23</v>
      </c>
      <c r="E35" s="297">
        <v>18888.23</v>
      </c>
      <c r="F35" s="297">
        <v>18888.23</v>
      </c>
      <c r="G35" s="297">
        <v>18888.23</v>
      </c>
      <c r="H35" s="297">
        <v>18888.23</v>
      </c>
      <c r="I35" s="297">
        <v>17164</v>
      </c>
      <c r="J35" s="297"/>
      <c r="K35" s="297"/>
      <c r="L35" s="297"/>
      <c r="M35" s="297"/>
      <c r="N35" s="470"/>
      <c r="O35" s="297">
        <v>1</v>
      </c>
      <c r="P35" s="297">
        <v>1</v>
      </c>
      <c r="Q35" s="297">
        <v>1</v>
      </c>
      <c r="R35" s="297">
        <v>1</v>
      </c>
      <c r="S35" s="297">
        <v>1</v>
      </c>
      <c r="T35" s="297">
        <v>0.85</v>
      </c>
      <c r="U35" s="297"/>
      <c r="V35" s="297"/>
      <c r="W35" s="297"/>
      <c r="X35" s="297"/>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v>0</v>
      </c>
      <c r="E37" s="297"/>
      <c r="F37" s="297"/>
      <c r="G37" s="297"/>
      <c r="H37" s="297"/>
      <c r="I37" s="297"/>
      <c r="J37" s="297"/>
      <c r="K37" s="297"/>
      <c r="L37" s="297"/>
      <c r="M37" s="297"/>
      <c r="N37" s="293"/>
      <c r="O37" s="297">
        <v>0</v>
      </c>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213</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v>0</v>
      </c>
      <c r="E40" s="297"/>
      <c r="F40" s="297"/>
      <c r="G40" s="297"/>
      <c r="H40" s="297"/>
      <c r="I40" s="297"/>
      <c r="J40" s="297"/>
      <c r="K40" s="297"/>
      <c r="L40" s="297"/>
      <c r="M40" s="297"/>
      <c r="N40" s="293"/>
      <c r="O40" s="297">
        <v>0</v>
      </c>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213</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480</v>
      </c>
      <c r="C43" s="293" t="s">
        <v>25</v>
      </c>
      <c r="D43" s="297">
        <v>0</v>
      </c>
      <c r="E43" s="297"/>
      <c r="F43" s="297"/>
      <c r="G43" s="297"/>
      <c r="H43" s="297"/>
      <c r="I43" s="297"/>
      <c r="J43" s="297"/>
      <c r="K43" s="297"/>
      <c r="L43" s="297"/>
      <c r="M43" s="297"/>
      <c r="N43" s="293"/>
      <c r="O43" s="297">
        <v>0</v>
      </c>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213</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v>0</v>
      </c>
      <c r="E46" s="297"/>
      <c r="F46" s="297"/>
      <c r="G46" s="297"/>
      <c r="H46" s="297"/>
      <c r="I46" s="297"/>
      <c r="J46" s="297"/>
      <c r="K46" s="297"/>
      <c r="L46" s="297"/>
      <c r="M46" s="297"/>
      <c r="N46" s="293"/>
      <c r="O46" s="297">
        <v>0</v>
      </c>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213</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v>824817</v>
      </c>
      <c r="E50" s="297">
        <v>824817</v>
      </c>
      <c r="F50" s="297">
        <v>824817</v>
      </c>
      <c r="G50" s="297">
        <v>824817</v>
      </c>
      <c r="H50" s="297">
        <v>824817</v>
      </c>
      <c r="I50" s="297">
        <v>824817</v>
      </c>
      <c r="J50" s="297"/>
      <c r="K50" s="297"/>
      <c r="L50" s="297"/>
      <c r="M50" s="297"/>
      <c r="N50" s="297">
        <v>12</v>
      </c>
      <c r="O50" s="297">
        <v>141.82</v>
      </c>
      <c r="P50" s="297">
        <v>141.82</v>
      </c>
      <c r="Q50" s="297">
        <v>141.82</v>
      </c>
      <c r="R50" s="297">
        <v>141.82</v>
      </c>
      <c r="S50" s="297">
        <v>141.82</v>
      </c>
      <c r="T50" s="297">
        <v>141.82</v>
      </c>
      <c r="U50" s="297"/>
      <c r="V50" s="297"/>
      <c r="W50" s="297"/>
      <c r="X50" s="297"/>
      <c r="Y50" s="417"/>
      <c r="Z50" s="417"/>
      <c r="AA50" s="417">
        <v>1</v>
      </c>
      <c r="AB50" s="417"/>
      <c r="AC50" s="417"/>
      <c r="AD50" s="417"/>
      <c r="AE50" s="417"/>
      <c r="AF50" s="417"/>
      <c r="AG50" s="417"/>
      <c r="AH50" s="417"/>
      <c r="AI50" s="417"/>
      <c r="AJ50" s="417"/>
      <c r="AK50" s="417"/>
      <c r="AL50" s="417"/>
      <c r="AM50" s="298">
        <f>SUM(Y50:AL50)</f>
        <v>1</v>
      </c>
    </row>
    <row r="51" spans="1:42" s="285" customFormat="1" ht="15" outlineLevel="1">
      <c r="A51" s="511"/>
      <c r="B51" s="296" t="s">
        <v>213</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1</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v>43922</v>
      </c>
      <c r="E53" s="297">
        <v>43921.7</v>
      </c>
      <c r="F53" s="297">
        <v>41453.42</v>
      </c>
      <c r="G53" s="297">
        <v>33345.94</v>
      </c>
      <c r="H53" s="297">
        <v>33345.94</v>
      </c>
      <c r="I53" s="297">
        <v>32800</v>
      </c>
      <c r="J53" s="297"/>
      <c r="K53" s="297"/>
      <c r="L53" s="297"/>
      <c r="M53" s="297"/>
      <c r="N53" s="297">
        <v>12</v>
      </c>
      <c r="O53" s="297">
        <v>21.841422079401013</v>
      </c>
      <c r="P53" s="297">
        <v>21.841422079401013</v>
      </c>
      <c r="Q53" s="297">
        <v>20.957718395542777</v>
      </c>
      <c r="R53" s="297">
        <v>18.465604877700063</v>
      </c>
      <c r="S53" s="297">
        <v>18.47</v>
      </c>
      <c r="T53" s="297">
        <v>18.23</v>
      </c>
      <c r="U53" s="297"/>
      <c r="V53" s="297"/>
      <c r="W53" s="297"/>
      <c r="X53" s="297"/>
      <c r="Y53" s="417"/>
      <c r="Z53" s="417">
        <v>1</v>
      </c>
      <c r="AA53" s="417"/>
      <c r="AB53" s="417"/>
      <c r="AC53" s="417"/>
      <c r="AD53" s="417"/>
      <c r="AE53" s="417"/>
      <c r="AF53" s="417"/>
      <c r="AG53" s="417"/>
      <c r="AH53" s="417"/>
      <c r="AI53" s="417"/>
      <c r="AJ53" s="417"/>
      <c r="AK53" s="417"/>
      <c r="AL53" s="417"/>
      <c r="AM53" s="298">
        <f>SUM(Y53:AL53)</f>
        <v>1</v>
      </c>
    </row>
    <row r="54" spans="1:42" s="285" customFormat="1" ht="15" outlineLevel="1">
      <c r="A54" s="511"/>
      <c r="B54" s="317" t="s">
        <v>213</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v>0</v>
      </c>
      <c r="E56" s="297"/>
      <c r="F56" s="297"/>
      <c r="G56" s="297"/>
      <c r="H56" s="297"/>
      <c r="I56" s="297"/>
      <c r="J56" s="297"/>
      <c r="K56" s="297"/>
      <c r="L56" s="297"/>
      <c r="M56" s="297"/>
      <c r="N56" s="297">
        <v>3</v>
      </c>
      <c r="O56" s="297">
        <v>0</v>
      </c>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213</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v>0</v>
      </c>
      <c r="E59" s="297"/>
      <c r="F59" s="297"/>
      <c r="G59" s="297"/>
      <c r="H59" s="297"/>
      <c r="I59" s="297"/>
      <c r="J59" s="297"/>
      <c r="K59" s="297"/>
      <c r="L59" s="297"/>
      <c r="M59" s="297"/>
      <c r="N59" s="297">
        <v>12</v>
      </c>
      <c r="O59" s="297">
        <v>0</v>
      </c>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213</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v>0</v>
      </c>
      <c r="E62" s="297"/>
      <c r="F62" s="297"/>
      <c r="G62" s="297"/>
      <c r="H62" s="297"/>
      <c r="I62" s="297"/>
      <c r="J62" s="297"/>
      <c r="K62" s="297"/>
      <c r="L62" s="297"/>
      <c r="M62" s="297"/>
      <c r="N62" s="297">
        <v>12</v>
      </c>
      <c r="O62" s="297">
        <v>0</v>
      </c>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213</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30" outlineLevel="1">
      <c r="A65" s="511">
        <v>15</v>
      </c>
      <c r="B65" s="316" t="s">
        <v>481</v>
      </c>
      <c r="C65" s="293" t="s">
        <v>25</v>
      </c>
      <c r="D65" s="297">
        <v>0</v>
      </c>
      <c r="E65" s="297"/>
      <c r="F65" s="297"/>
      <c r="G65" s="297"/>
      <c r="H65" s="297"/>
      <c r="I65" s="297"/>
      <c r="J65" s="297"/>
      <c r="K65" s="297"/>
      <c r="L65" s="297"/>
      <c r="M65" s="297"/>
      <c r="N65" s="293"/>
      <c r="O65" s="297">
        <v>0</v>
      </c>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213</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482</v>
      </c>
      <c r="C68" s="293" t="s">
        <v>25</v>
      </c>
      <c r="D68" s="297">
        <v>0</v>
      </c>
      <c r="E68" s="297"/>
      <c r="F68" s="297"/>
      <c r="G68" s="297"/>
      <c r="H68" s="297"/>
      <c r="I68" s="297"/>
      <c r="J68" s="297"/>
      <c r="K68" s="297"/>
      <c r="L68" s="297"/>
      <c r="M68" s="297"/>
      <c r="N68" s="293"/>
      <c r="O68" s="297">
        <v>0</v>
      </c>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213</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v>4235</v>
      </c>
      <c r="E71" s="297"/>
      <c r="F71" s="297"/>
      <c r="G71" s="297"/>
      <c r="H71" s="297"/>
      <c r="I71" s="297"/>
      <c r="J71" s="297"/>
      <c r="K71" s="297"/>
      <c r="L71" s="297"/>
      <c r="M71" s="297"/>
      <c r="N71" s="293"/>
      <c r="O71" s="297">
        <v>108.46</v>
      </c>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213</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v>0</v>
      </c>
      <c r="E75" s="297">
        <v>0</v>
      </c>
      <c r="F75" s="297"/>
      <c r="G75" s="297"/>
      <c r="H75" s="297"/>
      <c r="I75" s="297"/>
      <c r="J75" s="297"/>
      <c r="K75" s="297"/>
      <c r="L75" s="297"/>
      <c r="M75" s="297"/>
      <c r="N75" s="297">
        <v>12</v>
      </c>
      <c r="O75" s="297">
        <v>0</v>
      </c>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213</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v>0</v>
      </c>
      <c r="E78" s="297">
        <v>0</v>
      </c>
      <c r="F78" s="297"/>
      <c r="G78" s="297"/>
      <c r="H78" s="297"/>
      <c r="I78" s="297"/>
      <c r="J78" s="297"/>
      <c r="K78" s="297"/>
      <c r="L78" s="297"/>
      <c r="M78" s="297"/>
      <c r="N78" s="297">
        <v>12</v>
      </c>
      <c r="O78" s="297">
        <v>0</v>
      </c>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213</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v>0</v>
      </c>
      <c r="E81" s="297">
        <v>0</v>
      </c>
      <c r="F81" s="297"/>
      <c r="G81" s="297"/>
      <c r="H81" s="297"/>
      <c r="I81" s="297"/>
      <c r="J81" s="297"/>
      <c r="K81" s="297"/>
      <c r="L81" s="297"/>
      <c r="M81" s="297"/>
      <c r="N81" s="297">
        <v>12</v>
      </c>
      <c r="O81" s="297">
        <v>0</v>
      </c>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213</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v>364108</v>
      </c>
      <c r="E84" s="297">
        <v>364108</v>
      </c>
      <c r="F84" s="297">
        <v>364108</v>
      </c>
      <c r="G84" s="297">
        <v>364108</v>
      </c>
      <c r="H84" s="297">
        <v>364108</v>
      </c>
      <c r="I84" s="297">
        <v>364108</v>
      </c>
      <c r="J84" s="297"/>
      <c r="K84" s="297"/>
      <c r="L84" s="297"/>
      <c r="M84" s="297"/>
      <c r="N84" s="297">
        <v>12</v>
      </c>
      <c r="O84" s="297">
        <v>58.592049347927158</v>
      </c>
      <c r="P84" s="297">
        <v>58.592049347927158</v>
      </c>
      <c r="Q84" s="297">
        <v>58.592049347927158</v>
      </c>
      <c r="R84" s="297">
        <v>58.592049347927158</v>
      </c>
      <c r="S84" s="297">
        <v>58.59</v>
      </c>
      <c r="T84" s="297">
        <v>58.59</v>
      </c>
      <c r="U84" s="297"/>
      <c r="V84" s="297"/>
      <c r="W84" s="297"/>
      <c r="X84" s="297"/>
      <c r="Y84" s="412"/>
      <c r="Z84" s="417"/>
      <c r="AA84" s="417">
        <v>1</v>
      </c>
      <c r="AB84" s="417"/>
      <c r="AC84" s="417"/>
      <c r="AD84" s="417"/>
      <c r="AE84" s="417"/>
      <c r="AF84" s="417"/>
      <c r="AG84" s="417"/>
      <c r="AH84" s="417"/>
      <c r="AI84" s="417"/>
      <c r="AJ84" s="417"/>
      <c r="AK84" s="417"/>
      <c r="AL84" s="417"/>
      <c r="AM84" s="298">
        <f>SUM(Y84:AL84)</f>
        <v>1</v>
      </c>
    </row>
    <row r="85" spans="1:39" s="285" customFormat="1" ht="15" outlineLevel="1">
      <c r="A85" s="511"/>
      <c r="B85" s="317" t="s">
        <v>213</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1</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v>13901</v>
      </c>
      <c r="E87" s="297"/>
      <c r="F87" s="297"/>
      <c r="G87" s="297"/>
      <c r="H87" s="297"/>
      <c r="I87" s="297"/>
      <c r="J87" s="297"/>
      <c r="K87" s="297"/>
      <c r="L87" s="297"/>
      <c r="M87" s="297"/>
      <c r="N87" s="293"/>
      <c r="O87" s="297">
        <v>236.82</v>
      </c>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213</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v>0</v>
      </c>
      <c r="E91" s="297">
        <v>0</v>
      </c>
      <c r="F91" s="297"/>
      <c r="G91" s="297"/>
      <c r="H91" s="297"/>
      <c r="I91" s="297"/>
      <c r="J91" s="297"/>
      <c r="K91" s="297"/>
      <c r="L91" s="297"/>
      <c r="M91" s="297"/>
      <c r="N91" s="293"/>
      <c r="O91" s="297">
        <v>0</v>
      </c>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11"/>
      <c r="B92" s="317" t="s">
        <v>213</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483</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v>0</v>
      </c>
      <c r="E95" s="297">
        <v>0</v>
      </c>
      <c r="F95" s="297"/>
      <c r="G95" s="297"/>
      <c r="H95" s="297"/>
      <c r="I95" s="297"/>
      <c r="J95" s="297"/>
      <c r="K95" s="297"/>
      <c r="L95" s="297"/>
      <c r="M95" s="297"/>
      <c r="N95" s="293"/>
      <c r="O95" s="297">
        <v>0</v>
      </c>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213</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v>0</v>
      </c>
      <c r="E98" s="297">
        <v>0</v>
      </c>
      <c r="F98" s="297"/>
      <c r="G98" s="297"/>
      <c r="H98" s="297"/>
      <c r="I98" s="297"/>
      <c r="J98" s="297"/>
      <c r="K98" s="297"/>
      <c r="L98" s="297"/>
      <c r="M98" s="297"/>
      <c r="N98" s="297">
        <v>0</v>
      </c>
      <c r="O98" s="297">
        <v>0</v>
      </c>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213</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30" outlineLevel="1">
      <c r="A102" s="511">
        <v>26</v>
      </c>
      <c r="B102" s="323" t="s">
        <v>16</v>
      </c>
      <c r="C102" s="293" t="s">
        <v>25</v>
      </c>
      <c r="D102" s="297">
        <v>499572</v>
      </c>
      <c r="E102" s="297">
        <v>499572</v>
      </c>
      <c r="F102" s="297">
        <v>499572</v>
      </c>
      <c r="G102" s="297">
        <v>499572</v>
      </c>
      <c r="H102" s="297">
        <v>499572</v>
      </c>
      <c r="I102" s="297">
        <v>499572</v>
      </c>
      <c r="J102" s="297"/>
      <c r="K102" s="297"/>
      <c r="L102" s="297"/>
      <c r="M102" s="297"/>
      <c r="N102" s="297">
        <v>12</v>
      </c>
      <c r="O102" s="297">
        <v>90.079109120000012</v>
      </c>
      <c r="P102" s="297">
        <v>90.079109120000012</v>
      </c>
      <c r="Q102" s="297">
        <v>90.079109120000012</v>
      </c>
      <c r="R102" s="297">
        <v>90.079109120000012</v>
      </c>
      <c r="S102" s="297">
        <v>90.08</v>
      </c>
      <c r="T102" s="297">
        <v>90.05</v>
      </c>
      <c r="U102" s="297"/>
      <c r="V102" s="297"/>
      <c r="W102" s="297"/>
      <c r="X102" s="297"/>
      <c r="Y102" s="412"/>
      <c r="Z102" s="412"/>
      <c r="AA102" s="412">
        <v>1</v>
      </c>
      <c r="AB102" s="412"/>
      <c r="AC102" s="412"/>
      <c r="AD102" s="412"/>
      <c r="AE102" s="417"/>
      <c r="AF102" s="417"/>
      <c r="AG102" s="417"/>
      <c r="AH102" s="417"/>
      <c r="AI102" s="417"/>
      <c r="AJ102" s="417"/>
      <c r="AK102" s="417"/>
      <c r="AL102" s="417"/>
      <c r="AM102" s="298">
        <f>SUM(Y102:AL102)</f>
        <v>1</v>
      </c>
    </row>
    <row r="103" spans="1:39" s="285" customFormat="1" ht="15" outlineLevel="1">
      <c r="A103" s="511"/>
      <c r="B103" s="317" t="s">
        <v>213</v>
      </c>
      <c r="C103" s="293" t="s">
        <v>164</v>
      </c>
      <c r="D103" s="297">
        <v>4648</v>
      </c>
      <c r="E103" s="297">
        <v>4648</v>
      </c>
      <c r="F103" s="297">
        <v>4648</v>
      </c>
      <c r="G103" s="297">
        <v>4648</v>
      </c>
      <c r="H103" s="297">
        <v>4648</v>
      </c>
      <c r="I103" s="297">
        <v>4648</v>
      </c>
      <c r="J103" s="297"/>
      <c r="K103" s="297"/>
      <c r="L103" s="297"/>
      <c r="M103" s="297"/>
      <c r="N103" s="297">
        <f>N102</f>
        <v>12</v>
      </c>
      <c r="O103" s="297">
        <v>0.77</v>
      </c>
      <c r="P103" s="297">
        <v>1</v>
      </c>
      <c r="Q103" s="297">
        <v>1</v>
      </c>
      <c r="R103" s="297">
        <v>1</v>
      </c>
      <c r="S103" s="297">
        <v>1</v>
      </c>
      <c r="T103" s="297">
        <v>0.77</v>
      </c>
      <c r="U103" s="297"/>
      <c r="V103" s="297"/>
      <c r="W103" s="297"/>
      <c r="X103" s="297"/>
      <c r="Y103" s="413">
        <f>Y102</f>
        <v>0</v>
      </c>
      <c r="Z103" s="413">
        <f>Z102</f>
        <v>0</v>
      </c>
      <c r="AA103" s="413">
        <f t="shared" ref="AA103:AL103" si="25">AA102</f>
        <v>1</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30" outlineLevel="1">
      <c r="A105" s="511">
        <v>27</v>
      </c>
      <c r="B105" s="323" t="s">
        <v>17</v>
      </c>
      <c r="C105" s="293" t="s">
        <v>25</v>
      </c>
      <c r="D105" s="297">
        <v>38721</v>
      </c>
      <c r="E105" s="297">
        <v>38721</v>
      </c>
      <c r="F105" s="297">
        <v>38721</v>
      </c>
      <c r="G105" s="297">
        <v>38721</v>
      </c>
      <c r="H105" s="297">
        <v>38721</v>
      </c>
      <c r="I105" s="297">
        <v>38720.5</v>
      </c>
      <c r="J105" s="297"/>
      <c r="K105" s="297"/>
      <c r="L105" s="297"/>
      <c r="M105" s="297"/>
      <c r="N105" s="297">
        <v>12</v>
      </c>
      <c r="O105" s="297">
        <v>7.54</v>
      </c>
      <c r="P105" s="297">
        <v>7.54</v>
      </c>
      <c r="Q105" s="297">
        <v>7.54</v>
      </c>
      <c r="R105" s="297">
        <v>7.54</v>
      </c>
      <c r="S105" s="297">
        <v>7.54</v>
      </c>
      <c r="T105" s="297">
        <v>7.54</v>
      </c>
      <c r="U105" s="297"/>
      <c r="V105" s="297"/>
      <c r="W105" s="297"/>
      <c r="X105" s="297"/>
      <c r="Y105" s="412"/>
      <c r="Z105" s="412"/>
      <c r="AA105" s="412">
        <v>1</v>
      </c>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213</v>
      </c>
      <c r="C106" s="293" t="s">
        <v>164</v>
      </c>
      <c r="D106" s="297">
        <v>9943</v>
      </c>
      <c r="E106" s="297">
        <v>9943</v>
      </c>
      <c r="F106" s="297">
        <v>9943</v>
      </c>
      <c r="G106" s="297">
        <v>9943</v>
      </c>
      <c r="H106" s="297">
        <v>9943</v>
      </c>
      <c r="I106" s="297">
        <v>9943</v>
      </c>
      <c r="J106" s="297"/>
      <c r="K106" s="297"/>
      <c r="L106" s="297"/>
      <c r="M106" s="297"/>
      <c r="N106" s="297">
        <f>N105</f>
        <v>12</v>
      </c>
      <c r="O106" s="297">
        <v>1.94</v>
      </c>
      <c r="P106" s="297">
        <v>1.94</v>
      </c>
      <c r="Q106" s="297">
        <v>1.94</v>
      </c>
      <c r="R106" s="297">
        <v>1.94</v>
      </c>
      <c r="S106" s="297">
        <v>1.94</v>
      </c>
      <c r="T106" s="297">
        <v>1.96</v>
      </c>
      <c r="U106" s="297"/>
      <c r="V106" s="297"/>
      <c r="W106" s="297"/>
      <c r="X106" s="297"/>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v>0</v>
      </c>
      <c r="E108" s="297">
        <v>0</v>
      </c>
      <c r="F108" s="297"/>
      <c r="G108" s="297"/>
      <c r="H108" s="297"/>
      <c r="I108" s="297"/>
      <c r="J108" s="297"/>
      <c r="K108" s="297"/>
      <c r="L108" s="297"/>
      <c r="M108" s="297"/>
      <c r="N108" s="297">
        <v>0</v>
      </c>
      <c r="O108" s="297">
        <v>0</v>
      </c>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213</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v>0</v>
      </c>
      <c r="E111" s="297">
        <v>0</v>
      </c>
      <c r="F111" s="297"/>
      <c r="G111" s="297"/>
      <c r="H111" s="297"/>
      <c r="I111" s="297"/>
      <c r="J111" s="297"/>
      <c r="K111" s="297"/>
      <c r="L111" s="297"/>
      <c r="M111" s="297"/>
      <c r="N111" s="297">
        <v>0</v>
      </c>
      <c r="O111" s="297">
        <v>0</v>
      </c>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213</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484</v>
      </c>
      <c r="C114" s="293" t="s">
        <v>25</v>
      </c>
      <c r="D114" s="297">
        <v>0</v>
      </c>
      <c r="E114" s="297">
        <v>0</v>
      </c>
      <c r="F114" s="297"/>
      <c r="G114" s="297"/>
      <c r="H114" s="297"/>
      <c r="I114" s="297"/>
      <c r="J114" s="297"/>
      <c r="K114" s="297"/>
      <c r="L114" s="297"/>
      <c r="M114" s="297"/>
      <c r="N114" s="297">
        <v>0</v>
      </c>
      <c r="O114" s="297">
        <v>0</v>
      </c>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213</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485</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486</v>
      </c>
      <c r="C118" s="293" t="s">
        <v>25</v>
      </c>
      <c r="D118" s="297">
        <v>0</v>
      </c>
      <c r="E118" s="297">
        <v>0</v>
      </c>
      <c r="F118" s="297"/>
      <c r="G118" s="297"/>
      <c r="H118" s="297"/>
      <c r="I118" s="297"/>
      <c r="J118" s="297"/>
      <c r="K118" s="297"/>
      <c r="L118" s="297"/>
      <c r="M118" s="297"/>
      <c r="N118" s="297">
        <v>0</v>
      </c>
      <c r="O118" s="297">
        <v>0</v>
      </c>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213</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487</v>
      </c>
      <c r="C121" s="293" t="s">
        <v>25</v>
      </c>
      <c r="D121" s="297">
        <v>0</v>
      </c>
      <c r="E121" s="297">
        <v>0</v>
      </c>
      <c r="F121" s="297"/>
      <c r="G121" s="297"/>
      <c r="H121" s="297"/>
      <c r="I121" s="297"/>
      <c r="J121" s="297"/>
      <c r="K121" s="297"/>
      <c r="L121" s="297"/>
      <c r="M121" s="297"/>
      <c r="N121" s="297">
        <v>0</v>
      </c>
      <c r="O121" s="297">
        <v>0</v>
      </c>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213</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488</v>
      </c>
      <c r="C124" s="293" t="s">
        <v>25</v>
      </c>
      <c r="D124" s="297">
        <v>0</v>
      </c>
      <c r="E124" s="297">
        <v>0</v>
      </c>
      <c r="F124" s="297"/>
      <c r="G124" s="297"/>
      <c r="H124" s="297"/>
      <c r="I124" s="297"/>
      <c r="J124" s="297"/>
      <c r="K124" s="297"/>
      <c r="L124" s="297"/>
      <c r="M124" s="297"/>
      <c r="N124" s="297">
        <v>0</v>
      </c>
      <c r="O124" s="297">
        <v>0</v>
      </c>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213</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236</v>
      </c>
      <c r="C127" s="330"/>
      <c r="D127" s="330">
        <f>SUM(D22:D125)</f>
        <v>3008744.54</v>
      </c>
      <c r="E127" s="330">
        <f>SUM(E22:E125)</f>
        <v>2990607.94</v>
      </c>
      <c r="F127" s="330">
        <f t="shared" ref="F127:I127" si="33">SUM(F22:F125)</f>
        <v>2988139.66</v>
      </c>
      <c r="G127" s="330">
        <f t="shared" si="33"/>
        <v>2978829.98</v>
      </c>
      <c r="H127" s="330">
        <f t="shared" si="33"/>
        <v>2866468.13</v>
      </c>
      <c r="I127" s="330">
        <f t="shared" si="33"/>
        <v>2669841.11</v>
      </c>
      <c r="J127" s="330"/>
      <c r="K127" s="330"/>
      <c r="L127" s="330"/>
      <c r="M127" s="330"/>
      <c r="N127" s="330"/>
      <c r="O127" s="330">
        <f>SUM(O22:O125)</f>
        <v>1007.8625805473281</v>
      </c>
      <c r="P127" s="330">
        <f>SUM(P22:P125)</f>
        <v>662.81258054732814</v>
      </c>
      <c r="Q127" s="330">
        <f>SUM(Q22:Q125)</f>
        <v>661.9288768634699</v>
      </c>
      <c r="R127" s="330">
        <f t="shared" ref="R127:T127" si="34">SUM(R22:R125)</f>
        <v>657.28676334562726</v>
      </c>
      <c r="S127" s="330">
        <f t="shared" si="34"/>
        <v>643.79000000000008</v>
      </c>
      <c r="T127" s="330">
        <f t="shared" si="34"/>
        <v>621.02319999999997</v>
      </c>
      <c r="U127" s="330"/>
      <c r="V127" s="330"/>
      <c r="W127" s="330"/>
      <c r="X127" s="330"/>
      <c r="Y127" s="331">
        <f>IF(Y21="kWh",SUMPRODUCT(D22:D125,Y22:Y125))</f>
        <v>1204877.54</v>
      </c>
      <c r="Z127" s="331">
        <f>IF(Z21="kWh",SUMPRODUCT(D22:D125,Z22:Z125))</f>
        <v>43922</v>
      </c>
      <c r="AA127" s="331">
        <f>IF(AA21="kW",SUMPRODUCT(N22:N125,O22:O125,AA22:AA125),SUMPRODUCT(D22:D125,AA22:AA125))</f>
        <v>3608.8939016151262</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237</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1"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1"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1.46E-2</v>
      </c>
      <c r="Z130" s="343">
        <f>HLOOKUP(Z$20,'3.  Distribution Rates'!$C$122:$P$133,3,FALSE)</f>
        <v>1.9400000000000001E-2</v>
      </c>
      <c r="AA130" s="343">
        <f>HLOOKUP(AA$20,'3.  Distribution Rates'!$C$122:$P$133,3,FALSE)</f>
        <v>3.9331</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1" s="305" customFormat="1" ht="15.75">
      <c r="A131" s="513"/>
      <c r="B131" s="300" t="s">
        <v>252</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5">Y127*Y130</f>
        <v>17591.212084000003</v>
      </c>
      <c r="Z131" s="348">
        <f t="shared" si="35"/>
        <v>852.08680000000004</v>
      </c>
      <c r="AA131" s="349">
        <f t="shared" si="35"/>
        <v>14194.140604442453</v>
      </c>
      <c r="AB131" s="349">
        <f t="shared" si="35"/>
        <v>0</v>
      </c>
      <c r="AC131" s="349">
        <f t="shared" si="35"/>
        <v>0</v>
      </c>
      <c r="AD131" s="349">
        <f t="shared" si="35"/>
        <v>0</v>
      </c>
      <c r="AE131" s="349">
        <f>AE127*AE130</f>
        <v>0</v>
      </c>
      <c r="AF131" s="349">
        <f t="shared" ref="AF131:AL131" si="36">AF127*AF130</f>
        <v>0</v>
      </c>
      <c r="AG131" s="349">
        <f t="shared" si="36"/>
        <v>0</v>
      </c>
      <c r="AH131" s="349">
        <f t="shared" si="36"/>
        <v>0</v>
      </c>
      <c r="AI131" s="349">
        <f t="shared" si="36"/>
        <v>0</v>
      </c>
      <c r="AJ131" s="349">
        <f t="shared" si="36"/>
        <v>0</v>
      </c>
      <c r="AK131" s="349">
        <f t="shared" si="36"/>
        <v>0</v>
      </c>
      <c r="AL131" s="349">
        <f t="shared" si="36"/>
        <v>0</v>
      </c>
      <c r="AM131" s="409">
        <f>SUM(Y131:AL131)</f>
        <v>32637.439488442455</v>
      </c>
    </row>
    <row r="132" spans="1:41" s="305" customFormat="1" ht="15.75">
      <c r="A132" s="513"/>
      <c r="B132" s="351" t="s">
        <v>209</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7">Y128*Y130</f>
        <v>0</v>
      </c>
      <c r="Z132" s="349">
        <f t="shared" si="37"/>
        <v>0</v>
      </c>
      <c r="AA132" s="349">
        <f t="shared" si="37"/>
        <v>0</v>
      </c>
      <c r="AB132" s="349">
        <f t="shared" si="37"/>
        <v>0</v>
      </c>
      <c r="AC132" s="349">
        <f t="shared" si="37"/>
        <v>0</v>
      </c>
      <c r="AD132" s="349">
        <f t="shared" si="37"/>
        <v>0</v>
      </c>
      <c r="AE132" s="349">
        <f>AE128*AE130</f>
        <v>0</v>
      </c>
      <c r="AF132" s="349">
        <f t="shared" ref="AF132:AL132" si="38">AF128*AF130</f>
        <v>0</v>
      </c>
      <c r="AG132" s="349">
        <f t="shared" si="38"/>
        <v>0</v>
      </c>
      <c r="AH132" s="349">
        <f t="shared" si="38"/>
        <v>0</v>
      </c>
      <c r="AI132" s="349">
        <f t="shared" si="38"/>
        <v>0</v>
      </c>
      <c r="AJ132" s="349">
        <f t="shared" si="38"/>
        <v>0</v>
      </c>
      <c r="AK132" s="349">
        <f t="shared" si="38"/>
        <v>0</v>
      </c>
      <c r="AL132" s="349">
        <f t="shared" si="38"/>
        <v>0</v>
      </c>
      <c r="AM132" s="409">
        <f>SUM(Y132:AL132)</f>
        <v>0</v>
      </c>
    </row>
    <row r="133" spans="1:41" s="352" customFormat="1" ht="17.25" customHeight="1">
      <c r="A133" s="515"/>
      <c r="B133" s="351" t="s">
        <v>255</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32637.439488442455</v>
      </c>
      <c r="AO133" s="748"/>
    </row>
    <row r="134" spans="1:41"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1" s="285" customFormat="1" ht="15">
      <c r="A135" s="511"/>
      <c r="B135" s="357" t="s">
        <v>214</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1204877.24</v>
      </c>
      <c r="Z135" s="293">
        <f>SUMPRODUCT(E22:E125,Z22:Z125)</f>
        <v>43921.7</v>
      </c>
      <c r="AA135" s="293">
        <f>IF(AA21="kW",SUMPRODUCT(N22:N125,P22:P125,AA22:AA125),SUMPRODUCT(E22:E125,AA22:AA125))</f>
        <v>3611.6539016151264</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1" s="285" customFormat="1" ht="15">
      <c r="A136" s="511"/>
      <c r="B136" s="357" t="s">
        <v>215</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1204877.24</v>
      </c>
      <c r="Z136" s="293">
        <f>SUMPRODUCT(F22:F125,Z22:Z125)</f>
        <v>41453.42</v>
      </c>
      <c r="AA136" s="293">
        <f>IF(AA21="kW",SUMPRODUCT(N22:N125,Q22:Q125,AA22:AA125),SUMPRODUCT(F22:F125,AA22:AA125))</f>
        <v>3611.6539016151264</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1" s="285" customFormat="1" ht="15">
      <c r="A137" s="511"/>
      <c r="B137" s="357" t="s">
        <v>216</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1203675.04</v>
      </c>
      <c r="Z137" s="293">
        <f>SUMPRODUCT(G22:G125,Z22:Z125)</f>
        <v>33345.94</v>
      </c>
      <c r="AA137" s="293">
        <f>IF(AA21="kW",SUMPRODUCT(N22:N125,R22:R125,AA22:AA125),SUMPRODUCT(G22:G125,AA22:AA125))</f>
        <v>3611.6539016151264</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1" s="285" customFormat="1" ht="15">
      <c r="A138" s="511"/>
      <c r="B138" s="357" t="s">
        <v>217</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1091313.19</v>
      </c>
      <c r="Z138" s="293">
        <f>SUMPRODUCT(H22:H125,Z22:Z125)</f>
        <v>33345.94</v>
      </c>
      <c r="AA138" s="293">
        <f>IF(AA21="kW",SUMPRODUCT(N22:N125,S22:S125,AA22:AA125),SUMPRODUCT(H22:H125,AA22:AA125))</f>
        <v>3611.6400000000003</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1" s="285" customFormat="1" ht="15">
      <c r="A139" s="511"/>
      <c r="B139" s="357" t="s">
        <v>218</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895232.61</v>
      </c>
      <c r="Z139" s="293">
        <f>SUMPRODUCT(I22:I125,Z22:Z125)</f>
        <v>32800</v>
      </c>
      <c r="AA139" s="293">
        <f>IF(AA21="kW",SUMPRODUCT(N22:N125,T22:T125,AA22:AA125),SUMPRODUCT(I22:I125,AA22:AA125))</f>
        <v>3608.7599999999998</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1" s="285" customFormat="1" ht="15">
      <c r="A140" s="511"/>
      <c r="B140" s="357" t="s">
        <v>219</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1" s="285" customFormat="1" ht="15">
      <c r="A141" s="511"/>
      <c r="B141" s="357" t="s">
        <v>220</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1" s="285" customFormat="1" ht="15">
      <c r="A142" s="511"/>
      <c r="B142" s="357" t="s">
        <v>221</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1" ht="15">
      <c r="B143" s="360" t="s">
        <v>222</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1" ht="21.75" customHeight="1">
      <c r="B144" s="370" t="s">
        <v>585</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241</v>
      </c>
      <c r="C146" s="283"/>
      <c r="D146" s="592" t="s">
        <v>521</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97" t="s">
        <v>210</v>
      </c>
      <c r="C147" s="899" t="s">
        <v>33</v>
      </c>
      <c r="D147" s="286" t="s">
        <v>421</v>
      </c>
      <c r="E147" s="901" t="s">
        <v>208</v>
      </c>
      <c r="F147" s="902"/>
      <c r="G147" s="902"/>
      <c r="H147" s="902"/>
      <c r="I147" s="902"/>
      <c r="J147" s="902"/>
      <c r="K147" s="902"/>
      <c r="L147" s="902"/>
      <c r="M147" s="903"/>
      <c r="N147" s="907" t="s">
        <v>212</v>
      </c>
      <c r="O147" s="286" t="s">
        <v>422</v>
      </c>
      <c r="P147" s="901" t="s">
        <v>211</v>
      </c>
      <c r="Q147" s="902"/>
      <c r="R147" s="902"/>
      <c r="S147" s="902"/>
      <c r="T147" s="902"/>
      <c r="U147" s="902"/>
      <c r="V147" s="902"/>
      <c r="W147" s="902"/>
      <c r="X147" s="903"/>
      <c r="Y147" s="904" t="s">
        <v>242</v>
      </c>
      <c r="Z147" s="905"/>
      <c r="AA147" s="905"/>
      <c r="AB147" s="905"/>
      <c r="AC147" s="905"/>
      <c r="AD147" s="905"/>
      <c r="AE147" s="905"/>
      <c r="AF147" s="905"/>
      <c r="AG147" s="905"/>
      <c r="AH147" s="905"/>
      <c r="AI147" s="905"/>
      <c r="AJ147" s="905"/>
      <c r="AK147" s="905"/>
      <c r="AL147" s="905"/>
      <c r="AM147" s="906"/>
    </row>
    <row r="148" spans="1:39" ht="60.75" customHeight="1">
      <c r="B148" s="898"/>
      <c r="C148" s="900"/>
      <c r="D148" s="287">
        <v>2012</v>
      </c>
      <c r="E148" s="287">
        <v>2013</v>
      </c>
      <c r="F148" s="287">
        <v>2014</v>
      </c>
      <c r="G148" s="287">
        <v>2015</v>
      </c>
      <c r="H148" s="287">
        <v>2016</v>
      </c>
      <c r="I148" s="287">
        <v>2017</v>
      </c>
      <c r="J148" s="287">
        <v>2018</v>
      </c>
      <c r="K148" s="287">
        <v>2019</v>
      </c>
      <c r="L148" s="287">
        <v>2020</v>
      </c>
      <c r="M148" s="287">
        <v>2021</v>
      </c>
      <c r="N148" s="908"/>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GS&gt;50 kW</v>
      </c>
      <c r="AB148" s="287" t="str">
        <f>'1.  LRAMVA Summary'!G50</f>
        <v>Streetlighting</v>
      </c>
      <c r="AC148" s="287" t="str">
        <f>'1.  LRAMVA Summary'!H50</f>
        <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f>'1.  LRAMVA Summary'!H51</f>
        <v>0</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v>92074.33</v>
      </c>
      <c r="E150" s="297">
        <v>92074.33</v>
      </c>
      <c r="F150" s="297">
        <v>92074.33</v>
      </c>
      <c r="G150" s="297">
        <v>91869.36</v>
      </c>
      <c r="H150" s="297">
        <v>56194.99</v>
      </c>
      <c r="I150" s="297"/>
      <c r="J150" s="297"/>
      <c r="K150" s="297"/>
      <c r="L150" s="297"/>
      <c r="M150" s="297"/>
      <c r="N150" s="293"/>
      <c r="O150" s="297">
        <v>13.09</v>
      </c>
      <c r="P150" s="297">
        <v>13.09</v>
      </c>
      <c r="Q150" s="297">
        <v>13.09</v>
      </c>
      <c r="R150" s="297">
        <v>12.858000000000001</v>
      </c>
      <c r="S150" s="297">
        <v>7.3879999999999999</v>
      </c>
      <c r="T150" s="297"/>
      <c r="U150" s="297"/>
      <c r="V150" s="297"/>
      <c r="W150" s="297"/>
      <c r="X150" s="297"/>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243</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9">AA150</f>
        <v>0</v>
      </c>
      <c r="AB151" s="413">
        <f t="shared" si="39"/>
        <v>0</v>
      </c>
      <c r="AC151" s="413">
        <f t="shared" si="39"/>
        <v>0</v>
      </c>
      <c r="AD151" s="413">
        <f t="shared" si="39"/>
        <v>0</v>
      </c>
      <c r="AE151" s="413">
        <f t="shared" si="39"/>
        <v>0</v>
      </c>
      <c r="AF151" s="413">
        <f t="shared" si="39"/>
        <v>0</v>
      </c>
      <c r="AG151" s="413">
        <f t="shared" si="39"/>
        <v>0</v>
      </c>
      <c r="AH151" s="413">
        <f t="shared" si="39"/>
        <v>0</v>
      </c>
      <c r="AI151" s="413">
        <f t="shared" si="39"/>
        <v>0</v>
      </c>
      <c r="AJ151" s="413">
        <f t="shared" si="39"/>
        <v>0</v>
      </c>
      <c r="AK151" s="413">
        <f t="shared" si="39"/>
        <v>0</v>
      </c>
      <c r="AL151" s="413">
        <f t="shared" si="39"/>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v>5076.6099999999997</v>
      </c>
      <c r="E153" s="297">
        <v>5076.6099999999997</v>
      </c>
      <c r="F153" s="297">
        <v>5076.6099999999997</v>
      </c>
      <c r="G153" s="297">
        <v>5060.16</v>
      </c>
      <c r="H153" s="297">
        <v>0</v>
      </c>
      <c r="I153" s="297"/>
      <c r="J153" s="297"/>
      <c r="K153" s="297"/>
      <c r="L153" s="297"/>
      <c r="M153" s="297"/>
      <c r="N153" s="293"/>
      <c r="O153" s="297">
        <v>2.86</v>
      </c>
      <c r="P153" s="297">
        <v>2.86</v>
      </c>
      <c r="Q153" s="297">
        <v>2.86</v>
      </c>
      <c r="R153" s="297">
        <v>2.8370000000000002</v>
      </c>
      <c r="S153" s="297">
        <v>0</v>
      </c>
      <c r="T153" s="297"/>
      <c r="U153" s="297"/>
      <c r="V153" s="297"/>
      <c r="W153" s="297"/>
      <c r="X153" s="297"/>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243</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40">AA153</f>
        <v>0</v>
      </c>
      <c r="AB154" s="413">
        <f t="shared" si="40"/>
        <v>0</v>
      </c>
      <c r="AC154" s="413">
        <f t="shared" si="40"/>
        <v>0</v>
      </c>
      <c r="AD154" s="413">
        <f t="shared" si="40"/>
        <v>0</v>
      </c>
      <c r="AE154" s="413">
        <f t="shared" si="40"/>
        <v>0</v>
      </c>
      <c r="AF154" s="413">
        <f t="shared" si="40"/>
        <v>0</v>
      </c>
      <c r="AG154" s="413">
        <f t="shared" si="40"/>
        <v>0</v>
      </c>
      <c r="AH154" s="413">
        <f t="shared" si="40"/>
        <v>0</v>
      </c>
      <c r="AI154" s="413">
        <f t="shared" si="40"/>
        <v>0</v>
      </c>
      <c r="AJ154" s="413">
        <f t="shared" si="40"/>
        <v>0</v>
      </c>
      <c r="AK154" s="413">
        <f t="shared" si="40"/>
        <v>0</v>
      </c>
      <c r="AL154" s="413">
        <f t="shared" si="40"/>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v>379038</v>
      </c>
      <c r="E156" s="297">
        <v>379038</v>
      </c>
      <c r="F156" s="297">
        <v>379038</v>
      </c>
      <c r="G156" s="297">
        <v>379038</v>
      </c>
      <c r="H156" s="297">
        <v>379038</v>
      </c>
      <c r="I156" s="297"/>
      <c r="J156" s="297"/>
      <c r="K156" s="297"/>
      <c r="L156" s="297"/>
      <c r="M156" s="297"/>
      <c r="N156" s="293"/>
      <c r="O156" s="297">
        <v>225</v>
      </c>
      <c r="P156" s="297">
        <v>225</v>
      </c>
      <c r="Q156" s="297">
        <v>225</v>
      </c>
      <c r="R156" s="297">
        <v>225</v>
      </c>
      <c r="S156" s="297">
        <v>225.34</v>
      </c>
      <c r="T156" s="297"/>
      <c r="U156" s="297"/>
      <c r="V156" s="297"/>
      <c r="W156" s="297"/>
      <c r="X156" s="297"/>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243</v>
      </c>
      <c r="C157" s="293" t="s">
        <v>164</v>
      </c>
      <c r="D157" s="297">
        <f>6502+72</f>
        <v>6574</v>
      </c>
      <c r="E157" s="297">
        <f t="shared" ref="E157:H157" si="41">6502+72</f>
        <v>6574</v>
      </c>
      <c r="F157" s="297">
        <f t="shared" si="41"/>
        <v>6574</v>
      </c>
      <c r="G157" s="297">
        <f t="shared" si="41"/>
        <v>6574</v>
      </c>
      <c r="H157" s="297">
        <f t="shared" si="41"/>
        <v>6574</v>
      </c>
      <c r="I157" s="297"/>
      <c r="J157" s="297"/>
      <c r="K157" s="297"/>
      <c r="L157" s="297"/>
      <c r="M157" s="297"/>
      <c r="N157" s="470"/>
      <c r="O157" s="297">
        <v>3</v>
      </c>
      <c r="P157" s="297">
        <v>3</v>
      </c>
      <c r="Q157" s="297">
        <v>3</v>
      </c>
      <c r="R157" s="297">
        <v>3</v>
      </c>
      <c r="S157" s="297">
        <v>3.19</v>
      </c>
      <c r="T157" s="297"/>
      <c r="U157" s="297"/>
      <c r="V157" s="297"/>
      <c r="W157" s="297"/>
      <c r="X157" s="297"/>
      <c r="Y157" s="413">
        <f>Y156</f>
        <v>1</v>
      </c>
      <c r="Z157" s="413">
        <f>Z156</f>
        <v>0</v>
      </c>
      <c r="AA157" s="413">
        <f t="shared" ref="AA157:AL157" si="42">AA156</f>
        <v>0</v>
      </c>
      <c r="AB157" s="413">
        <f t="shared" si="42"/>
        <v>0</v>
      </c>
      <c r="AC157" s="413">
        <f t="shared" si="42"/>
        <v>0</v>
      </c>
      <c r="AD157" s="413">
        <f t="shared" si="42"/>
        <v>0</v>
      </c>
      <c r="AE157" s="413">
        <f t="shared" si="42"/>
        <v>0</v>
      </c>
      <c r="AF157" s="413">
        <f t="shared" si="42"/>
        <v>0</v>
      </c>
      <c r="AG157" s="413">
        <f t="shared" si="42"/>
        <v>0</v>
      </c>
      <c r="AH157" s="413">
        <f t="shared" si="42"/>
        <v>0</v>
      </c>
      <c r="AI157" s="413">
        <f t="shared" si="42"/>
        <v>0</v>
      </c>
      <c r="AJ157" s="413">
        <f t="shared" si="42"/>
        <v>0</v>
      </c>
      <c r="AK157" s="413">
        <f t="shared" si="42"/>
        <v>0</v>
      </c>
      <c r="AL157" s="413">
        <f t="shared" si="42"/>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v>12096</v>
      </c>
      <c r="E159" s="297">
        <v>12096</v>
      </c>
      <c r="F159" s="297">
        <v>12096</v>
      </c>
      <c r="G159" s="297">
        <v>12096</v>
      </c>
      <c r="H159" s="297">
        <v>11914</v>
      </c>
      <c r="I159" s="297"/>
      <c r="J159" s="297"/>
      <c r="K159" s="297"/>
      <c r="L159" s="297"/>
      <c r="M159" s="297"/>
      <c r="N159" s="293"/>
      <c r="O159" s="297">
        <v>2.13</v>
      </c>
      <c r="P159" s="297">
        <v>2.13</v>
      </c>
      <c r="Q159" s="297">
        <v>2.13</v>
      </c>
      <c r="R159" s="297">
        <v>2.13</v>
      </c>
      <c r="S159" s="297">
        <v>1.98</v>
      </c>
      <c r="T159" s="297"/>
      <c r="U159" s="297"/>
      <c r="V159" s="297"/>
      <c r="W159" s="297"/>
      <c r="X159" s="297"/>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243</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1</v>
      </c>
      <c r="Z160" s="413">
        <f>Z159</f>
        <v>0</v>
      </c>
      <c r="AA160" s="413">
        <f t="shared" ref="AA160:AL160" si="43">AA159</f>
        <v>0</v>
      </c>
      <c r="AB160" s="413">
        <f t="shared" si="43"/>
        <v>0</v>
      </c>
      <c r="AC160" s="413">
        <f t="shared" si="43"/>
        <v>0</v>
      </c>
      <c r="AD160" s="413">
        <f t="shared" si="43"/>
        <v>0</v>
      </c>
      <c r="AE160" s="413">
        <f t="shared" si="43"/>
        <v>0</v>
      </c>
      <c r="AF160" s="413">
        <f t="shared" si="43"/>
        <v>0</v>
      </c>
      <c r="AG160" s="413">
        <f t="shared" si="43"/>
        <v>0</v>
      </c>
      <c r="AH160" s="413">
        <f t="shared" si="43"/>
        <v>0</v>
      </c>
      <c r="AI160" s="413">
        <f t="shared" si="43"/>
        <v>0</v>
      </c>
      <c r="AJ160" s="413">
        <f t="shared" si="43"/>
        <v>0</v>
      </c>
      <c r="AK160" s="413">
        <f t="shared" si="43"/>
        <v>0</v>
      </c>
      <c r="AL160" s="413">
        <f t="shared" si="43"/>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v>231685</v>
      </c>
      <c r="E162" s="297">
        <v>231685</v>
      </c>
      <c r="F162" s="297">
        <v>231685</v>
      </c>
      <c r="G162" s="297">
        <v>231685</v>
      </c>
      <c r="H162" s="297">
        <v>208270</v>
      </c>
      <c r="I162" s="297"/>
      <c r="J162" s="297"/>
      <c r="K162" s="297"/>
      <c r="L162" s="297"/>
      <c r="M162" s="297"/>
      <c r="N162" s="293"/>
      <c r="O162" s="297">
        <v>13</v>
      </c>
      <c r="P162" s="297">
        <v>13</v>
      </c>
      <c r="Q162" s="297">
        <v>13</v>
      </c>
      <c r="R162" s="297">
        <v>13</v>
      </c>
      <c r="S162" s="297">
        <v>11.72</v>
      </c>
      <c r="T162" s="297"/>
      <c r="U162" s="297"/>
      <c r="V162" s="297"/>
      <c r="W162" s="297"/>
      <c r="X162" s="297"/>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243</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1</v>
      </c>
      <c r="Z163" s="413">
        <f>Z162</f>
        <v>0</v>
      </c>
      <c r="AA163" s="413">
        <f t="shared" ref="AA163:AL163" si="44">AA162</f>
        <v>0</v>
      </c>
      <c r="AB163" s="413">
        <f t="shared" si="44"/>
        <v>0</v>
      </c>
      <c r="AC163" s="413">
        <f t="shared" si="44"/>
        <v>0</v>
      </c>
      <c r="AD163" s="413">
        <f t="shared" si="44"/>
        <v>0</v>
      </c>
      <c r="AE163" s="413">
        <f t="shared" si="44"/>
        <v>0</v>
      </c>
      <c r="AF163" s="413">
        <f t="shared" si="44"/>
        <v>0</v>
      </c>
      <c r="AG163" s="413">
        <f t="shared" si="44"/>
        <v>0</v>
      </c>
      <c r="AH163" s="413">
        <f t="shared" si="44"/>
        <v>0</v>
      </c>
      <c r="AI163" s="413">
        <f t="shared" si="44"/>
        <v>0</v>
      </c>
      <c r="AJ163" s="413">
        <f t="shared" si="44"/>
        <v>0</v>
      </c>
      <c r="AK163" s="413">
        <f t="shared" si="44"/>
        <v>0</v>
      </c>
      <c r="AL163" s="413">
        <f t="shared" si="44"/>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v>0</v>
      </c>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243</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5">AA165</f>
        <v>0</v>
      </c>
      <c r="AB166" s="413">
        <f t="shared" si="45"/>
        <v>0</v>
      </c>
      <c r="AC166" s="413">
        <f t="shared" si="45"/>
        <v>0</v>
      </c>
      <c r="AD166" s="413">
        <f t="shared" si="45"/>
        <v>0</v>
      </c>
      <c r="AE166" s="413">
        <f t="shared" si="45"/>
        <v>0</v>
      </c>
      <c r="AF166" s="413">
        <f t="shared" si="45"/>
        <v>0</v>
      </c>
      <c r="AG166" s="413">
        <f t="shared" si="45"/>
        <v>0</v>
      </c>
      <c r="AH166" s="413">
        <f t="shared" si="45"/>
        <v>0</v>
      </c>
      <c r="AI166" s="413">
        <f t="shared" si="45"/>
        <v>0</v>
      </c>
      <c r="AJ166" s="413">
        <f t="shared" si="45"/>
        <v>0</v>
      </c>
      <c r="AK166" s="413">
        <f t="shared" si="45"/>
        <v>0</v>
      </c>
      <c r="AL166" s="413">
        <f t="shared" si="45"/>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v>3263.28</v>
      </c>
      <c r="E168" s="297">
        <v>0</v>
      </c>
      <c r="F168" s="297">
        <v>0</v>
      </c>
      <c r="G168" s="297">
        <v>0</v>
      </c>
      <c r="H168" s="297">
        <v>0</v>
      </c>
      <c r="I168" s="297"/>
      <c r="J168" s="297"/>
      <c r="K168" s="297"/>
      <c r="L168" s="297"/>
      <c r="M168" s="297"/>
      <c r="N168" s="293"/>
      <c r="O168" s="297">
        <v>449.78</v>
      </c>
      <c r="P168" s="297">
        <v>0</v>
      </c>
      <c r="Q168" s="297">
        <v>0</v>
      </c>
      <c r="R168" s="297">
        <v>0</v>
      </c>
      <c r="S168" s="297">
        <v>0</v>
      </c>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243</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6">AA168</f>
        <v>0</v>
      </c>
      <c r="AB169" s="413">
        <f t="shared" si="46"/>
        <v>0</v>
      </c>
      <c r="AC169" s="413">
        <f t="shared" si="46"/>
        <v>0</v>
      </c>
      <c r="AD169" s="413">
        <f t="shared" si="46"/>
        <v>0</v>
      </c>
      <c r="AE169" s="413">
        <f t="shared" si="46"/>
        <v>0</v>
      </c>
      <c r="AF169" s="413">
        <f t="shared" si="46"/>
        <v>0</v>
      </c>
      <c r="AG169" s="413">
        <f t="shared" si="46"/>
        <v>0</v>
      </c>
      <c r="AH169" s="413">
        <f t="shared" si="46"/>
        <v>0</v>
      </c>
      <c r="AI169" s="413">
        <f t="shared" si="46"/>
        <v>0</v>
      </c>
      <c r="AJ169" s="413">
        <f t="shared" si="46"/>
        <v>0</v>
      </c>
      <c r="AK169" s="413">
        <f t="shared" si="46"/>
        <v>0</v>
      </c>
      <c r="AL169" s="413">
        <f t="shared" si="46"/>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480</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243</v>
      </c>
      <c r="C172" s="293" t="s">
        <v>164</v>
      </c>
      <c r="D172" s="297"/>
      <c r="E172" s="297">
        <v>484</v>
      </c>
      <c r="F172" s="297">
        <v>0</v>
      </c>
      <c r="G172" s="297"/>
      <c r="H172" s="297"/>
      <c r="I172" s="297"/>
      <c r="J172" s="297"/>
      <c r="K172" s="297"/>
      <c r="L172" s="297"/>
      <c r="M172" s="297"/>
      <c r="N172" s="293"/>
      <c r="O172" s="297"/>
      <c r="P172" s="297">
        <v>494</v>
      </c>
      <c r="Q172" s="297">
        <v>446</v>
      </c>
      <c r="R172" s="297"/>
      <c r="S172" s="297"/>
      <c r="T172" s="297"/>
      <c r="U172" s="297"/>
      <c r="V172" s="297"/>
      <c r="W172" s="297"/>
      <c r="X172" s="297"/>
      <c r="Y172" s="413">
        <f>Y171</f>
        <v>0</v>
      </c>
      <c r="Z172" s="413">
        <f>Z171</f>
        <v>0</v>
      </c>
      <c r="AA172" s="413">
        <f t="shared" ref="AA172:AL172" si="47">AA171</f>
        <v>0</v>
      </c>
      <c r="AB172" s="413">
        <f t="shared" si="47"/>
        <v>0</v>
      </c>
      <c r="AC172" s="413">
        <f t="shared" si="47"/>
        <v>0</v>
      </c>
      <c r="AD172" s="413">
        <f t="shared" si="47"/>
        <v>0</v>
      </c>
      <c r="AE172" s="413">
        <f t="shared" si="47"/>
        <v>0</v>
      </c>
      <c r="AF172" s="413">
        <f t="shared" si="47"/>
        <v>0</v>
      </c>
      <c r="AG172" s="413">
        <f t="shared" si="47"/>
        <v>0</v>
      </c>
      <c r="AH172" s="413">
        <f t="shared" si="47"/>
        <v>0</v>
      </c>
      <c r="AI172" s="413">
        <f t="shared" si="47"/>
        <v>0</v>
      </c>
      <c r="AJ172" s="413">
        <f t="shared" si="47"/>
        <v>0</v>
      </c>
      <c r="AK172" s="413">
        <f t="shared" si="47"/>
        <v>0</v>
      </c>
      <c r="AL172" s="413">
        <f t="shared" si="47"/>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243</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8">AA174</f>
        <v>0</v>
      </c>
      <c r="AB175" s="413">
        <f t="shared" si="48"/>
        <v>0</v>
      </c>
      <c r="AC175" s="413">
        <f t="shared" si="48"/>
        <v>0</v>
      </c>
      <c r="AD175" s="413">
        <f t="shared" si="48"/>
        <v>0</v>
      </c>
      <c r="AE175" s="413">
        <f t="shared" si="48"/>
        <v>0</v>
      </c>
      <c r="AF175" s="413">
        <f t="shared" si="48"/>
        <v>0</v>
      </c>
      <c r="AG175" s="413">
        <f t="shared" si="48"/>
        <v>0</v>
      </c>
      <c r="AH175" s="413">
        <f t="shared" si="48"/>
        <v>0</v>
      </c>
      <c r="AI175" s="413">
        <f t="shared" si="48"/>
        <v>0</v>
      </c>
      <c r="AJ175" s="413">
        <f t="shared" si="48"/>
        <v>0</v>
      </c>
      <c r="AK175" s="413">
        <f t="shared" si="48"/>
        <v>0</v>
      </c>
      <c r="AL175" s="413">
        <f t="shared" si="48"/>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v>1456233</v>
      </c>
      <c r="E178" s="297">
        <v>1456233</v>
      </c>
      <c r="F178" s="297">
        <v>1456233</v>
      </c>
      <c r="G178" s="297">
        <v>1443057</v>
      </c>
      <c r="H178" s="297">
        <v>1443057</v>
      </c>
      <c r="I178" s="297"/>
      <c r="J178" s="297"/>
      <c r="K178" s="297"/>
      <c r="L178" s="297"/>
      <c r="M178" s="297"/>
      <c r="N178" s="297">
        <v>12</v>
      </c>
      <c r="O178" s="297">
        <v>245.34</v>
      </c>
      <c r="P178" s="297">
        <v>245.34</v>
      </c>
      <c r="Q178" s="297">
        <v>245.34</v>
      </c>
      <c r="R178" s="297">
        <v>241.36</v>
      </c>
      <c r="S178" s="297">
        <v>240.59</v>
      </c>
      <c r="T178" s="297"/>
      <c r="U178" s="297"/>
      <c r="V178" s="297"/>
      <c r="W178" s="297"/>
      <c r="X178" s="297"/>
      <c r="Y178" s="469"/>
      <c r="Z178" s="471"/>
      <c r="AA178" s="471">
        <v>1</v>
      </c>
      <c r="AB178" s="417"/>
      <c r="AC178" s="417"/>
      <c r="AD178" s="417"/>
      <c r="AE178" s="417"/>
      <c r="AF178" s="417"/>
      <c r="AG178" s="417"/>
      <c r="AH178" s="417"/>
      <c r="AI178" s="417"/>
      <c r="AJ178" s="417"/>
      <c r="AK178" s="417"/>
      <c r="AL178" s="417"/>
      <c r="AM178" s="298">
        <f>SUM(Y178:AL178)</f>
        <v>1</v>
      </c>
    </row>
    <row r="179" spans="1:39" ht="15" outlineLevel="1">
      <c r="B179" s="296" t="s">
        <v>243</v>
      </c>
      <c r="C179" s="293" t="s">
        <v>164</v>
      </c>
      <c r="D179" s="297">
        <v>653792</v>
      </c>
      <c r="E179" s="297">
        <v>653792</v>
      </c>
      <c r="F179" s="297">
        <v>653792</v>
      </c>
      <c r="G179" s="297">
        <v>653792</v>
      </c>
      <c r="H179" s="297">
        <v>653792</v>
      </c>
      <c r="I179" s="297"/>
      <c r="J179" s="297"/>
      <c r="K179" s="297"/>
      <c r="L179" s="297"/>
      <c r="M179" s="297"/>
      <c r="N179" s="297">
        <f>N178</f>
        <v>12</v>
      </c>
      <c r="O179" s="297">
        <v>91.12</v>
      </c>
      <c r="P179" s="297">
        <v>91.12</v>
      </c>
      <c r="Q179" s="297">
        <v>91.12</v>
      </c>
      <c r="R179" s="297">
        <v>91.12</v>
      </c>
      <c r="S179" s="297">
        <v>91.12</v>
      </c>
      <c r="T179" s="297"/>
      <c r="U179" s="297"/>
      <c r="V179" s="297"/>
      <c r="W179" s="297"/>
      <c r="X179" s="297"/>
      <c r="Y179" s="413">
        <f>Y178</f>
        <v>0</v>
      </c>
      <c r="Z179" s="413">
        <f>Z178</f>
        <v>0</v>
      </c>
      <c r="AA179" s="413">
        <f t="shared" ref="AA179:AL179" si="49">AA178</f>
        <v>1</v>
      </c>
      <c r="AB179" s="413">
        <f t="shared" si="49"/>
        <v>0</v>
      </c>
      <c r="AC179" s="413">
        <f t="shared" si="49"/>
        <v>0</v>
      </c>
      <c r="AD179" s="413">
        <f t="shared" si="49"/>
        <v>0</v>
      </c>
      <c r="AE179" s="413">
        <f t="shared" si="49"/>
        <v>0</v>
      </c>
      <c r="AF179" s="413">
        <f t="shared" si="49"/>
        <v>0</v>
      </c>
      <c r="AG179" s="413">
        <f t="shared" si="49"/>
        <v>0</v>
      </c>
      <c r="AH179" s="413">
        <f t="shared" si="49"/>
        <v>0</v>
      </c>
      <c r="AI179" s="413">
        <f t="shared" si="49"/>
        <v>0</v>
      </c>
      <c r="AJ179" s="413">
        <f t="shared" si="49"/>
        <v>0</v>
      </c>
      <c r="AK179" s="413">
        <f t="shared" si="49"/>
        <v>0</v>
      </c>
      <c r="AL179" s="413">
        <f t="shared" si="49"/>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v>46962.25</v>
      </c>
      <c r="E181" s="297">
        <v>46962.25</v>
      </c>
      <c r="F181" s="297">
        <v>46414.25</v>
      </c>
      <c r="G181" s="297">
        <v>34154.160000000003</v>
      </c>
      <c r="H181" s="297">
        <v>34154.160000000003</v>
      </c>
      <c r="I181" s="297"/>
      <c r="J181" s="297"/>
      <c r="K181" s="297"/>
      <c r="L181" s="297"/>
      <c r="M181" s="297"/>
      <c r="N181" s="297">
        <v>12</v>
      </c>
      <c r="O181" s="297">
        <v>11.645</v>
      </c>
      <c r="P181" s="297">
        <v>11.645</v>
      </c>
      <c r="Q181" s="297">
        <v>11.51</v>
      </c>
      <c r="R181" s="297">
        <v>8.8870000000000005</v>
      </c>
      <c r="S181" s="297">
        <v>8.8870000000000005</v>
      </c>
      <c r="T181" s="297"/>
      <c r="U181" s="297"/>
      <c r="V181" s="297"/>
      <c r="W181" s="297"/>
      <c r="X181" s="297"/>
      <c r="Y181" s="417"/>
      <c r="Z181" s="471">
        <v>1</v>
      </c>
      <c r="AA181" s="417"/>
      <c r="AB181" s="417"/>
      <c r="AC181" s="417"/>
      <c r="AD181" s="417"/>
      <c r="AE181" s="417"/>
      <c r="AF181" s="417"/>
      <c r="AG181" s="417"/>
      <c r="AH181" s="417"/>
      <c r="AI181" s="417"/>
      <c r="AJ181" s="417"/>
      <c r="AK181" s="417"/>
      <c r="AL181" s="417"/>
      <c r="AM181" s="298">
        <f>SUM(Y181:AL181)</f>
        <v>1</v>
      </c>
    </row>
    <row r="182" spans="1:39" ht="15" outlineLevel="1">
      <c r="B182" s="296" t="s">
        <v>243</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50">AA181</f>
        <v>0</v>
      </c>
      <c r="AB182" s="413">
        <f t="shared" si="50"/>
        <v>0</v>
      </c>
      <c r="AC182" s="413">
        <f t="shared" si="50"/>
        <v>0</v>
      </c>
      <c r="AD182" s="413">
        <f t="shared" si="50"/>
        <v>0</v>
      </c>
      <c r="AE182" s="413">
        <f t="shared" si="50"/>
        <v>0</v>
      </c>
      <c r="AF182" s="413">
        <f t="shared" si="50"/>
        <v>0</v>
      </c>
      <c r="AG182" s="413">
        <f t="shared" si="50"/>
        <v>0</v>
      </c>
      <c r="AH182" s="413">
        <f t="shared" si="50"/>
        <v>0</v>
      </c>
      <c r="AI182" s="413">
        <f t="shared" si="50"/>
        <v>0</v>
      </c>
      <c r="AJ182" s="413">
        <f t="shared" si="50"/>
        <v>0</v>
      </c>
      <c r="AK182" s="413">
        <f t="shared" si="50"/>
        <v>0</v>
      </c>
      <c r="AL182" s="413">
        <f t="shared" si="50"/>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243</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51">AA184</f>
        <v>0</v>
      </c>
      <c r="AB185" s="413">
        <f t="shared" si="51"/>
        <v>0</v>
      </c>
      <c r="AC185" s="413">
        <f t="shared" si="51"/>
        <v>0</v>
      </c>
      <c r="AD185" s="413">
        <f t="shared" si="51"/>
        <v>0</v>
      </c>
      <c r="AE185" s="413">
        <f t="shared" si="51"/>
        <v>0</v>
      </c>
      <c r="AF185" s="413">
        <f t="shared" si="51"/>
        <v>0</v>
      </c>
      <c r="AG185" s="413">
        <f t="shared" si="51"/>
        <v>0</v>
      </c>
      <c r="AH185" s="413">
        <f t="shared" si="51"/>
        <v>0</v>
      </c>
      <c r="AI185" s="413">
        <f t="shared" si="51"/>
        <v>0</v>
      </c>
      <c r="AJ185" s="413">
        <f t="shared" si="51"/>
        <v>0</v>
      </c>
      <c r="AK185" s="413">
        <f t="shared" si="51"/>
        <v>0</v>
      </c>
      <c r="AL185" s="413">
        <f t="shared" si="51"/>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243</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52">AA187</f>
        <v>0</v>
      </c>
      <c r="AB188" s="413">
        <f t="shared" si="52"/>
        <v>0</v>
      </c>
      <c r="AC188" s="413">
        <f t="shared" si="52"/>
        <v>0</v>
      </c>
      <c r="AD188" s="413">
        <f t="shared" si="52"/>
        <v>0</v>
      </c>
      <c r="AE188" s="413">
        <f t="shared" si="52"/>
        <v>0</v>
      </c>
      <c r="AF188" s="413">
        <f t="shared" si="52"/>
        <v>0</v>
      </c>
      <c r="AG188" s="413">
        <f t="shared" si="52"/>
        <v>0</v>
      </c>
      <c r="AH188" s="413">
        <f t="shared" si="52"/>
        <v>0</v>
      </c>
      <c r="AI188" s="413">
        <f t="shared" si="52"/>
        <v>0</v>
      </c>
      <c r="AJ188" s="413">
        <f t="shared" si="52"/>
        <v>0</v>
      </c>
      <c r="AK188" s="413">
        <f t="shared" si="52"/>
        <v>0</v>
      </c>
      <c r="AL188" s="413">
        <f t="shared" si="52"/>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243</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3">AA190</f>
        <v>0</v>
      </c>
      <c r="AB191" s="413">
        <f t="shared" si="53"/>
        <v>0</v>
      </c>
      <c r="AC191" s="413">
        <f t="shared" si="53"/>
        <v>0</v>
      </c>
      <c r="AD191" s="413">
        <f t="shared" si="53"/>
        <v>0</v>
      </c>
      <c r="AE191" s="413">
        <f t="shared" si="53"/>
        <v>0</v>
      </c>
      <c r="AF191" s="413">
        <f t="shared" si="53"/>
        <v>0</v>
      </c>
      <c r="AG191" s="413">
        <f t="shared" si="53"/>
        <v>0</v>
      </c>
      <c r="AH191" s="413">
        <f t="shared" si="53"/>
        <v>0</v>
      </c>
      <c r="AI191" s="413">
        <f t="shared" si="53"/>
        <v>0</v>
      </c>
      <c r="AJ191" s="413">
        <f t="shared" si="53"/>
        <v>0</v>
      </c>
      <c r="AK191" s="413">
        <f t="shared" si="53"/>
        <v>0</v>
      </c>
      <c r="AL191" s="413">
        <f t="shared" si="53"/>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30" outlineLevel="1">
      <c r="A193" s="511">
        <v>15</v>
      </c>
      <c r="B193" s="316" t="s">
        <v>481</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243</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4">AA193</f>
        <v>0</v>
      </c>
      <c r="AB194" s="413">
        <f t="shared" si="54"/>
        <v>0</v>
      </c>
      <c r="AC194" s="413">
        <f t="shared" si="54"/>
        <v>0</v>
      </c>
      <c r="AD194" s="413">
        <f t="shared" si="54"/>
        <v>0</v>
      </c>
      <c r="AE194" s="413">
        <f t="shared" si="54"/>
        <v>0</v>
      </c>
      <c r="AF194" s="413">
        <f t="shared" si="54"/>
        <v>0</v>
      </c>
      <c r="AG194" s="413">
        <f t="shared" si="54"/>
        <v>0</v>
      </c>
      <c r="AH194" s="413">
        <f t="shared" si="54"/>
        <v>0</v>
      </c>
      <c r="AI194" s="413">
        <f t="shared" si="54"/>
        <v>0</v>
      </c>
      <c r="AJ194" s="413">
        <f t="shared" si="54"/>
        <v>0</v>
      </c>
      <c r="AK194" s="413">
        <f t="shared" si="54"/>
        <v>0</v>
      </c>
      <c r="AL194" s="413">
        <f t="shared" si="54"/>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482</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243</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5">AA196</f>
        <v>0</v>
      </c>
      <c r="AB197" s="413">
        <f t="shared" si="55"/>
        <v>0</v>
      </c>
      <c r="AC197" s="413">
        <f t="shared" si="55"/>
        <v>0</v>
      </c>
      <c r="AD197" s="413">
        <f t="shared" si="55"/>
        <v>0</v>
      </c>
      <c r="AE197" s="413">
        <f t="shared" si="55"/>
        <v>0</v>
      </c>
      <c r="AF197" s="413">
        <f t="shared" si="55"/>
        <v>0</v>
      </c>
      <c r="AG197" s="413">
        <f t="shared" si="55"/>
        <v>0</v>
      </c>
      <c r="AH197" s="413">
        <f t="shared" si="55"/>
        <v>0</v>
      </c>
      <c r="AI197" s="413">
        <f t="shared" si="55"/>
        <v>0</v>
      </c>
      <c r="AJ197" s="413">
        <f t="shared" si="55"/>
        <v>0</v>
      </c>
      <c r="AK197" s="413">
        <f t="shared" si="55"/>
        <v>0</v>
      </c>
      <c r="AL197" s="413">
        <f t="shared" si="55"/>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v>1581.16</v>
      </c>
      <c r="E199" s="297">
        <v>0</v>
      </c>
      <c r="F199" s="297">
        <v>0</v>
      </c>
      <c r="G199" s="297">
        <v>0</v>
      </c>
      <c r="H199" s="297">
        <v>0</v>
      </c>
      <c r="I199" s="297"/>
      <c r="J199" s="297"/>
      <c r="K199" s="297"/>
      <c r="L199" s="297"/>
      <c r="M199" s="297"/>
      <c r="N199" s="293"/>
      <c r="O199" s="297">
        <v>108.78</v>
      </c>
      <c r="P199" s="297">
        <v>0</v>
      </c>
      <c r="Q199" s="297">
        <v>0</v>
      </c>
      <c r="R199" s="297">
        <v>0</v>
      </c>
      <c r="S199" s="297">
        <v>0</v>
      </c>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243</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6">AA199</f>
        <v>0</v>
      </c>
      <c r="AB200" s="413">
        <f t="shared" si="56"/>
        <v>0</v>
      </c>
      <c r="AC200" s="413">
        <f t="shared" si="56"/>
        <v>0</v>
      </c>
      <c r="AD200" s="413">
        <f t="shared" si="56"/>
        <v>0</v>
      </c>
      <c r="AE200" s="413">
        <f t="shared" si="56"/>
        <v>0</v>
      </c>
      <c r="AF200" s="413">
        <f t="shared" si="56"/>
        <v>0</v>
      </c>
      <c r="AG200" s="413">
        <f t="shared" si="56"/>
        <v>0</v>
      </c>
      <c r="AH200" s="413">
        <f t="shared" si="56"/>
        <v>0</v>
      </c>
      <c r="AI200" s="413">
        <f t="shared" si="56"/>
        <v>0</v>
      </c>
      <c r="AJ200" s="413">
        <f t="shared" si="56"/>
        <v>0</v>
      </c>
      <c r="AK200" s="413">
        <f t="shared" si="56"/>
        <v>0</v>
      </c>
      <c r="AL200" s="413">
        <f t="shared" si="56"/>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243</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7">AA203</f>
        <v>0</v>
      </c>
      <c r="AB204" s="413">
        <f t="shared" si="57"/>
        <v>0</v>
      </c>
      <c r="AC204" s="413">
        <f t="shared" si="57"/>
        <v>0</v>
      </c>
      <c r="AD204" s="413">
        <f t="shared" si="57"/>
        <v>0</v>
      </c>
      <c r="AE204" s="413">
        <f t="shared" si="57"/>
        <v>0</v>
      </c>
      <c r="AF204" s="413">
        <f t="shared" si="57"/>
        <v>0</v>
      </c>
      <c r="AG204" s="413">
        <f t="shared" si="57"/>
        <v>0</v>
      </c>
      <c r="AH204" s="413">
        <f t="shared" si="57"/>
        <v>0</v>
      </c>
      <c r="AI204" s="413">
        <f t="shared" si="57"/>
        <v>0</v>
      </c>
      <c r="AJ204" s="413">
        <f t="shared" si="57"/>
        <v>0</v>
      </c>
      <c r="AK204" s="413">
        <f t="shared" si="57"/>
        <v>0</v>
      </c>
      <c r="AL204" s="413">
        <f t="shared" si="57"/>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243</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8">AA206</f>
        <v>0</v>
      </c>
      <c r="AB207" s="413">
        <f t="shared" si="58"/>
        <v>0</v>
      </c>
      <c r="AC207" s="413">
        <f t="shared" si="58"/>
        <v>0</v>
      </c>
      <c r="AD207" s="413">
        <f t="shared" si="58"/>
        <v>0</v>
      </c>
      <c r="AE207" s="413">
        <f t="shared" si="58"/>
        <v>0</v>
      </c>
      <c r="AF207" s="413">
        <f t="shared" si="58"/>
        <v>0</v>
      </c>
      <c r="AG207" s="413">
        <f t="shared" si="58"/>
        <v>0</v>
      </c>
      <c r="AH207" s="413">
        <f t="shared" si="58"/>
        <v>0</v>
      </c>
      <c r="AI207" s="413">
        <f t="shared" si="58"/>
        <v>0</v>
      </c>
      <c r="AJ207" s="413">
        <f t="shared" si="58"/>
        <v>0</v>
      </c>
      <c r="AK207" s="413">
        <f t="shared" si="58"/>
        <v>0</v>
      </c>
      <c r="AL207" s="413">
        <f t="shared" si="58"/>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243</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9">AA209</f>
        <v>0</v>
      </c>
      <c r="AB210" s="413">
        <f t="shared" si="59"/>
        <v>0</v>
      </c>
      <c r="AC210" s="413">
        <f t="shared" si="59"/>
        <v>0</v>
      </c>
      <c r="AD210" s="413">
        <f t="shared" si="59"/>
        <v>0</v>
      </c>
      <c r="AE210" s="413">
        <f t="shared" si="59"/>
        <v>0</v>
      </c>
      <c r="AF210" s="413">
        <f t="shared" si="59"/>
        <v>0</v>
      </c>
      <c r="AG210" s="413">
        <f t="shared" si="59"/>
        <v>0</v>
      </c>
      <c r="AH210" s="413">
        <f t="shared" si="59"/>
        <v>0</v>
      </c>
      <c r="AI210" s="413">
        <f t="shared" si="59"/>
        <v>0</v>
      </c>
      <c r="AJ210" s="413">
        <f t="shared" si="59"/>
        <v>0</v>
      </c>
      <c r="AK210" s="413">
        <f t="shared" si="59"/>
        <v>0</v>
      </c>
      <c r="AL210" s="413">
        <f t="shared" si="59"/>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243</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60">AA212</f>
        <v>0</v>
      </c>
      <c r="AB213" s="413">
        <f t="shared" si="60"/>
        <v>0</v>
      </c>
      <c r="AC213" s="413">
        <f t="shared" si="60"/>
        <v>0</v>
      </c>
      <c r="AD213" s="413">
        <f t="shared" si="60"/>
        <v>0</v>
      </c>
      <c r="AE213" s="413">
        <f t="shared" si="60"/>
        <v>0</v>
      </c>
      <c r="AF213" s="413">
        <f t="shared" si="60"/>
        <v>0</v>
      </c>
      <c r="AG213" s="413">
        <f t="shared" si="60"/>
        <v>0</v>
      </c>
      <c r="AH213" s="413">
        <f t="shared" si="60"/>
        <v>0</v>
      </c>
      <c r="AI213" s="413">
        <f t="shared" si="60"/>
        <v>0</v>
      </c>
      <c r="AJ213" s="413">
        <f t="shared" si="60"/>
        <v>0</v>
      </c>
      <c r="AK213" s="413">
        <f t="shared" si="60"/>
        <v>0</v>
      </c>
      <c r="AL213" s="413">
        <f t="shared" si="60"/>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v>10603.75</v>
      </c>
      <c r="E215" s="297">
        <v>0</v>
      </c>
      <c r="F215" s="297">
        <v>0</v>
      </c>
      <c r="G215" s="297">
        <v>0</v>
      </c>
      <c r="H215" s="297">
        <v>0</v>
      </c>
      <c r="I215" s="297"/>
      <c r="J215" s="297"/>
      <c r="K215" s="297"/>
      <c r="L215" s="297"/>
      <c r="M215" s="297"/>
      <c r="N215" s="293"/>
      <c r="O215" s="297">
        <v>440</v>
      </c>
      <c r="P215" s="297">
        <v>0</v>
      </c>
      <c r="Q215" s="297">
        <v>0</v>
      </c>
      <c r="R215" s="297">
        <v>0</v>
      </c>
      <c r="S215" s="297">
        <v>0</v>
      </c>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243</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61">AA215</f>
        <v>0</v>
      </c>
      <c r="AB216" s="413">
        <f t="shared" si="61"/>
        <v>0</v>
      </c>
      <c r="AC216" s="413">
        <f t="shared" si="61"/>
        <v>0</v>
      </c>
      <c r="AD216" s="413">
        <f t="shared" si="61"/>
        <v>0</v>
      </c>
      <c r="AE216" s="413">
        <f t="shared" si="61"/>
        <v>0</v>
      </c>
      <c r="AF216" s="413">
        <f t="shared" si="61"/>
        <v>0</v>
      </c>
      <c r="AG216" s="413">
        <f t="shared" si="61"/>
        <v>0</v>
      </c>
      <c r="AH216" s="413">
        <f t="shared" si="61"/>
        <v>0</v>
      </c>
      <c r="AI216" s="413">
        <f t="shared" si="61"/>
        <v>0</v>
      </c>
      <c r="AJ216" s="413">
        <f t="shared" si="61"/>
        <v>0</v>
      </c>
      <c r="AK216" s="413">
        <f t="shared" si="61"/>
        <v>0</v>
      </c>
      <c r="AL216" s="413">
        <f t="shared" si="61"/>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243</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62">AA219</f>
        <v>0</v>
      </c>
      <c r="AB220" s="413">
        <f t="shared" si="62"/>
        <v>0</v>
      </c>
      <c r="AC220" s="413">
        <f t="shared" si="62"/>
        <v>0</v>
      </c>
      <c r="AD220" s="413">
        <f t="shared" si="62"/>
        <v>0</v>
      </c>
      <c r="AE220" s="413">
        <f t="shared" si="62"/>
        <v>0</v>
      </c>
      <c r="AF220" s="413">
        <f t="shared" si="62"/>
        <v>0</v>
      </c>
      <c r="AG220" s="413">
        <f t="shared" si="62"/>
        <v>0</v>
      </c>
      <c r="AH220" s="413">
        <f t="shared" si="62"/>
        <v>0</v>
      </c>
      <c r="AI220" s="413">
        <f t="shared" si="62"/>
        <v>0</v>
      </c>
      <c r="AJ220" s="413">
        <f t="shared" si="62"/>
        <v>0</v>
      </c>
      <c r="AK220" s="413">
        <f t="shared" si="62"/>
        <v>0</v>
      </c>
      <c r="AL220" s="413">
        <f t="shared" si="62"/>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483</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243</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3">AA223</f>
        <v>0</v>
      </c>
      <c r="AB224" s="413">
        <f t="shared" si="63"/>
        <v>0</v>
      </c>
      <c r="AC224" s="413">
        <f t="shared" si="63"/>
        <v>0</v>
      </c>
      <c r="AD224" s="413">
        <f t="shared" si="63"/>
        <v>0</v>
      </c>
      <c r="AE224" s="413">
        <f t="shared" si="63"/>
        <v>0</v>
      </c>
      <c r="AF224" s="413">
        <f t="shared" si="63"/>
        <v>0</v>
      </c>
      <c r="AG224" s="413">
        <f t="shared" si="63"/>
        <v>0</v>
      </c>
      <c r="AH224" s="413">
        <f t="shared" si="63"/>
        <v>0</v>
      </c>
      <c r="AI224" s="413">
        <f t="shared" si="63"/>
        <v>0</v>
      </c>
      <c r="AJ224" s="413">
        <f t="shared" si="63"/>
        <v>0</v>
      </c>
      <c r="AK224" s="413">
        <f t="shared" si="63"/>
        <v>0</v>
      </c>
      <c r="AL224" s="413">
        <f t="shared" si="63"/>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243</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4">AA226</f>
        <v>0</v>
      </c>
      <c r="AB227" s="413">
        <f t="shared" si="64"/>
        <v>0</v>
      </c>
      <c r="AC227" s="413">
        <f t="shared" si="64"/>
        <v>0</v>
      </c>
      <c r="AD227" s="413">
        <f t="shared" si="64"/>
        <v>0</v>
      </c>
      <c r="AE227" s="413">
        <f t="shared" si="64"/>
        <v>0</v>
      </c>
      <c r="AF227" s="413">
        <f t="shared" si="64"/>
        <v>0</v>
      </c>
      <c r="AG227" s="413">
        <f t="shared" si="64"/>
        <v>0</v>
      </c>
      <c r="AH227" s="413">
        <f t="shared" si="64"/>
        <v>0</v>
      </c>
      <c r="AI227" s="413">
        <f t="shared" si="64"/>
        <v>0</v>
      </c>
      <c r="AJ227" s="413">
        <f t="shared" si="64"/>
        <v>0</v>
      </c>
      <c r="AK227" s="413">
        <f t="shared" si="64"/>
        <v>0</v>
      </c>
      <c r="AL227" s="413">
        <f t="shared" si="64"/>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30"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243</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5">AA230</f>
        <v>0</v>
      </c>
      <c r="AB231" s="413">
        <f t="shared" si="65"/>
        <v>0</v>
      </c>
      <c r="AC231" s="413">
        <f t="shared" si="65"/>
        <v>0</v>
      </c>
      <c r="AD231" s="413">
        <f t="shared" si="65"/>
        <v>0</v>
      </c>
      <c r="AE231" s="413">
        <f t="shared" si="65"/>
        <v>0</v>
      </c>
      <c r="AF231" s="413">
        <f t="shared" si="65"/>
        <v>0</v>
      </c>
      <c r="AG231" s="413">
        <f t="shared" si="65"/>
        <v>0</v>
      </c>
      <c r="AH231" s="413">
        <f t="shared" si="65"/>
        <v>0</v>
      </c>
      <c r="AI231" s="413">
        <f t="shared" si="65"/>
        <v>0</v>
      </c>
      <c r="AJ231" s="413">
        <f t="shared" si="65"/>
        <v>0</v>
      </c>
      <c r="AK231" s="413">
        <f t="shared" si="65"/>
        <v>0</v>
      </c>
      <c r="AL231" s="413">
        <f t="shared" si="65"/>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30" outlineLevel="1">
      <c r="A233" s="511">
        <v>27</v>
      </c>
      <c r="B233" s="323" t="s">
        <v>17</v>
      </c>
      <c r="C233" s="293" t="s">
        <v>25</v>
      </c>
      <c r="D233" s="297">
        <v>947</v>
      </c>
      <c r="E233" s="297">
        <v>947</v>
      </c>
      <c r="F233" s="297">
        <v>947</v>
      </c>
      <c r="G233" s="297">
        <v>947</v>
      </c>
      <c r="H233" s="297">
        <v>947</v>
      </c>
      <c r="I233" s="297"/>
      <c r="J233" s="297"/>
      <c r="K233" s="297"/>
      <c r="L233" s="297"/>
      <c r="M233" s="297"/>
      <c r="N233" s="297">
        <v>12</v>
      </c>
      <c r="O233" s="297">
        <v>1</v>
      </c>
      <c r="P233" s="297">
        <v>1</v>
      </c>
      <c r="Q233" s="297">
        <v>1</v>
      </c>
      <c r="R233" s="297">
        <v>1</v>
      </c>
      <c r="S233" s="297">
        <v>0.98</v>
      </c>
      <c r="T233" s="297"/>
      <c r="U233" s="297"/>
      <c r="V233" s="297"/>
      <c r="W233" s="297"/>
      <c r="X233" s="297"/>
      <c r="Y233" s="428"/>
      <c r="Z233" s="417"/>
      <c r="AA233" s="417">
        <v>1</v>
      </c>
      <c r="AB233" s="417"/>
      <c r="AC233" s="417"/>
      <c r="AD233" s="417"/>
      <c r="AE233" s="417"/>
      <c r="AF233" s="417"/>
      <c r="AG233" s="417"/>
      <c r="AH233" s="417"/>
      <c r="AI233" s="417"/>
      <c r="AJ233" s="417"/>
      <c r="AK233" s="417"/>
      <c r="AL233" s="417"/>
      <c r="AM233" s="298">
        <f>SUM(Y233:AL233)</f>
        <v>1</v>
      </c>
    </row>
    <row r="234" spans="1:39" ht="15" outlineLevel="1">
      <c r="B234" s="296" t="s">
        <v>243</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6">AA233</f>
        <v>1</v>
      </c>
      <c r="AB234" s="413">
        <f t="shared" si="66"/>
        <v>0</v>
      </c>
      <c r="AC234" s="413">
        <f t="shared" si="66"/>
        <v>0</v>
      </c>
      <c r="AD234" s="413">
        <f t="shared" si="66"/>
        <v>0</v>
      </c>
      <c r="AE234" s="413">
        <f t="shared" si="66"/>
        <v>0</v>
      </c>
      <c r="AF234" s="413">
        <f t="shared" si="66"/>
        <v>0</v>
      </c>
      <c r="AG234" s="413">
        <f t="shared" si="66"/>
        <v>0</v>
      </c>
      <c r="AH234" s="413">
        <f t="shared" si="66"/>
        <v>0</v>
      </c>
      <c r="AI234" s="413">
        <f t="shared" si="66"/>
        <v>0</v>
      </c>
      <c r="AJ234" s="413">
        <f t="shared" si="66"/>
        <v>0</v>
      </c>
      <c r="AK234" s="413">
        <f t="shared" si="66"/>
        <v>0</v>
      </c>
      <c r="AL234" s="413">
        <f t="shared" si="66"/>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243</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7">AA236</f>
        <v>0</v>
      </c>
      <c r="AB237" s="413">
        <f t="shared" si="67"/>
        <v>0</v>
      </c>
      <c r="AC237" s="413">
        <f t="shared" si="67"/>
        <v>0</v>
      </c>
      <c r="AD237" s="413">
        <f t="shared" si="67"/>
        <v>0</v>
      </c>
      <c r="AE237" s="413">
        <f t="shared" si="67"/>
        <v>0</v>
      </c>
      <c r="AF237" s="413">
        <f t="shared" si="67"/>
        <v>0</v>
      </c>
      <c r="AG237" s="413">
        <f t="shared" si="67"/>
        <v>0</v>
      </c>
      <c r="AH237" s="413">
        <f t="shared" si="67"/>
        <v>0</v>
      </c>
      <c r="AI237" s="413">
        <f t="shared" si="67"/>
        <v>0</v>
      </c>
      <c r="AJ237" s="413">
        <f t="shared" si="67"/>
        <v>0</v>
      </c>
      <c r="AK237" s="413">
        <f t="shared" si="67"/>
        <v>0</v>
      </c>
      <c r="AL237" s="413">
        <f t="shared" si="67"/>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243</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8">Z239</f>
        <v>0</v>
      </c>
      <c r="AA240" s="413">
        <f t="shared" si="68"/>
        <v>0</v>
      </c>
      <c r="AB240" s="413">
        <f t="shared" si="68"/>
        <v>0</v>
      </c>
      <c r="AC240" s="413">
        <f t="shared" si="68"/>
        <v>0</v>
      </c>
      <c r="AD240" s="413">
        <f t="shared" si="68"/>
        <v>0</v>
      </c>
      <c r="AE240" s="413">
        <f t="shared" si="68"/>
        <v>0</v>
      </c>
      <c r="AF240" s="413">
        <f t="shared" si="68"/>
        <v>0</v>
      </c>
      <c r="AG240" s="413">
        <f t="shared" si="68"/>
        <v>0</v>
      </c>
      <c r="AH240" s="413">
        <f t="shared" si="68"/>
        <v>0</v>
      </c>
      <c r="AI240" s="413">
        <f t="shared" si="68"/>
        <v>0</v>
      </c>
      <c r="AJ240" s="413">
        <f t="shared" si="68"/>
        <v>0</v>
      </c>
      <c r="AK240" s="413">
        <f t="shared" si="68"/>
        <v>0</v>
      </c>
      <c r="AL240" s="413">
        <f t="shared" si="68"/>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484</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243</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9">Z242</f>
        <v>0</v>
      </c>
      <c r="AA243" s="413">
        <f t="shared" si="69"/>
        <v>0</v>
      </c>
      <c r="AB243" s="413">
        <f t="shared" si="69"/>
        <v>0</v>
      </c>
      <c r="AC243" s="413">
        <f t="shared" si="69"/>
        <v>0</v>
      </c>
      <c r="AD243" s="413">
        <f t="shared" si="69"/>
        <v>0</v>
      </c>
      <c r="AE243" s="413">
        <f t="shared" si="69"/>
        <v>0</v>
      </c>
      <c r="AF243" s="413">
        <f t="shared" si="69"/>
        <v>0</v>
      </c>
      <c r="AG243" s="413">
        <f t="shared" si="69"/>
        <v>0</v>
      </c>
      <c r="AH243" s="413">
        <f t="shared" si="69"/>
        <v>0</v>
      </c>
      <c r="AI243" s="413">
        <f t="shared" si="69"/>
        <v>0</v>
      </c>
      <c r="AJ243" s="413">
        <f t="shared" si="69"/>
        <v>0</v>
      </c>
      <c r="AK243" s="413">
        <f t="shared" si="69"/>
        <v>0</v>
      </c>
      <c r="AL243" s="413">
        <f t="shared" si="69"/>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485</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486</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243</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70">Z246</f>
        <v>0</v>
      </c>
      <c r="AA247" s="413">
        <f t="shared" si="70"/>
        <v>0</v>
      </c>
      <c r="AB247" s="413">
        <f t="shared" si="70"/>
        <v>0</v>
      </c>
      <c r="AC247" s="413">
        <f t="shared" si="70"/>
        <v>0</v>
      </c>
      <c r="AD247" s="413">
        <f t="shared" si="70"/>
        <v>0</v>
      </c>
      <c r="AE247" s="413">
        <f t="shared" si="70"/>
        <v>0</v>
      </c>
      <c r="AF247" s="413">
        <f t="shared" si="70"/>
        <v>0</v>
      </c>
      <c r="AG247" s="413">
        <f t="shared" si="70"/>
        <v>0</v>
      </c>
      <c r="AH247" s="413">
        <f t="shared" si="70"/>
        <v>0</v>
      </c>
      <c r="AI247" s="413">
        <f t="shared" si="70"/>
        <v>0</v>
      </c>
      <c r="AJ247" s="413">
        <f t="shared" si="70"/>
        <v>0</v>
      </c>
      <c r="AK247" s="413">
        <f t="shared" si="70"/>
        <v>0</v>
      </c>
      <c r="AL247" s="413">
        <f t="shared" si="70"/>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487</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243</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71">Z249</f>
        <v>0</v>
      </c>
      <c r="AA250" s="413">
        <f t="shared" si="71"/>
        <v>0</v>
      </c>
      <c r="AB250" s="413">
        <f t="shared" si="71"/>
        <v>0</v>
      </c>
      <c r="AC250" s="413">
        <f t="shared" si="71"/>
        <v>0</v>
      </c>
      <c r="AD250" s="413">
        <f t="shared" si="71"/>
        <v>0</v>
      </c>
      <c r="AE250" s="413">
        <f t="shared" si="71"/>
        <v>0</v>
      </c>
      <c r="AF250" s="413">
        <f t="shared" si="71"/>
        <v>0</v>
      </c>
      <c r="AG250" s="413">
        <f t="shared" si="71"/>
        <v>0</v>
      </c>
      <c r="AH250" s="413">
        <f t="shared" si="71"/>
        <v>0</v>
      </c>
      <c r="AI250" s="413">
        <f t="shared" si="71"/>
        <v>0</v>
      </c>
      <c r="AJ250" s="413">
        <f t="shared" si="71"/>
        <v>0</v>
      </c>
      <c r="AK250" s="413">
        <f t="shared" si="71"/>
        <v>0</v>
      </c>
      <c r="AL250" s="413">
        <f t="shared" si="71"/>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488</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243</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72">Z252</f>
        <v>0</v>
      </c>
      <c r="AA253" s="413">
        <f t="shared" si="72"/>
        <v>0</v>
      </c>
      <c r="AB253" s="413">
        <f t="shared" si="72"/>
        <v>0</v>
      </c>
      <c r="AC253" s="413">
        <f t="shared" si="72"/>
        <v>0</v>
      </c>
      <c r="AD253" s="413">
        <f t="shared" si="72"/>
        <v>0</v>
      </c>
      <c r="AE253" s="413">
        <f t="shared" si="72"/>
        <v>0</v>
      </c>
      <c r="AF253" s="413">
        <f t="shared" si="72"/>
        <v>0</v>
      </c>
      <c r="AG253" s="413">
        <f t="shared" si="72"/>
        <v>0</v>
      </c>
      <c r="AH253" s="413">
        <f t="shared" si="72"/>
        <v>0</v>
      </c>
      <c r="AI253" s="413">
        <f t="shared" si="72"/>
        <v>0</v>
      </c>
      <c r="AJ253" s="413">
        <f t="shared" si="72"/>
        <v>0</v>
      </c>
      <c r="AK253" s="413">
        <f t="shared" si="72"/>
        <v>0</v>
      </c>
      <c r="AL253" s="413">
        <f t="shared" si="72"/>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244</v>
      </c>
      <c r="C255" s="331"/>
      <c r="D255" s="331">
        <f>SUM(D150:D253)</f>
        <v>2899926.38</v>
      </c>
      <c r="E255" s="331">
        <f t="shared" ref="E255:H255" si="73">SUM(E150:E253)</f>
        <v>2884962.19</v>
      </c>
      <c r="F255" s="331">
        <f t="shared" si="73"/>
        <v>2883930.19</v>
      </c>
      <c r="G255" s="331">
        <f t="shared" si="73"/>
        <v>2858272.68</v>
      </c>
      <c r="H255" s="331">
        <f t="shared" si="73"/>
        <v>2793941.1500000004</v>
      </c>
      <c r="I255" s="331"/>
      <c r="J255" s="331"/>
      <c r="K255" s="331"/>
      <c r="L255" s="331"/>
      <c r="M255" s="331"/>
      <c r="N255" s="331"/>
      <c r="O255" s="331">
        <f>SUM(O150:O253)</f>
        <v>1606.7449999999999</v>
      </c>
      <c r="P255" s="331">
        <f t="shared" ref="P255:S255" si="74">SUM(P150:P253)</f>
        <v>1102.1849999999999</v>
      </c>
      <c r="Q255" s="331">
        <f t="shared" si="74"/>
        <v>1054.05</v>
      </c>
      <c r="R255" s="331">
        <f t="shared" si="74"/>
        <v>601.19200000000001</v>
      </c>
      <c r="S255" s="331">
        <f t="shared" si="74"/>
        <v>591.19499999999994</v>
      </c>
      <c r="T255" s="331"/>
      <c r="U255" s="331"/>
      <c r="V255" s="331"/>
      <c r="W255" s="331"/>
      <c r="X255" s="331"/>
      <c r="Y255" s="331">
        <f>IF(Y149="kWh",SUMPRODUCT(D150:D253,Y150:Y253))</f>
        <v>726543.94</v>
      </c>
      <c r="Z255" s="331">
        <f>IF(Z149="kWh",SUMPRODUCT(D150:D253,Z150:Z253))</f>
        <v>46962.25</v>
      </c>
      <c r="AA255" s="331">
        <f>IF(AA149="kW",SUMPRODUCT(N150:N253,O150:O253,AA150:AA253),SUMPRODUCT(D150:D253,AA150:AA253))</f>
        <v>4049.52</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245</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1.49E-2</v>
      </c>
      <c r="Z258" s="343">
        <f>HLOOKUP(Z$20,'3.  Distribution Rates'!$C$122:$P$133,4,FALSE)</f>
        <v>2.0500000000000001E-2</v>
      </c>
      <c r="AA258" s="343">
        <f>HLOOKUP(AA$20,'3.  Distribution Rates'!$C$122:$P$133,4,FALSE)</f>
        <v>3.9811999999999999</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5">Y135*Y258</f>
        <v>17952.670876</v>
      </c>
      <c r="Z259" s="380">
        <f t="shared" si="75"/>
        <v>900.39485000000002</v>
      </c>
      <c r="AA259" s="380">
        <f t="shared" si="75"/>
        <v>14378.716513110141</v>
      </c>
      <c r="AB259" s="380">
        <f t="shared" si="75"/>
        <v>0</v>
      </c>
      <c r="AC259" s="380">
        <f t="shared" si="75"/>
        <v>0</v>
      </c>
      <c r="AD259" s="380">
        <f t="shared" si="75"/>
        <v>0</v>
      </c>
      <c r="AE259" s="380">
        <f t="shared" si="75"/>
        <v>0</v>
      </c>
      <c r="AF259" s="380">
        <f t="shared" si="75"/>
        <v>0</v>
      </c>
      <c r="AG259" s="380">
        <f t="shared" si="75"/>
        <v>0</v>
      </c>
      <c r="AH259" s="380">
        <f t="shared" si="75"/>
        <v>0</v>
      </c>
      <c r="AI259" s="380">
        <f t="shared" si="75"/>
        <v>0</v>
      </c>
      <c r="AJ259" s="380">
        <f t="shared" si="75"/>
        <v>0</v>
      </c>
      <c r="AK259" s="380">
        <f t="shared" si="75"/>
        <v>0</v>
      </c>
      <c r="AL259" s="380">
        <f t="shared" si="75"/>
        <v>0</v>
      </c>
      <c r="AM259" s="631">
        <f>SUM(Y259:AL259)</f>
        <v>33231.782239110144</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6">Y255*Y258</f>
        <v>10825.504706</v>
      </c>
      <c r="Z260" s="380">
        <f t="shared" si="76"/>
        <v>962.72612500000002</v>
      </c>
      <c r="AA260" s="381">
        <f t="shared" si="76"/>
        <v>16121.949024</v>
      </c>
      <c r="AB260" s="381">
        <f t="shared" si="76"/>
        <v>0</v>
      </c>
      <c r="AC260" s="381">
        <f t="shared" si="76"/>
        <v>0</v>
      </c>
      <c r="AD260" s="381">
        <f t="shared" si="76"/>
        <v>0</v>
      </c>
      <c r="AE260" s="381">
        <f t="shared" si="76"/>
        <v>0</v>
      </c>
      <c r="AF260" s="381">
        <f t="shared" ref="AF260:AL260" si="77">AF255*AF258</f>
        <v>0</v>
      </c>
      <c r="AG260" s="381">
        <f t="shared" si="77"/>
        <v>0</v>
      </c>
      <c r="AH260" s="381">
        <f t="shared" si="77"/>
        <v>0</v>
      </c>
      <c r="AI260" s="381">
        <f t="shared" si="77"/>
        <v>0</v>
      </c>
      <c r="AJ260" s="381">
        <f t="shared" si="77"/>
        <v>0</v>
      </c>
      <c r="AK260" s="381">
        <f t="shared" si="77"/>
        <v>0</v>
      </c>
      <c r="AL260" s="381">
        <f t="shared" si="77"/>
        <v>0</v>
      </c>
      <c r="AM260" s="631">
        <f>SUM(Y260:AL260)</f>
        <v>27910.179854999998</v>
      </c>
    </row>
    <row r="261" spans="1:41" s="382" customFormat="1" ht="15.75">
      <c r="A261" s="513"/>
      <c r="B261" s="351" t="s">
        <v>253</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28778.175582</v>
      </c>
      <c r="Z261" s="348">
        <f t="shared" ref="Z261:AE261" si="78">SUM(Z259:Z260)</f>
        <v>1863.120975</v>
      </c>
      <c r="AA261" s="348">
        <f t="shared" si="78"/>
        <v>30500.665537110141</v>
      </c>
      <c r="AB261" s="348">
        <f t="shared" si="78"/>
        <v>0</v>
      </c>
      <c r="AC261" s="348">
        <f t="shared" si="78"/>
        <v>0</v>
      </c>
      <c r="AD261" s="348">
        <f t="shared" si="78"/>
        <v>0</v>
      </c>
      <c r="AE261" s="348">
        <f t="shared" si="78"/>
        <v>0</v>
      </c>
      <c r="AF261" s="348">
        <f t="shared" ref="AF261:AL261" si="79">SUM(AF259:AF260)</f>
        <v>0</v>
      </c>
      <c r="AG261" s="348">
        <f t="shared" si="79"/>
        <v>0</v>
      </c>
      <c r="AH261" s="348">
        <f t="shared" si="79"/>
        <v>0</v>
      </c>
      <c r="AI261" s="348">
        <f t="shared" si="79"/>
        <v>0</v>
      </c>
      <c r="AJ261" s="348">
        <f t="shared" si="79"/>
        <v>0</v>
      </c>
      <c r="AK261" s="348">
        <f t="shared" si="79"/>
        <v>0</v>
      </c>
      <c r="AL261" s="348">
        <f t="shared" si="79"/>
        <v>0</v>
      </c>
      <c r="AM261" s="409">
        <f>SUM(AM259:AM260)</f>
        <v>61141.962094110146</v>
      </c>
    </row>
    <row r="262" spans="1:41" s="382" customFormat="1" ht="15.75">
      <c r="A262" s="513"/>
      <c r="B262" s="351" t="s">
        <v>246</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80">Y256*Y258</f>
        <v>0</v>
      </c>
      <c r="Z262" s="349">
        <f t="shared" si="80"/>
        <v>0</v>
      </c>
      <c r="AA262" s="349">
        <f t="shared" si="80"/>
        <v>0</v>
      </c>
      <c r="AB262" s="349">
        <f t="shared" si="80"/>
        <v>0</v>
      </c>
      <c r="AC262" s="349">
        <f t="shared" si="80"/>
        <v>0</v>
      </c>
      <c r="AD262" s="349">
        <f t="shared" si="80"/>
        <v>0</v>
      </c>
      <c r="AE262" s="349">
        <f t="shared" si="80"/>
        <v>0</v>
      </c>
      <c r="AF262" s="349">
        <f t="shared" ref="AF262:AL262" si="81">AF256*AF258</f>
        <v>0</v>
      </c>
      <c r="AG262" s="349">
        <f t="shared" si="81"/>
        <v>0</v>
      </c>
      <c r="AH262" s="349">
        <f t="shared" si="81"/>
        <v>0</v>
      </c>
      <c r="AI262" s="349">
        <f t="shared" si="81"/>
        <v>0</v>
      </c>
      <c r="AJ262" s="349">
        <f t="shared" si="81"/>
        <v>0</v>
      </c>
      <c r="AK262" s="349">
        <f t="shared" si="81"/>
        <v>0</v>
      </c>
      <c r="AL262" s="349">
        <f t="shared" si="81"/>
        <v>0</v>
      </c>
      <c r="AM262" s="409">
        <f>SUM(Y262:AL262)</f>
        <v>0</v>
      </c>
    </row>
    <row r="263" spans="1:41" s="382" customFormat="1" ht="15.75">
      <c r="A263" s="513"/>
      <c r="B263" s="351" t="s">
        <v>254</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61141.962094110146</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726543.94</v>
      </c>
      <c r="Z265" s="293">
        <f>SUMPRODUCT(E150:E253,Z150:Z253)</f>
        <v>46962.25</v>
      </c>
      <c r="AA265" s="293">
        <f>IF(AA149="kW",SUMPRODUCT(N150:N253,P150:P253,AA150:AA253),SUMPRODUCT(E150:E253,AA150:AA253))</f>
        <v>4049.52</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726543.94</v>
      </c>
      <c r="Z266" s="293">
        <f>SUMPRODUCT(F150:F253,Z150:Z253)</f>
        <v>46414.25</v>
      </c>
      <c r="AA266" s="293">
        <f>IF(AA149="kW",SUMPRODUCT(N150:N253,Q150:Q253,AA150:AA253),SUMPRODUCT(F150:F253,AA150:AA253))</f>
        <v>4049.52</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188</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726322.52</v>
      </c>
      <c r="Z267" s="293">
        <f>SUMPRODUCT(G150:G253,Z150:Z253)</f>
        <v>34154.160000000003</v>
      </c>
      <c r="AA267" s="293">
        <f>IF(AA149="kW",SUMPRODUCT(N150:N253,R150:R253,AA150:AA253),SUMPRODUCT(G150:G253,AA150:AA253))</f>
        <v>4001.76</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189</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661990.99</v>
      </c>
      <c r="Z268" s="293">
        <f>SUMPRODUCT(H150:H253,Z150:Z253)</f>
        <v>34154.160000000003</v>
      </c>
      <c r="AA268" s="293">
        <f>IF(AA149="kW",SUMPRODUCT(N150:N253,S150:S253,AA150:AA253),SUMPRODUCT(H150:H253,AA150:AA253))</f>
        <v>3992.28</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190</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191</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192</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193</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0</v>
      </c>
      <c r="Z272" s="328">
        <f>SUMPRODUCT(L150:L253,Z150:Z253)</f>
        <v>0</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585</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765" t="s">
        <v>247</v>
      </c>
      <c r="C275" s="283"/>
      <c r="D275" s="594" t="s">
        <v>521</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97" t="s">
        <v>210</v>
      </c>
      <c r="C276" s="899" t="s">
        <v>33</v>
      </c>
      <c r="D276" s="286" t="s">
        <v>421</v>
      </c>
      <c r="E276" s="901" t="s">
        <v>208</v>
      </c>
      <c r="F276" s="902"/>
      <c r="G276" s="902"/>
      <c r="H276" s="902"/>
      <c r="I276" s="902"/>
      <c r="J276" s="902"/>
      <c r="K276" s="902"/>
      <c r="L276" s="902"/>
      <c r="M276" s="903"/>
      <c r="N276" s="907" t="s">
        <v>212</v>
      </c>
      <c r="O276" s="286" t="s">
        <v>422</v>
      </c>
      <c r="P276" s="901" t="s">
        <v>211</v>
      </c>
      <c r="Q276" s="902"/>
      <c r="R276" s="902"/>
      <c r="S276" s="902"/>
      <c r="T276" s="902"/>
      <c r="U276" s="902"/>
      <c r="V276" s="902"/>
      <c r="W276" s="902"/>
      <c r="X276" s="903"/>
      <c r="Y276" s="904" t="s">
        <v>242</v>
      </c>
      <c r="Z276" s="905"/>
      <c r="AA276" s="905"/>
      <c r="AB276" s="905"/>
      <c r="AC276" s="905"/>
      <c r="AD276" s="905"/>
      <c r="AE276" s="905"/>
      <c r="AF276" s="905"/>
      <c r="AG276" s="905"/>
      <c r="AH276" s="905"/>
      <c r="AI276" s="905"/>
      <c r="AJ276" s="905"/>
      <c r="AK276" s="905"/>
      <c r="AL276" s="905"/>
      <c r="AM276" s="906"/>
    </row>
    <row r="277" spans="1:39" ht="60.75" customHeight="1">
      <c r="B277" s="898"/>
      <c r="C277" s="900"/>
      <c r="D277" s="287">
        <v>2013</v>
      </c>
      <c r="E277" s="287">
        <v>2014</v>
      </c>
      <c r="F277" s="287">
        <v>2015</v>
      </c>
      <c r="G277" s="287">
        <v>2016</v>
      </c>
      <c r="H277" s="287">
        <v>2017</v>
      </c>
      <c r="I277" s="287">
        <v>2018</v>
      </c>
      <c r="J277" s="287">
        <v>2019</v>
      </c>
      <c r="K277" s="287">
        <v>2020</v>
      </c>
      <c r="L277" s="287">
        <v>2021</v>
      </c>
      <c r="M277" s="287">
        <v>2022</v>
      </c>
      <c r="N277" s="908"/>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GS&gt;50 kW</v>
      </c>
      <c r="AB277" s="287" t="str">
        <f>'1.  LRAMVA Summary'!G50</f>
        <v>Streetlighting</v>
      </c>
      <c r="AC277" s="287" t="str">
        <f>'1.  LRAMVA Summary'!H50</f>
        <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f>'1.  LRAMVA Summary'!H51</f>
        <v>0</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f>61678+53</f>
        <v>61731</v>
      </c>
      <c r="E279" s="297">
        <f t="shared" ref="E279:G279" si="82">61678+53</f>
        <v>61731</v>
      </c>
      <c r="F279" s="297">
        <f t="shared" si="82"/>
        <v>61731</v>
      </c>
      <c r="G279" s="297">
        <f t="shared" si="82"/>
        <v>61731</v>
      </c>
      <c r="H279" s="297"/>
      <c r="I279" s="297"/>
      <c r="J279" s="297"/>
      <c r="K279" s="297"/>
      <c r="L279" s="297"/>
      <c r="M279" s="297"/>
      <c r="N279" s="293"/>
      <c r="O279" s="297">
        <v>9.25</v>
      </c>
      <c r="P279" s="297">
        <v>9.25</v>
      </c>
      <c r="Q279" s="297">
        <v>9.25</v>
      </c>
      <c r="R279" s="297">
        <v>9.25</v>
      </c>
      <c r="S279" s="297"/>
      <c r="T279" s="297"/>
      <c r="U279" s="297"/>
      <c r="V279" s="297"/>
      <c r="W279" s="297"/>
      <c r="X279" s="297"/>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248</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83">AA279</f>
        <v>0</v>
      </c>
      <c r="AB280" s="413">
        <f t="shared" si="83"/>
        <v>0</v>
      </c>
      <c r="AC280" s="413">
        <f t="shared" si="83"/>
        <v>0</v>
      </c>
      <c r="AD280" s="413">
        <f t="shared" si="83"/>
        <v>0</v>
      </c>
      <c r="AE280" s="413">
        <f t="shared" si="83"/>
        <v>0</v>
      </c>
      <c r="AF280" s="413">
        <f t="shared" si="83"/>
        <v>0</v>
      </c>
      <c r="AG280" s="413">
        <f t="shared" si="83"/>
        <v>0</v>
      </c>
      <c r="AH280" s="413">
        <f t="shared" si="83"/>
        <v>0</v>
      </c>
      <c r="AI280" s="413">
        <f t="shared" si="83"/>
        <v>0</v>
      </c>
      <c r="AJ280" s="413">
        <f t="shared" si="83"/>
        <v>0</v>
      </c>
      <c r="AK280" s="413">
        <f t="shared" si="83"/>
        <v>0</v>
      </c>
      <c r="AL280" s="413">
        <f t="shared" si="83"/>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v>10713.76</v>
      </c>
      <c r="E282" s="297">
        <v>10713.76</v>
      </c>
      <c r="F282" s="297">
        <v>10713.76</v>
      </c>
      <c r="G282" s="297">
        <v>10713.76</v>
      </c>
      <c r="H282" s="297"/>
      <c r="I282" s="297"/>
      <c r="J282" s="297"/>
      <c r="K282" s="297"/>
      <c r="L282" s="297"/>
      <c r="M282" s="297"/>
      <c r="N282" s="293"/>
      <c r="O282" s="297">
        <v>6.01</v>
      </c>
      <c r="P282" s="297">
        <v>6.01</v>
      </c>
      <c r="Q282" s="297">
        <v>6.01</v>
      </c>
      <c r="R282" s="297">
        <v>6.01</v>
      </c>
      <c r="S282" s="297"/>
      <c r="T282" s="297"/>
      <c r="U282" s="297"/>
      <c r="V282" s="297"/>
      <c r="W282" s="297"/>
      <c r="X282" s="297"/>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248</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84">AA282</f>
        <v>0</v>
      </c>
      <c r="AB283" s="413">
        <f t="shared" si="84"/>
        <v>0</v>
      </c>
      <c r="AC283" s="413">
        <f t="shared" si="84"/>
        <v>0</v>
      </c>
      <c r="AD283" s="413">
        <f t="shared" si="84"/>
        <v>0</v>
      </c>
      <c r="AE283" s="413">
        <f t="shared" si="84"/>
        <v>0</v>
      </c>
      <c r="AF283" s="413">
        <f t="shared" si="84"/>
        <v>0</v>
      </c>
      <c r="AG283" s="413">
        <f t="shared" si="84"/>
        <v>0</v>
      </c>
      <c r="AH283" s="413">
        <f t="shared" si="84"/>
        <v>0</v>
      </c>
      <c r="AI283" s="413">
        <f t="shared" si="84"/>
        <v>0</v>
      </c>
      <c r="AJ283" s="413">
        <f t="shared" si="84"/>
        <v>0</v>
      </c>
      <c r="AK283" s="413">
        <f t="shared" si="84"/>
        <v>0</v>
      </c>
      <c r="AL283" s="413">
        <f t="shared" si="84"/>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v>398521</v>
      </c>
      <c r="E285" s="297">
        <v>398521</v>
      </c>
      <c r="F285" s="297">
        <v>398521</v>
      </c>
      <c r="G285" s="297">
        <v>398521</v>
      </c>
      <c r="H285" s="297"/>
      <c r="I285" s="297"/>
      <c r="J285" s="297"/>
      <c r="K285" s="297"/>
      <c r="L285" s="297"/>
      <c r="M285" s="297"/>
      <c r="N285" s="293"/>
      <c r="O285" s="297">
        <v>232</v>
      </c>
      <c r="P285" s="297">
        <v>232</v>
      </c>
      <c r="Q285" s="297">
        <v>232</v>
      </c>
      <c r="R285" s="297">
        <v>231.59</v>
      </c>
      <c r="S285" s="297"/>
      <c r="T285" s="297"/>
      <c r="U285" s="297"/>
      <c r="V285" s="297"/>
      <c r="W285" s="297"/>
      <c r="X285" s="297"/>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248</v>
      </c>
      <c r="C286" s="293" t="s">
        <v>164</v>
      </c>
      <c r="D286" s="297">
        <v>20448</v>
      </c>
      <c r="E286" s="297">
        <v>20448</v>
      </c>
      <c r="F286" s="297">
        <v>20448</v>
      </c>
      <c r="G286" s="297">
        <v>20448</v>
      </c>
      <c r="H286" s="297"/>
      <c r="I286" s="297"/>
      <c r="J286" s="297"/>
      <c r="K286" s="297"/>
      <c r="L286" s="297"/>
      <c r="M286" s="297"/>
      <c r="N286" s="470"/>
      <c r="O286" s="297">
        <v>12</v>
      </c>
      <c r="P286" s="297">
        <v>12</v>
      </c>
      <c r="Q286" s="297">
        <v>12</v>
      </c>
      <c r="R286" s="297">
        <v>11.78</v>
      </c>
      <c r="S286" s="297"/>
      <c r="T286" s="297"/>
      <c r="U286" s="297"/>
      <c r="V286" s="297"/>
      <c r="W286" s="297"/>
      <c r="X286" s="297"/>
      <c r="Y286" s="413">
        <f>Y285</f>
        <v>1</v>
      </c>
      <c r="Z286" s="413">
        <f>Z285</f>
        <v>0</v>
      </c>
      <c r="AA286" s="413">
        <f t="shared" ref="AA286:AL286" si="85">AA285</f>
        <v>0</v>
      </c>
      <c r="AB286" s="413">
        <f t="shared" si="85"/>
        <v>0</v>
      </c>
      <c r="AC286" s="413">
        <f t="shared" si="85"/>
        <v>0</v>
      </c>
      <c r="AD286" s="413">
        <f t="shared" si="85"/>
        <v>0</v>
      </c>
      <c r="AE286" s="413">
        <f t="shared" si="85"/>
        <v>0</v>
      </c>
      <c r="AF286" s="413">
        <f t="shared" si="85"/>
        <v>0</v>
      </c>
      <c r="AG286" s="413">
        <f t="shared" si="85"/>
        <v>0</v>
      </c>
      <c r="AH286" s="413">
        <f t="shared" si="85"/>
        <v>0</v>
      </c>
      <c r="AI286" s="413">
        <f t="shared" si="85"/>
        <v>0</v>
      </c>
      <c r="AJ286" s="413">
        <f t="shared" si="85"/>
        <v>0</v>
      </c>
      <c r="AK286" s="413">
        <f t="shared" si="85"/>
        <v>0</v>
      </c>
      <c r="AL286" s="413">
        <f t="shared" si="85"/>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v>66677.23</v>
      </c>
      <c r="E288" s="297">
        <v>66677.23</v>
      </c>
      <c r="F288" s="297">
        <v>64107.76</v>
      </c>
      <c r="G288" s="297">
        <v>54312.5</v>
      </c>
      <c r="H288" s="297"/>
      <c r="I288" s="297"/>
      <c r="J288" s="297"/>
      <c r="K288" s="297"/>
      <c r="L288" s="297"/>
      <c r="M288" s="297"/>
      <c r="N288" s="293"/>
      <c r="O288" s="297">
        <v>4.47</v>
      </c>
      <c r="P288" s="297">
        <v>4.47</v>
      </c>
      <c r="Q288" s="297">
        <v>4.3099999999999996</v>
      </c>
      <c r="R288" s="297">
        <v>3.69</v>
      </c>
      <c r="S288" s="297"/>
      <c r="T288" s="297"/>
      <c r="U288" s="297"/>
      <c r="V288" s="297"/>
      <c r="W288" s="297"/>
      <c r="X288" s="297"/>
      <c r="Y288" s="412">
        <v>1</v>
      </c>
      <c r="Z288" s="412"/>
      <c r="AA288" s="412"/>
      <c r="AB288" s="412"/>
      <c r="AC288" s="412"/>
      <c r="AD288" s="412"/>
      <c r="AE288" s="412"/>
      <c r="AF288" s="412"/>
      <c r="AG288" s="412"/>
      <c r="AH288" s="412"/>
      <c r="AI288" s="412"/>
      <c r="AJ288" s="412"/>
      <c r="AK288" s="412"/>
      <c r="AL288" s="412"/>
      <c r="AM288" s="298">
        <f>SUM(Y288:AL288)</f>
        <v>1</v>
      </c>
    </row>
    <row r="289" spans="1:39" ht="15" outlineLevel="1">
      <c r="B289" s="296" t="s">
        <v>248</v>
      </c>
      <c r="C289" s="293" t="s">
        <v>164</v>
      </c>
      <c r="D289" s="297">
        <v>204</v>
      </c>
      <c r="E289" s="297">
        <v>204</v>
      </c>
      <c r="F289" s="297">
        <v>194</v>
      </c>
      <c r="G289" s="297">
        <v>168</v>
      </c>
      <c r="H289" s="297"/>
      <c r="I289" s="297"/>
      <c r="J289" s="297"/>
      <c r="K289" s="297"/>
      <c r="L289" s="297"/>
      <c r="M289" s="297"/>
      <c r="N289" s="470"/>
      <c r="O289" s="297">
        <v>0</v>
      </c>
      <c r="P289" s="297">
        <v>0</v>
      </c>
      <c r="Q289" s="297">
        <v>0</v>
      </c>
      <c r="R289" s="297">
        <v>0</v>
      </c>
      <c r="S289" s="297"/>
      <c r="T289" s="297"/>
      <c r="U289" s="297"/>
      <c r="V289" s="297"/>
      <c r="W289" s="297"/>
      <c r="X289" s="297"/>
      <c r="Y289" s="413">
        <f>Y288</f>
        <v>1</v>
      </c>
      <c r="Z289" s="413">
        <f>Z288</f>
        <v>0</v>
      </c>
      <c r="AA289" s="413">
        <f t="shared" ref="AA289:AL289" si="86">AA288</f>
        <v>0</v>
      </c>
      <c r="AB289" s="413">
        <f t="shared" si="86"/>
        <v>0</v>
      </c>
      <c r="AC289" s="413">
        <f t="shared" si="86"/>
        <v>0</v>
      </c>
      <c r="AD289" s="413">
        <f t="shared" si="86"/>
        <v>0</v>
      </c>
      <c r="AE289" s="413">
        <f t="shared" si="86"/>
        <v>0</v>
      </c>
      <c r="AF289" s="413">
        <f t="shared" si="86"/>
        <v>0</v>
      </c>
      <c r="AG289" s="413">
        <f t="shared" si="86"/>
        <v>0</v>
      </c>
      <c r="AH289" s="413">
        <f t="shared" si="86"/>
        <v>0</v>
      </c>
      <c r="AI289" s="413">
        <f t="shared" si="86"/>
        <v>0</v>
      </c>
      <c r="AJ289" s="413">
        <f t="shared" si="86"/>
        <v>0</v>
      </c>
      <c r="AK289" s="413">
        <f t="shared" si="86"/>
        <v>0</v>
      </c>
      <c r="AL289" s="413">
        <f t="shared" si="86"/>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v>148620.6</v>
      </c>
      <c r="E291" s="297">
        <v>148620.6</v>
      </c>
      <c r="F291" s="297">
        <v>139665.85</v>
      </c>
      <c r="G291" s="297">
        <v>109105.57</v>
      </c>
      <c r="H291" s="297"/>
      <c r="I291" s="297"/>
      <c r="J291" s="297"/>
      <c r="K291" s="297"/>
      <c r="L291" s="297"/>
      <c r="M291" s="297"/>
      <c r="N291" s="293"/>
      <c r="O291" s="297">
        <v>10.24</v>
      </c>
      <c r="P291" s="297">
        <v>10.24</v>
      </c>
      <c r="Q291" s="297">
        <v>9.68</v>
      </c>
      <c r="R291" s="297">
        <v>7.76</v>
      </c>
      <c r="S291" s="297"/>
      <c r="T291" s="297"/>
      <c r="U291" s="297"/>
      <c r="V291" s="297"/>
      <c r="W291" s="297"/>
      <c r="X291" s="297"/>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248</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7">AA291</f>
        <v>0</v>
      </c>
      <c r="AB292" s="413">
        <f t="shared" si="87"/>
        <v>0</v>
      </c>
      <c r="AC292" s="413">
        <f t="shared" si="87"/>
        <v>0</v>
      </c>
      <c r="AD292" s="413">
        <f t="shared" si="87"/>
        <v>0</v>
      </c>
      <c r="AE292" s="413">
        <f t="shared" si="87"/>
        <v>0</v>
      </c>
      <c r="AF292" s="413">
        <f t="shared" si="87"/>
        <v>0</v>
      </c>
      <c r="AG292" s="413">
        <f t="shared" si="87"/>
        <v>0</v>
      </c>
      <c r="AH292" s="413">
        <f t="shared" si="87"/>
        <v>0</v>
      </c>
      <c r="AI292" s="413">
        <f t="shared" si="87"/>
        <v>0</v>
      </c>
      <c r="AJ292" s="413">
        <f t="shared" si="87"/>
        <v>0</v>
      </c>
      <c r="AK292" s="413">
        <f t="shared" si="87"/>
        <v>0</v>
      </c>
      <c r="AL292" s="413">
        <f t="shared" si="87"/>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248</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8">AA294</f>
        <v>0</v>
      </c>
      <c r="AB295" s="413">
        <f t="shared" si="88"/>
        <v>0</v>
      </c>
      <c r="AC295" s="413">
        <f t="shared" si="88"/>
        <v>0</v>
      </c>
      <c r="AD295" s="413">
        <f t="shared" si="88"/>
        <v>0</v>
      </c>
      <c r="AE295" s="413">
        <f t="shared" si="88"/>
        <v>0</v>
      </c>
      <c r="AF295" s="413">
        <f t="shared" si="88"/>
        <v>0</v>
      </c>
      <c r="AG295" s="413">
        <f t="shared" si="88"/>
        <v>0</v>
      </c>
      <c r="AH295" s="413">
        <f t="shared" si="88"/>
        <v>0</v>
      </c>
      <c r="AI295" s="413">
        <f t="shared" si="88"/>
        <v>0</v>
      </c>
      <c r="AJ295" s="413">
        <f t="shared" si="88"/>
        <v>0</v>
      </c>
      <c r="AK295" s="413">
        <f t="shared" si="88"/>
        <v>0</v>
      </c>
      <c r="AL295" s="413">
        <f t="shared" si="88"/>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v>1001</v>
      </c>
      <c r="E297" s="297">
        <v>0</v>
      </c>
      <c r="F297" s="297">
        <v>0</v>
      </c>
      <c r="G297" s="297">
        <v>0</v>
      </c>
      <c r="H297" s="297"/>
      <c r="I297" s="297"/>
      <c r="J297" s="297"/>
      <c r="K297" s="297"/>
      <c r="L297" s="297"/>
      <c r="M297" s="297"/>
      <c r="N297" s="293"/>
      <c r="O297" s="297">
        <v>1390</v>
      </c>
      <c r="P297" s="297">
        <v>0</v>
      </c>
      <c r="Q297" s="297">
        <v>0</v>
      </c>
      <c r="R297" s="297">
        <v>0</v>
      </c>
      <c r="S297" s="297"/>
      <c r="T297" s="297"/>
      <c r="U297" s="297"/>
      <c r="V297" s="297"/>
      <c r="W297" s="297"/>
      <c r="X297" s="297"/>
      <c r="Y297" s="412">
        <v>0</v>
      </c>
      <c r="Z297" s="412"/>
      <c r="AA297" s="412"/>
      <c r="AB297" s="412"/>
      <c r="AC297" s="412"/>
      <c r="AD297" s="412"/>
      <c r="AE297" s="412"/>
      <c r="AF297" s="412"/>
      <c r="AG297" s="412"/>
      <c r="AH297" s="412"/>
      <c r="AI297" s="412"/>
      <c r="AJ297" s="412"/>
      <c r="AK297" s="412"/>
      <c r="AL297" s="412"/>
      <c r="AM297" s="298">
        <f>SUM(Y297:AL297)</f>
        <v>0</v>
      </c>
    </row>
    <row r="298" spans="1:39" ht="15" outlineLevel="1">
      <c r="B298" s="296" t="s">
        <v>248</v>
      </c>
      <c r="C298" s="293" t="s">
        <v>164</v>
      </c>
      <c r="D298" s="297"/>
      <c r="E298" s="297">
        <v>0</v>
      </c>
      <c r="F298" s="297"/>
      <c r="G298" s="297"/>
      <c r="H298" s="297"/>
      <c r="I298" s="297"/>
      <c r="J298" s="297"/>
      <c r="K298" s="297"/>
      <c r="L298" s="297"/>
      <c r="M298" s="297"/>
      <c r="N298" s="293"/>
      <c r="O298" s="297"/>
      <c r="P298" s="297">
        <v>1259</v>
      </c>
      <c r="Q298" s="297"/>
      <c r="R298" s="297"/>
      <c r="S298" s="297"/>
      <c r="T298" s="297"/>
      <c r="U298" s="297"/>
      <c r="V298" s="297"/>
      <c r="W298" s="297"/>
      <c r="X298" s="297"/>
      <c r="Y298" s="413">
        <f>Y297</f>
        <v>0</v>
      </c>
      <c r="Z298" s="413">
        <f>Z297</f>
        <v>0</v>
      </c>
      <c r="AA298" s="413">
        <f t="shared" ref="AA298:AL298" si="89">AA297</f>
        <v>0</v>
      </c>
      <c r="AB298" s="413">
        <f t="shared" si="89"/>
        <v>0</v>
      </c>
      <c r="AC298" s="413">
        <f t="shared" si="89"/>
        <v>0</v>
      </c>
      <c r="AD298" s="413">
        <f t="shared" si="89"/>
        <v>0</v>
      </c>
      <c r="AE298" s="413">
        <f t="shared" si="89"/>
        <v>0</v>
      </c>
      <c r="AF298" s="413">
        <f t="shared" si="89"/>
        <v>0</v>
      </c>
      <c r="AG298" s="413">
        <f t="shared" si="89"/>
        <v>0</v>
      </c>
      <c r="AH298" s="413">
        <f t="shared" si="89"/>
        <v>0</v>
      </c>
      <c r="AI298" s="413">
        <f t="shared" si="89"/>
        <v>0</v>
      </c>
      <c r="AJ298" s="413">
        <f t="shared" si="89"/>
        <v>0</v>
      </c>
      <c r="AK298" s="413">
        <f t="shared" si="89"/>
        <v>0</v>
      </c>
      <c r="AL298" s="413">
        <f t="shared" si="89"/>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480</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248</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90">AA300</f>
        <v>0</v>
      </c>
      <c r="AB301" s="413">
        <f t="shared" si="90"/>
        <v>0</v>
      </c>
      <c r="AC301" s="413">
        <f t="shared" si="90"/>
        <v>0</v>
      </c>
      <c r="AD301" s="413">
        <f t="shared" si="90"/>
        <v>0</v>
      </c>
      <c r="AE301" s="413">
        <f t="shared" si="90"/>
        <v>0</v>
      </c>
      <c r="AF301" s="413">
        <f t="shared" si="90"/>
        <v>0</v>
      </c>
      <c r="AG301" s="413">
        <f t="shared" si="90"/>
        <v>0</v>
      </c>
      <c r="AH301" s="413">
        <f t="shared" si="90"/>
        <v>0</v>
      </c>
      <c r="AI301" s="413">
        <f t="shared" si="90"/>
        <v>0</v>
      </c>
      <c r="AJ301" s="413">
        <f t="shared" si="90"/>
        <v>0</v>
      </c>
      <c r="AK301" s="413">
        <f t="shared" si="90"/>
        <v>0</v>
      </c>
      <c r="AL301" s="413">
        <f t="shared" si="90"/>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v>1</v>
      </c>
      <c r="Z303" s="412"/>
      <c r="AA303" s="412"/>
      <c r="AB303" s="412"/>
      <c r="AC303" s="412"/>
      <c r="AD303" s="412"/>
      <c r="AE303" s="412"/>
      <c r="AF303" s="412"/>
      <c r="AG303" s="412"/>
      <c r="AH303" s="412"/>
      <c r="AI303" s="412"/>
      <c r="AJ303" s="412"/>
      <c r="AK303" s="412"/>
      <c r="AL303" s="412"/>
      <c r="AM303" s="298">
        <f>SUM(Y303:AL303)</f>
        <v>1</v>
      </c>
    </row>
    <row r="304" spans="1:39" ht="15" outlineLevel="1">
      <c r="B304" s="296" t="s">
        <v>248</v>
      </c>
      <c r="C304" s="293" t="s">
        <v>164</v>
      </c>
      <c r="D304" s="297">
        <v>20661</v>
      </c>
      <c r="E304" s="297">
        <v>20661</v>
      </c>
      <c r="F304" s="297">
        <v>20661</v>
      </c>
      <c r="G304" s="297">
        <v>20661</v>
      </c>
      <c r="H304" s="297"/>
      <c r="I304" s="297"/>
      <c r="J304" s="297"/>
      <c r="K304" s="297"/>
      <c r="L304" s="297"/>
      <c r="M304" s="297"/>
      <c r="N304" s="293"/>
      <c r="O304" s="297">
        <v>1</v>
      </c>
      <c r="P304" s="297">
        <v>1</v>
      </c>
      <c r="Q304" s="297">
        <v>1</v>
      </c>
      <c r="R304" s="297">
        <v>1.35</v>
      </c>
      <c r="S304" s="297"/>
      <c r="T304" s="297"/>
      <c r="U304" s="297"/>
      <c r="V304" s="297"/>
      <c r="W304" s="297"/>
      <c r="X304" s="297"/>
      <c r="Y304" s="413">
        <f>Y303</f>
        <v>1</v>
      </c>
      <c r="Z304" s="413">
        <f>Z303</f>
        <v>0</v>
      </c>
      <c r="AA304" s="413">
        <f t="shared" ref="AA304:AL304" si="91">AA303</f>
        <v>0</v>
      </c>
      <c r="AB304" s="413">
        <f t="shared" si="91"/>
        <v>0</v>
      </c>
      <c r="AC304" s="413">
        <f t="shared" si="91"/>
        <v>0</v>
      </c>
      <c r="AD304" s="413">
        <f t="shared" si="91"/>
        <v>0</v>
      </c>
      <c r="AE304" s="413">
        <f t="shared" si="91"/>
        <v>0</v>
      </c>
      <c r="AF304" s="413">
        <f t="shared" si="91"/>
        <v>0</v>
      </c>
      <c r="AG304" s="413">
        <f t="shared" si="91"/>
        <v>0</v>
      </c>
      <c r="AH304" s="413">
        <f t="shared" si="91"/>
        <v>0</v>
      </c>
      <c r="AI304" s="413">
        <f t="shared" si="91"/>
        <v>0</v>
      </c>
      <c r="AJ304" s="413">
        <f t="shared" si="91"/>
        <v>0</v>
      </c>
      <c r="AK304" s="413">
        <f t="shared" si="91"/>
        <v>0</v>
      </c>
      <c r="AL304" s="413">
        <f t="shared" si="91"/>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v>1648280</v>
      </c>
      <c r="E307" s="297">
        <v>1647989</v>
      </c>
      <c r="F307" s="297">
        <v>1647989</v>
      </c>
      <c r="G307" s="297">
        <v>1647989</v>
      </c>
      <c r="H307" s="297"/>
      <c r="I307" s="297"/>
      <c r="J307" s="297"/>
      <c r="K307" s="297"/>
      <c r="L307" s="297"/>
      <c r="M307" s="297"/>
      <c r="N307" s="297">
        <v>12</v>
      </c>
      <c r="O307" s="297">
        <v>279</v>
      </c>
      <c r="P307" s="297">
        <v>279</v>
      </c>
      <c r="Q307" s="297">
        <v>279</v>
      </c>
      <c r="R307" s="297">
        <v>278.67</v>
      </c>
      <c r="S307" s="297"/>
      <c r="T307" s="297"/>
      <c r="U307" s="297"/>
      <c r="V307" s="297"/>
      <c r="W307" s="297"/>
      <c r="X307" s="297"/>
      <c r="Y307" s="417"/>
      <c r="Z307" s="505"/>
      <c r="AA307" s="505">
        <v>1</v>
      </c>
      <c r="AB307" s="505"/>
      <c r="AC307" s="417"/>
      <c r="AD307" s="417"/>
      <c r="AE307" s="417"/>
      <c r="AF307" s="417"/>
      <c r="AG307" s="417"/>
      <c r="AH307" s="417"/>
      <c r="AI307" s="417"/>
      <c r="AJ307" s="417"/>
      <c r="AK307" s="417"/>
      <c r="AL307" s="417"/>
      <c r="AM307" s="298">
        <f>SUM(Y307:AL307)</f>
        <v>1</v>
      </c>
    </row>
    <row r="308" spans="1:39" ht="15" outlineLevel="1">
      <c r="B308" s="296" t="s">
        <v>248</v>
      </c>
      <c r="C308" s="293" t="s">
        <v>164</v>
      </c>
      <c r="D308" s="297">
        <v>298471</v>
      </c>
      <c r="E308" s="297">
        <v>290890</v>
      </c>
      <c r="F308" s="297">
        <v>290640</v>
      </c>
      <c r="G308" s="297">
        <v>290640</v>
      </c>
      <c r="H308" s="297"/>
      <c r="I308" s="297"/>
      <c r="J308" s="297"/>
      <c r="K308" s="297"/>
      <c r="L308" s="297"/>
      <c r="M308" s="297"/>
      <c r="N308" s="297">
        <f>N307</f>
        <v>12</v>
      </c>
      <c r="O308" s="297">
        <v>101</v>
      </c>
      <c r="P308" s="297">
        <v>99</v>
      </c>
      <c r="Q308" s="297">
        <v>99</v>
      </c>
      <c r="R308" s="297">
        <v>98.85</v>
      </c>
      <c r="S308" s="297"/>
      <c r="T308" s="297"/>
      <c r="U308" s="297"/>
      <c r="V308" s="297"/>
      <c r="W308" s="297"/>
      <c r="X308" s="297"/>
      <c r="Y308" s="413">
        <f>Y307</f>
        <v>0</v>
      </c>
      <c r="Z308" s="413">
        <f>Z307</f>
        <v>0</v>
      </c>
      <c r="AA308" s="413">
        <f t="shared" ref="AA308:AL308" si="92">AA307</f>
        <v>1</v>
      </c>
      <c r="AB308" s="413">
        <f t="shared" si="92"/>
        <v>0</v>
      </c>
      <c r="AC308" s="413">
        <f t="shared" si="92"/>
        <v>0</v>
      </c>
      <c r="AD308" s="413">
        <f t="shared" si="92"/>
        <v>0</v>
      </c>
      <c r="AE308" s="413">
        <f t="shared" si="92"/>
        <v>0</v>
      </c>
      <c r="AF308" s="413">
        <f t="shared" si="92"/>
        <v>0</v>
      </c>
      <c r="AG308" s="413">
        <f t="shared" si="92"/>
        <v>0</v>
      </c>
      <c r="AH308" s="413">
        <f t="shared" si="92"/>
        <v>0</v>
      </c>
      <c r="AI308" s="413">
        <f t="shared" si="92"/>
        <v>0</v>
      </c>
      <c r="AJ308" s="413">
        <f t="shared" si="92"/>
        <v>0</v>
      </c>
      <c r="AK308" s="413">
        <f t="shared" si="92"/>
        <v>0</v>
      </c>
      <c r="AL308" s="413">
        <f t="shared" si="92"/>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v>129288.8</v>
      </c>
      <c r="E310" s="297">
        <v>129288.8</v>
      </c>
      <c r="F310" s="297">
        <v>127120.74</v>
      </c>
      <c r="G310" s="297">
        <v>109679.57</v>
      </c>
      <c r="H310" s="297"/>
      <c r="I310" s="297"/>
      <c r="J310" s="297"/>
      <c r="K310" s="297"/>
      <c r="L310" s="297"/>
      <c r="M310" s="297"/>
      <c r="N310" s="297">
        <v>12</v>
      </c>
      <c r="O310" s="297">
        <v>36.76</v>
      </c>
      <c r="P310" s="297">
        <v>36.76</v>
      </c>
      <c r="Q310" s="297">
        <v>36.159999999999997</v>
      </c>
      <c r="R310" s="297">
        <v>31.85</v>
      </c>
      <c r="S310" s="297"/>
      <c r="T310" s="297"/>
      <c r="U310" s="297"/>
      <c r="V310" s="297"/>
      <c r="W310" s="297"/>
      <c r="X310" s="297"/>
      <c r="Y310" s="417"/>
      <c r="Z310" s="505">
        <v>1</v>
      </c>
      <c r="AA310" s="417"/>
      <c r="AB310" s="417"/>
      <c r="AC310" s="417"/>
      <c r="AD310" s="417"/>
      <c r="AE310" s="417"/>
      <c r="AF310" s="417"/>
      <c r="AG310" s="417"/>
      <c r="AH310" s="417"/>
      <c r="AI310" s="417"/>
      <c r="AJ310" s="417"/>
      <c r="AK310" s="417"/>
      <c r="AL310" s="417"/>
      <c r="AM310" s="298">
        <f>SUM(Y310:AL310)</f>
        <v>1</v>
      </c>
    </row>
    <row r="311" spans="1:39" ht="15" outlineLevel="1">
      <c r="B311" s="296" t="s">
        <v>248</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93">AA310</f>
        <v>0</v>
      </c>
      <c r="AB311" s="413">
        <f t="shared" si="93"/>
        <v>0</v>
      </c>
      <c r="AC311" s="413">
        <f t="shared" si="93"/>
        <v>0</v>
      </c>
      <c r="AD311" s="413">
        <f t="shared" si="93"/>
        <v>0</v>
      </c>
      <c r="AE311" s="413">
        <f t="shared" si="93"/>
        <v>0</v>
      </c>
      <c r="AF311" s="413">
        <f t="shared" si="93"/>
        <v>0</v>
      </c>
      <c r="AG311" s="413">
        <f t="shared" si="93"/>
        <v>0</v>
      </c>
      <c r="AH311" s="413">
        <f t="shared" si="93"/>
        <v>0</v>
      </c>
      <c r="AI311" s="413">
        <f t="shared" si="93"/>
        <v>0</v>
      </c>
      <c r="AJ311" s="413">
        <f t="shared" si="93"/>
        <v>0</v>
      </c>
      <c r="AK311" s="413">
        <f t="shared" si="93"/>
        <v>0</v>
      </c>
      <c r="AL311" s="413">
        <f t="shared" si="93"/>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248</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94">AA313</f>
        <v>0</v>
      </c>
      <c r="AB314" s="413">
        <f t="shared" si="94"/>
        <v>0</v>
      </c>
      <c r="AC314" s="413">
        <f t="shared" si="94"/>
        <v>0</v>
      </c>
      <c r="AD314" s="413">
        <f t="shared" si="94"/>
        <v>0</v>
      </c>
      <c r="AE314" s="413">
        <f t="shared" si="94"/>
        <v>0</v>
      </c>
      <c r="AF314" s="413">
        <f t="shared" si="94"/>
        <v>0</v>
      </c>
      <c r="AG314" s="413">
        <f t="shared" si="94"/>
        <v>0</v>
      </c>
      <c r="AH314" s="413">
        <f t="shared" si="94"/>
        <v>0</v>
      </c>
      <c r="AI314" s="413">
        <f t="shared" si="94"/>
        <v>0</v>
      </c>
      <c r="AJ314" s="413">
        <f t="shared" si="94"/>
        <v>0</v>
      </c>
      <c r="AK314" s="413">
        <f t="shared" si="94"/>
        <v>0</v>
      </c>
      <c r="AL314" s="413">
        <f t="shared" si="94"/>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v>1</v>
      </c>
      <c r="AB316" s="417"/>
      <c r="AC316" s="417"/>
      <c r="AD316" s="417"/>
      <c r="AE316" s="417"/>
      <c r="AF316" s="417"/>
      <c r="AG316" s="417"/>
      <c r="AH316" s="417"/>
      <c r="AI316" s="417"/>
      <c r="AJ316" s="417"/>
      <c r="AK316" s="417"/>
      <c r="AL316" s="417"/>
      <c r="AM316" s="298">
        <f>SUM(Y316:AL316)</f>
        <v>1</v>
      </c>
    </row>
    <row r="317" spans="1:39" ht="15" outlineLevel="1">
      <c r="B317" s="296" t="s">
        <v>248</v>
      </c>
      <c r="C317" s="293" t="s">
        <v>164</v>
      </c>
      <c r="D317" s="297">
        <v>10663</v>
      </c>
      <c r="E317" s="297">
        <v>10663</v>
      </c>
      <c r="F317" s="297">
        <v>10663</v>
      </c>
      <c r="G317" s="297">
        <v>10663</v>
      </c>
      <c r="H317" s="297"/>
      <c r="I317" s="297"/>
      <c r="J317" s="297"/>
      <c r="K317" s="297"/>
      <c r="L317" s="297"/>
      <c r="M317" s="297"/>
      <c r="N317" s="297">
        <f>N316</f>
        <v>12</v>
      </c>
      <c r="O317" s="297">
        <v>1.33</v>
      </c>
      <c r="P317" s="297">
        <v>1.33</v>
      </c>
      <c r="Q317" s="297">
        <v>1.33</v>
      </c>
      <c r="R317" s="297">
        <v>1.33</v>
      </c>
      <c r="S317" s="297"/>
      <c r="T317" s="297"/>
      <c r="U317" s="297"/>
      <c r="V317" s="297"/>
      <c r="W317" s="297"/>
      <c r="X317" s="297"/>
      <c r="Y317" s="413">
        <f>Y316</f>
        <v>0</v>
      </c>
      <c r="Z317" s="413">
        <f>Z316</f>
        <v>0</v>
      </c>
      <c r="AA317" s="413">
        <f t="shared" ref="AA317:AL317" si="95">AA316</f>
        <v>1</v>
      </c>
      <c r="AB317" s="413">
        <f t="shared" si="95"/>
        <v>0</v>
      </c>
      <c r="AC317" s="413">
        <f t="shared" si="95"/>
        <v>0</v>
      </c>
      <c r="AD317" s="413">
        <f t="shared" si="95"/>
        <v>0</v>
      </c>
      <c r="AE317" s="413">
        <f t="shared" si="95"/>
        <v>0</v>
      </c>
      <c r="AF317" s="413">
        <f t="shared" si="95"/>
        <v>0</v>
      </c>
      <c r="AG317" s="413">
        <f t="shared" si="95"/>
        <v>0</v>
      </c>
      <c r="AH317" s="413">
        <f t="shared" si="95"/>
        <v>0</v>
      </c>
      <c r="AI317" s="413">
        <f t="shared" si="95"/>
        <v>0</v>
      </c>
      <c r="AJ317" s="413">
        <f t="shared" si="95"/>
        <v>0</v>
      </c>
      <c r="AK317" s="413">
        <f t="shared" si="95"/>
        <v>0</v>
      </c>
      <c r="AL317" s="413">
        <f t="shared" si="95"/>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17"/>
      <c r="Z319" s="417"/>
      <c r="AA319" s="505"/>
      <c r="AB319" s="417"/>
      <c r="AC319" s="417"/>
      <c r="AD319" s="417"/>
      <c r="AE319" s="417"/>
      <c r="AF319" s="417"/>
      <c r="AG319" s="417"/>
      <c r="AH319" s="417"/>
      <c r="AI319" s="417"/>
      <c r="AJ319" s="417"/>
      <c r="AK319" s="417"/>
      <c r="AL319" s="417"/>
      <c r="AM319" s="298">
        <f>SUM(Y319:AL319)</f>
        <v>0</v>
      </c>
    </row>
    <row r="320" spans="1:39" ht="15" outlineLevel="1">
      <c r="B320" s="296" t="s">
        <v>248</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6">AA319</f>
        <v>0</v>
      </c>
      <c r="AB320" s="413">
        <f t="shared" si="96"/>
        <v>0</v>
      </c>
      <c r="AC320" s="413">
        <f t="shared" si="96"/>
        <v>0</v>
      </c>
      <c r="AD320" s="413">
        <f t="shared" si="96"/>
        <v>0</v>
      </c>
      <c r="AE320" s="413">
        <f t="shared" si="96"/>
        <v>0</v>
      </c>
      <c r="AF320" s="413">
        <f t="shared" si="96"/>
        <v>0</v>
      </c>
      <c r="AG320" s="413">
        <f t="shared" si="96"/>
        <v>0</v>
      </c>
      <c r="AH320" s="413">
        <f t="shared" si="96"/>
        <v>0</v>
      </c>
      <c r="AI320" s="413">
        <f t="shared" si="96"/>
        <v>0</v>
      </c>
      <c r="AJ320" s="413">
        <f t="shared" si="96"/>
        <v>0</v>
      </c>
      <c r="AK320" s="413">
        <f t="shared" si="96"/>
        <v>0</v>
      </c>
      <c r="AL320" s="413">
        <f t="shared" si="96"/>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30" outlineLevel="1">
      <c r="A322" s="511">
        <v>15</v>
      </c>
      <c r="B322" s="316" t="s">
        <v>481</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248</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7">AA322</f>
        <v>0</v>
      </c>
      <c r="AB323" s="413">
        <f t="shared" si="97"/>
        <v>0</v>
      </c>
      <c r="AC323" s="413">
        <f t="shared" si="97"/>
        <v>0</v>
      </c>
      <c r="AD323" s="413">
        <f t="shared" si="97"/>
        <v>0</v>
      </c>
      <c r="AE323" s="413">
        <f t="shared" si="97"/>
        <v>0</v>
      </c>
      <c r="AF323" s="413">
        <f t="shared" si="97"/>
        <v>0</v>
      </c>
      <c r="AG323" s="413">
        <f t="shared" si="97"/>
        <v>0</v>
      </c>
      <c r="AH323" s="413">
        <f t="shared" si="97"/>
        <v>0</v>
      </c>
      <c r="AI323" s="413">
        <f t="shared" si="97"/>
        <v>0</v>
      </c>
      <c r="AJ323" s="413">
        <f t="shared" si="97"/>
        <v>0</v>
      </c>
      <c r="AK323" s="413">
        <f t="shared" si="97"/>
        <v>0</v>
      </c>
      <c r="AL323" s="413">
        <f t="shared" si="97"/>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482</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248</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8">AA325</f>
        <v>0</v>
      </c>
      <c r="AB326" s="413">
        <f t="shared" si="98"/>
        <v>0</v>
      </c>
      <c r="AC326" s="413">
        <f t="shared" si="98"/>
        <v>0</v>
      </c>
      <c r="AD326" s="413">
        <f t="shared" si="98"/>
        <v>0</v>
      </c>
      <c r="AE326" s="413">
        <f t="shared" si="98"/>
        <v>0</v>
      </c>
      <c r="AF326" s="413">
        <f t="shared" si="98"/>
        <v>0</v>
      </c>
      <c r="AG326" s="413">
        <f t="shared" si="98"/>
        <v>0</v>
      </c>
      <c r="AH326" s="413">
        <f t="shared" si="98"/>
        <v>0</v>
      </c>
      <c r="AI326" s="413">
        <f t="shared" si="98"/>
        <v>0</v>
      </c>
      <c r="AJ326" s="413">
        <f t="shared" si="98"/>
        <v>0</v>
      </c>
      <c r="AK326" s="413">
        <f t="shared" si="98"/>
        <v>0</v>
      </c>
      <c r="AL326" s="413">
        <f t="shared" si="98"/>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v>1473.11</v>
      </c>
      <c r="E328" s="297"/>
      <c r="F328" s="297"/>
      <c r="G328" s="297"/>
      <c r="H328" s="297"/>
      <c r="I328" s="297"/>
      <c r="J328" s="297"/>
      <c r="K328" s="297"/>
      <c r="L328" s="297"/>
      <c r="M328" s="297"/>
      <c r="N328" s="293"/>
      <c r="O328" s="297">
        <v>110.32</v>
      </c>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248</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9">AA328</f>
        <v>0</v>
      </c>
      <c r="AB329" s="413">
        <f t="shared" si="99"/>
        <v>0</v>
      </c>
      <c r="AC329" s="413">
        <f t="shared" si="99"/>
        <v>0</v>
      </c>
      <c r="AD329" s="413">
        <f t="shared" si="99"/>
        <v>0</v>
      </c>
      <c r="AE329" s="413">
        <f t="shared" si="99"/>
        <v>0</v>
      </c>
      <c r="AF329" s="413">
        <f t="shared" si="99"/>
        <v>0</v>
      </c>
      <c r="AG329" s="413">
        <f t="shared" si="99"/>
        <v>0</v>
      </c>
      <c r="AH329" s="413">
        <f t="shared" si="99"/>
        <v>0</v>
      </c>
      <c r="AI329" s="413">
        <f t="shared" si="99"/>
        <v>0</v>
      </c>
      <c r="AJ329" s="413">
        <f t="shared" si="99"/>
        <v>0</v>
      </c>
      <c r="AK329" s="413">
        <f t="shared" si="99"/>
        <v>0</v>
      </c>
      <c r="AL329" s="413">
        <f t="shared" si="99"/>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248</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100">AA332</f>
        <v>0</v>
      </c>
      <c r="AB333" s="413">
        <f t="shared" si="100"/>
        <v>0</v>
      </c>
      <c r="AC333" s="413">
        <f t="shared" si="100"/>
        <v>0</v>
      </c>
      <c r="AD333" s="413">
        <f t="shared" si="100"/>
        <v>0</v>
      </c>
      <c r="AE333" s="413">
        <f t="shared" si="100"/>
        <v>0</v>
      </c>
      <c r="AF333" s="413">
        <f t="shared" si="100"/>
        <v>0</v>
      </c>
      <c r="AG333" s="413">
        <f t="shared" si="100"/>
        <v>0</v>
      </c>
      <c r="AH333" s="413">
        <f t="shared" si="100"/>
        <v>0</v>
      </c>
      <c r="AI333" s="413">
        <f t="shared" si="100"/>
        <v>0</v>
      </c>
      <c r="AJ333" s="413">
        <f t="shared" si="100"/>
        <v>0</v>
      </c>
      <c r="AK333" s="413">
        <f t="shared" si="100"/>
        <v>0</v>
      </c>
      <c r="AL333" s="413">
        <f t="shared" si="100"/>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v>1</v>
      </c>
      <c r="AB335" s="417"/>
      <c r="AC335" s="417"/>
      <c r="AD335" s="417"/>
      <c r="AE335" s="417"/>
      <c r="AF335" s="417"/>
      <c r="AG335" s="417"/>
      <c r="AH335" s="417"/>
      <c r="AI335" s="417"/>
      <c r="AJ335" s="417"/>
      <c r="AK335" s="417"/>
      <c r="AL335" s="417"/>
      <c r="AM335" s="298">
        <f>SUM(Y335:AL335)</f>
        <v>1</v>
      </c>
    </row>
    <row r="336" spans="1:39" ht="15" outlineLevel="1">
      <c r="B336" s="296" t="s">
        <v>248</v>
      </c>
      <c r="C336" s="293" t="s">
        <v>164</v>
      </c>
      <c r="D336" s="297">
        <v>148348</v>
      </c>
      <c r="E336" s="297">
        <v>148348</v>
      </c>
      <c r="F336" s="297">
        <v>148348</v>
      </c>
      <c r="G336" s="297">
        <v>148348</v>
      </c>
      <c r="H336" s="297"/>
      <c r="I336" s="297"/>
      <c r="J336" s="297"/>
      <c r="K336" s="297"/>
      <c r="L336" s="297"/>
      <c r="M336" s="297"/>
      <c r="N336" s="297">
        <f>N335</f>
        <v>12</v>
      </c>
      <c r="O336" s="297">
        <v>54.26</v>
      </c>
      <c r="P336" s="297">
        <v>54.26</v>
      </c>
      <c r="Q336" s="297">
        <v>54.26</v>
      </c>
      <c r="R336" s="297">
        <v>54.26</v>
      </c>
      <c r="S336" s="297"/>
      <c r="T336" s="297"/>
      <c r="U336" s="297"/>
      <c r="V336" s="297"/>
      <c r="W336" s="297"/>
      <c r="X336" s="297"/>
      <c r="Y336" s="413">
        <f>Y335</f>
        <v>0</v>
      </c>
      <c r="Z336" s="413">
        <f>Z335</f>
        <v>0</v>
      </c>
      <c r="AA336" s="413">
        <f t="shared" ref="AA336:AL336" si="101">AA335</f>
        <v>1</v>
      </c>
      <c r="AB336" s="413">
        <f t="shared" si="101"/>
        <v>0</v>
      </c>
      <c r="AC336" s="413">
        <f t="shared" si="101"/>
        <v>0</v>
      </c>
      <c r="AD336" s="413">
        <f t="shared" si="101"/>
        <v>0</v>
      </c>
      <c r="AE336" s="413">
        <f t="shared" si="101"/>
        <v>0</v>
      </c>
      <c r="AF336" s="413">
        <f t="shared" si="101"/>
        <v>0</v>
      </c>
      <c r="AG336" s="413">
        <f t="shared" si="101"/>
        <v>0</v>
      </c>
      <c r="AH336" s="413">
        <f t="shared" si="101"/>
        <v>0</v>
      </c>
      <c r="AI336" s="413">
        <f t="shared" si="101"/>
        <v>0</v>
      </c>
      <c r="AJ336" s="413">
        <f t="shared" si="101"/>
        <v>0</v>
      </c>
      <c r="AK336" s="413">
        <f t="shared" si="101"/>
        <v>0</v>
      </c>
      <c r="AL336" s="413">
        <f t="shared" si="101"/>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248</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102">AA338</f>
        <v>0</v>
      </c>
      <c r="AB339" s="413">
        <f t="shared" si="102"/>
        <v>0</v>
      </c>
      <c r="AC339" s="413">
        <f t="shared" si="102"/>
        <v>0</v>
      </c>
      <c r="AD339" s="413">
        <f t="shared" si="102"/>
        <v>0</v>
      </c>
      <c r="AE339" s="413">
        <f t="shared" si="102"/>
        <v>0</v>
      </c>
      <c r="AF339" s="413">
        <f t="shared" si="102"/>
        <v>0</v>
      </c>
      <c r="AG339" s="413">
        <f t="shared" si="102"/>
        <v>0</v>
      </c>
      <c r="AH339" s="413">
        <f t="shared" si="102"/>
        <v>0</v>
      </c>
      <c r="AI339" s="413">
        <f t="shared" si="102"/>
        <v>0</v>
      </c>
      <c r="AJ339" s="413">
        <f t="shared" si="102"/>
        <v>0</v>
      </c>
      <c r="AK339" s="413">
        <f t="shared" si="102"/>
        <v>0</v>
      </c>
      <c r="AL339" s="413">
        <f t="shared" si="102"/>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248</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103">AA341</f>
        <v>0</v>
      </c>
      <c r="AB342" s="413">
        <f t="shared" si="103"/>
        <v>0</v>
      </c>
      <c r="AC342" s="413">
        <f t="shared" si="103"/>
        <v>0</v>
      </c>
      <c r="AD342" s="413">
        <f t="shared" si="103"/>
        <v>0</v>
      </c>
      <c r="AE342" s="413">
        <f t="shared" si="103"/>
        <v>0</v>
      </c>
      <c r="AF342" s="413">
        <f t="shared" si="103"/>
        <v>0</v>
      </c>
      <c r="AG342" s="413">
        <f t="shared" si="103"/>
        <v>0</v>
      </c>
      <c r="AH342" s="413">
        <f t="shared" si="103"/>
        <v>0</v>
      </c>
      <c r="AI342" s="413">
        <f t="shared" si="103"/>
        <v>0</v>
      </c>
      <c r="AJ342" s="413">
        <f t="shared" si="103"/>
        <v>0</v>
      </c>
      <c r="AK342" s="413">
        <f t="shared" si="103"/>
        <v>0</v>
      </c>
      <c r="AL342" s="413">
        <f t="shared" si="103"/>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v>11247.63</v>
      </c>
      <c r="E344" s="297"/>
      <c r="F344" s="297"/>
      <c r="G344" s="297"/>
      <c r="H344" s="297"/>
      <c r="I344" s="297"/>
      <c r="J344" s="297"/>
      <c r="K344" s="297"/>
      <c r="L344" s="297"/>
      <c r="M344" s="297"/>
      <c r="N344" s="293"/>
      <c r="O344" s="297">
        <v>493.95</v>
      </c>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248</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104">AA344</f>
        <v>0</v>
      </c>
      <c r="AB345" s="413">
        <f t="shared" si="104"/>
        <v>0</v>
      </c>
      <c r="AC345" s="413">
        <f t="shared" si="104"/>
        <v>0</v>
      </c>
      <c r="AD345" s="413">
        <f t="shared" si="104"/>
        <v>0</v>
      </c>
      <c r="AE345" s="413">
        <f t="shared" si="104"/>
        <v>0</v>
      </c>
      <c r="AF345" s="413">
        <f t="shared" si="104"/>
        <v>0</v>
      </c>
      <c r="AG345" s="413">
        <f t="shared" si="104"/>
        <v>0</v>
      </c>
      <c r="AH345" s="413">
        <f t="shared" si="104"/>
        <v>0</v>
      </c>
      <c r="AI345" s="413">
        <f t="shared" si="104"/>
        <v>0</v>
      </c>
      <c r="AJ345" s="413">
        <f t="shared" si="104"/>
        <v>0</v>
      </c>
      <c r="AK345" s="413">
        <f t="shared" si="104"/>
        <v>0</v>
      </c>
      <c r="AL345" s="413">
        <f t="shared" si="104"/>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v>66032.820000000007</v>
      </c>
      <c r="E348" s="297">
        <v>65993.59</v>
      </c>
      <c r="F348" s="297">
        <v>65990.03</v>
      </c>
      <c r="G348" s="297">
        <v>59385.760000000002</v>
      </c>
      <c r="H348" s="297"/>
      <c r="I348" s="297"/>
      <c r="J348" s="297"/>
      <c r="K348" s="297"/>
      <c r="L348" s="297"/>
      <c r="M348" s="297"/>
      <c r="N348" s="293"/>
      <c r="O348" s="297">
        <v>5.41</v>
      </c>
      <c r="P348" s="297">
        <v>5.4</v>
      </c>
      <c r="Q348" s="297">
        <v>5.4</v>
      </c>
      <c r="R348" s="297">
        <v>5.0599999999999996</v>
      </c>
      <c r="S348" s="297"/>
      <c r="T348" s="297"/>
      <c r="U348" s="297"/>
      <c r="V348" s="297"/>
      <c r="W348" s="297"/>
      <c r="X348" s="297"/>
      <c r="Y348" s="472">
        <v>1</v>
      </c>
      <c r="Z348" s="412"/>
      <c r="AA348" s="412"/>
      <c r="AB348" s="412"/>
      <c r="AC348" s="412"/>
      <c r="AD348" s="412"/>
      <c r="AE348" s="412"/>
      <c r="AF348" s="412"/>
      <c r="AG348" s="412"/>
      <c r="AH348" s="412"/>
      <c r="AI348" s="412"/>
      <c r="AJ348" s="412"/>
      <c r="AK348" s="412"/>
      <c r="AL348" s="412"/>
      <c r="AM348" s="298">
        <f>SUM(Y348:AL348)</f>
        <v>1</v>
      </c>
    </row>
    <row r="349" spans="1:39" ht="15" outlineLevel="1">
      <c r="B349" s="296" t="s">
        <v>248</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1</v>
      </c>
      <c r="Z349" s="413">
        <f>Z348</f>
        <v>0</v>
      </c>
      <c r="AA349" s="413">
        <f t="shared" ref="AA349:AL349" si="105">AA348</f>
        <v>0</v>
      </c>
      <c r="AB349" s="413">
        <f t="shared" si="105"/>
        <v>0</v>
      </c>
      <c r="AC349" s="413">
        <f t="shared" si="105"/>
        <v>0</v>
      </c>
      <c r="AD349" s="413">
        <f t="shared" si="105"/>
        <v>0</v>
      </c>
      <c r="AE349" s="413">
        <f t="shared" si="105"/>
        <v>0</v>
      </c>
      <c r="AF349" s="413">
        <f t="shared" si="105"/>
        <v>0</v>
      </c>
      <c r="AG349" s="413">
        <f t="shared" si="105"/>
        <v>0</v>
      </c>
      <c r="AH349" s="413">
        <f t="shared" si="105"/>
        <v>0</v>
      </c>
      <c r="AI349" s="413">
        <f t="shared" si="105"/>
        <v>0</v>
      </c>
      <c r="AJ349" s="413">
        <f t="shared" si="105"/>
        <v>0</v>
      </c>
      <c r="AK349" s="413">
        <f t="shared" si="105"/>
        <v>0</v>
      </c>
      <c r="AL349" s="413">
        <f t="shared" si="105"/>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483</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248</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6">AA352</f>
        <v>0</v>
      </c>
      <c r="AB353" s="413">
        <f t="shared" si="106"/>
        <v>0</v>
      </c>
      <c r="AC353" s="413">
        <f t="shared" si="106"/>
        <v>0</v>
      </c>
      <c r="AD353" s="413">
        <f t="shared" si="106"/>
        <v>0</v>
      </c>
      <c r="AE353" s="413">
        <f t="shared" si="106"/>
        <v>0</v>
      </c>
      <c r="AF353" s="413">
        <f t="shared" si="106"/>
        <v>0</v>
      </c>
      <c r="AG353" s="413">
        <f t="shared" si="106"/>
        <v>0</v>
      </c>
      <c r="AH353" s="413">
        <f t="shared" si="106"/>
        <v>0</v>
      </c>
      <c r="AI353" s="413">
        <f t="shared" si="106"/>
        <v>0</v>
      </c>
      <c r="AJ353" s="413">
        <f t="shared" si="106"/>
        <v>0</v>
      </c>
      <c r="AK353" s="413">
        <f t="shared" si="106"/>
        <v>0</v>
      </c>
      <c r="AL353" s="413">
        <f t="shared" si="106"/>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248</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7">AA355</f>
        <v>0</v>
      </c>
      <c r="AB356" s="413">
        <f t="shared" si="107"/>
        <v>0</v>
      </c>
      <c r="AC356" s="413">
        <f t="shared" si="107"/>
        <v>0</v>
      </c>
      <c r="AD356" s="413">
        <f t="shared" si="107"/>
        <v>0</v>
      </c>
      <c r="AE356" s="413">
        <f t="shared" si="107"/>
        <v>0</v>
      </c>
      <c r="AF356" s="413">
        <f t="shared" si="107"/>
        <v>0</v>
      </c>
      <c r="AG356" s="413">
        <f t="shared" si="107"/>
        <v>0</v>
      </c>
      <c r="AH356" s="413">
        <f t="shared" si="107"/>
        <v>0</v>
      </c>
      <c r="AI356" s="413">
        <f t="shared" si="107"/>
        <v>0</v>
      </c>
      <c r="AJ356" s="413">
        <f t="shared" si="107"/>
        <v>0</v>
      </c>
      <c r="AK356" s="413">
        <f t="shared" si="107"/>
        <v>0</v>
      </c>
      <c r="AL356" s="413">
        <f t="shared" si="107"/>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30"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248</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8">AA359</f>
        <v>0</v>
      </c>
      <c r="AB360" s="413">
        <f t="shared" si="108"/>
        <v>0</v>
      </c>
      <c r="AC360" s="413">
        <f t="shared" si="108"/>
        <v>0</v>
      </c>
      <c r="AD360" s="413">
        <f t="shared" si="108"/>
        <v>0</v>
      </c>
      <c r="AE360" s="413">
        <f t="shared" si="108"/>
        <v>0</v>
      </c>
      <c r="AF360" s="413">
        <f t="shared" si="108"/>
        <v>0</v>
      </c>
      <c r="AG360" s="413">
        <f t="shared" si="108"/>
        <v>0</v>
      </c>
      <c r="AH360" s="413">
        <f t="shared" si="108"/>
        <v>0</v>
      </c>
      <c r="AI360" s="413">
        <f t="shared" si="108"/>
        <v>0</v>
      </c>
      <c r="AJ360" s="413">
        <f t="shared" si="108"/>
        <v>0</v>
      </c>
      <c r="AK360" s="413">
        <f t="shared" si="108"/>
        <v>0</v>
      </c>
      <c r="AL360" s="413">
        <f t="shared" si="108"/>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30"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248</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9">AA362</f>
        <v>0</v>
      </c>
      <c r="AB363" s="413">
        <f t="shared" si="109"/>
        <v>0</v>
      </c>
      <c r="AC363" s="413">
        <f t="shared" si="109"/>
        <v>0</v>
      </c>
      <c r="AD363" s="413">
        <f t="shared" si="109"/>
        <v>0</v>
      </c>
      <c r="AE363" s="413">
        <f t="shared" si="109"/>
        <v>0</v>
      </c>
      <c r="AF363" s="413">
        <f t="shared" si="109"/>
        <v>0</v>
      </c>
      <c r="AG363" s="413">
        <f t="shared" si="109"/>
        <v>0</v>
      </c>
      <c r="AH363" s="413">
        <f t="shared" si="109"/>
        <v>0</v>
      </c>
      <c r="AI363" s="413">
        <f t="shared" si="109"/>
        <v>0</v>
      </c>
      <c r="AJ363" s="413">
        <f t="shared" si="109"/>
        <v>0</v>
      </c>
      <c r="AK363" s="413">
        <f t="shared" si="109"/>
        <v>0</v>
      </c>
      <c r="AL363" s="413">
        <f t="shared" si="109"/>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248</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10">AA365</f>
        <v>0</v>
      </c>
      <c r="AB366" s="413">
        <f t="shared" si="110"/>
        <v>0</v>
      </c>
      <c r="AC366" s="413">
        <f t="shared" si="110"/>
        <v>0</v>
      </c>
      <c r="AD366" s="413">
        <f t="shared" si="110"/>
        <v>0</v>
      </c>
      <c r="AE366" s="413">
        <f t="shared" si="110"/>
        <v>0</v>
      </c>
      <c r="AF366" s="413">
        <f t="shared" si="110"/>
        <v>0</v>
      </c>
      <c r="AG366" s="413">
        <f t="shared" si="110"/>
        <v>0</v>
      </c>
      <c r="AH366" s="413">
        <f t="shared" si="110"/>
        <v>0</v>
      </c>
      <c r="AI366" s="413">
        <f t="shared" si="110"/>
        <v>0</v>
      </c>
      <c r="AJ366" s="413">
        <f t="shared" si="110"/>
        <v>0</v>
      </c>
      <c r="AK366" s="413">
        <f t="shared" si="110"/>
        <v>0</v>
      </c>
      <c r="AL366" s="413">
        <f t="shared" si="110"/>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248</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11">Z368</f>
        <v>0</v>
      </c>
      <c r="AA369" s="413">
        <f t="shared" si="111"/>
        <v>0</v>
      </c>
      <c r="AB369" s="413">
        <f t="shared" si="111"/>
        <v>0</v>
      </c>
      <c r="AC369" s="413">
        <f t="shared" si="111"/>
        <v>0</v>
      </c>
      <c r="AD369" s="413">
        <f t="shared" si="111"/>
        <v>0</v>
      </c>
      <c r="AE369" s="413">
        <f t="shared" si="111"/>
        <v>0</v>
      </c>
      <c r="AF369" s="413">
        <f t="shared" si="111"/>
        <v>0</v>
      </c>
      <c r="AG369" s="413">
        <f t="shared" si="111"/>
        <v>0</v>
      </c>
      <c r="AH369" s="413">
        <f t="shared" si="111"/>
        <v>0</v>
      </c>
      <c r="AI369" s="413">
        <f t="shared" si="111"/>
        <v>0</v>
      </c>
      <c r="AJ369" s="413">
        <f t="shared" si="111"/>
        <v>0</v>
      </c>
      <c r="AK369" s="413">
        <f t="shared" si="111"/>
        <v>0</v>
      </c>
      <c r="AL369" s="413">
        <f t="shared" si="111"/>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484</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248</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12">Z371</f>
        <v>0</v>
      </c>
      <c r="AA372" s="413">
        <f t="shared" si="112"/>
        <v>0</v>
      </c>
      <c r="AB372" s="413">
        <f t="shared" si="112"/>
        <v>0</v>
      </c>
      <c r="AC372" s="413">
        <f t="shared" si="112"/>
        <v>0</v>
      </c>
      <c r="AD372" s="413">
        <f t="shared" si="112"/>
        <v>0</v>
      </c>
      <c r="AE372" s="413">
        <f t="shared" si="112"/>
        <v>0</v>
      </c>
      <c r="AF372" s="413">
        <f t="shared" si="112"/>
        <v>0</v>
      </c>
      <c r="AG372" s="413">
        <f t="shared" si="112"/>
        <v>0</v>
      </c>
      <c r="AH372" s="413">
        <f t="shared" si="112"/>
        <v>0</v>
      </c>
      <c r="AI372" s="413">
        <f t="shared" si="112"/>
        <v>0</v>
      </c>
      <c r="AJ372" s="413">
        <f t="shared" si="112"/>
        <v>0</v>
      </c>
      <c r="AK372" s="413">
        <f t="shared" si="112"/>
        <v>0</v>
      </c>
      <c r="AL372" s="413">
        <f t="shared" si="112"/>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485</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486</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248</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13">Z375</f>
        <v>0</v>
      </c>
      <c r="AA376" s="413">
        <f t="shared" si="113"/>
        <v>0</v>
      </c>
      <c r="AB376" s="413">
        <f t="shared" si="113"/>
        <v>0</v>
      </c>
      <c r="AC376" s="413">
        <f t="shared" si="113"/>
        <v>0</v>
      </c>
      <c r="AD376" s="413">
        <f t="shared" si="113"/>
        <v>0</v>
      </c>
      <c r="AE376" s="413">
        <f t="shared" si="113"/>
        <v>0</v>
      </c>
      <c r="AF376" s="413">
        <f t="shared" si="113"/>
        <v>0</v>
      </c>
      <c r="AG376" s="413">
        <f t="shared" si="113"/>
        <v>0</v>
      </c>
      <c r="AH376" s="413">
        <f t="shared" si="113"/>
        <v>0</v>
      </c>
      <c r="AI376" s="413">
        <f t="shared" si="113"/>
        <v>0</v>
      </c>
      <c r="AJ376" s="413">
        <f t="shared" si="113"/>
        <v>0</v>
      </c>
      <c r="AK376" s="413">
        <f t="shared" si="113"/>
        <v>0</v>
      </c>
      <c r="AL376" s="413">
        <f t="shared" si="113"/>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487</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248</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14">Z378</f>
        <v>0</v>
      </c>
      <c r="AA379" s="413">
        <f t="shared" si="114"/>
        <v>0</v>
      </c>
      <c r="AB379" s="413">
        <f t="shared" si="114"/>
        <v>0</v>
      </c>
      <c r="AC379" s="413">
        <f t="shared" si="114"/>
        <v>0</v>
      </c>
      <c r="AD379" s="413">
        <f t="shared" si="114"/>
        <v>0</v>
      </c>
      <c r="AE379" s="413">
        <f t="shared" si="114"/>
        <v>0</v>
      </c>
      <c r="AF379" s="413">
        <f t="shared" si="114"/>
        <v>0</v>
      </c>
      <c r="AG379" s="413">
        <f t="shared" si="114"/>
        <v>0</v>
      </c>
      <c r="AH379" s="413">
        <f t="shared" si="114"/>
        <v>0</v>
      </c>
      <c r="AI379" s="413">
        <f t="shared" si="114"/>
        <v>0</v>
      </c>
      <c r="AJ379" s="413">
        <f t="shared" si="114"/>
        <v>0</v>
      </c>
      <c r="AK379" s="413">
        <f t="shared" si="114"/>
        <v>0</v>
      </c>
      <c r="AL379" s="413">
        <f t="shared" si="114"/>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488</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248</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15">Z381</f>
        <v>0</v>
      </c>
      <c r="AA382" s="413">
        <f t="shared" si="115"/>
        <v>0</v>
      </c>
      <c r="AB382" s="413">
        <f t="shared" si="115"/>
        <v>0</v>
      </c>
      <c r="AC382" s="413">
        <f t="shared" si="115"/>
        <v>0</v>
      </c>
      <c r="AD382" s="413">
        <f t="shared" si="115"/>
        <v>0</v>
      </c>
      <c r="AE382" s="413">
        <f t="shared" si="115"/>
        <v>0</v>
      </c>
      <c r="AF382" s="413">
        <f t="shared" si="115"/>
        <v>0</v>
      </c>
      <c r="AG382" s="413">
        <f t="shared" si="115"/>
        <v>0</v>
      </c>
      <c r="AH382" s="413">
        <f t="shared" si="115"/>
        <v>0</v>
      </c>
      <c r="AI382" s="413">
        <f t="shared" si="115"/>
        <v>0</v>
      </c>
      <c r="AJ382" s="413">
        <f t="shared" si="115"/>
        <v>0</v>
      </c>
      <c r="AK382" s="413">
        <f t="shared" si="115"/>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249</v>
      </c>
      <c r="C384" s="331"/>
      <c r="D384" s="331">
        <f>SUM(D279:D382)</f>
        <v>3042381.9499999993</v>
      </c>
      <c r="E384" s="331">
        <f t="shared" ref="E384:G384" si="116">SUM(E279:E382)</f>
        <v>3020748.9799999995</v>
      </c>
      <c r="F384" s="331">
        <f t="shared" si="116"/>
        <v>3006793.14</v>
      </c>
      <c r="G384" s="331">
        <f t="shared" si="116"/>
        <v>2942366.1599999997</v>
      </c>
      <c r="H384" s="331"/>
      <c r="I384" s="331"/>
      <c r="J384" s="331"/>
      <c r="K384" s="331"/>
      <c r="L384" s="331"/>
      <c r="M384" s="331"/>
      <c r="N384" s="331"/>
      <c r="O384" s="331">
        <f>SUM(O279:O382)</f>
        <v>2747</v>
      </c>
      <c r="P384" s="331">
        <f t="shared" ref="P384:R384" si="117">SUM(P279:P382)</f>
        <v>2009.72</v>
      </c>
      <c r="Q384" s="331">
        <f t="shared" si="117"/>
        <v>749.4</v>
      </c>
      <c r="R384" s="331">
        <f t="shared" si="117"/>
        <v>741.45</v>
      </c>
      <c r="S384" s="331"/>
      <c r="T384" s="331"/>
      <c r="U384" s="331"/>
      <c r="V384" s="331"/>
      <c r="W384" s="331"/>
      <c r="X384" s="331"/>
      <c r="Y384" s="331">
        <f>IF(Y278="kWh",SUMPRODUCT(D279:D382,Y279:Y382))</f>
        <v>793609.40999999992</v>
      </c>
      <c r="Z384" s="331">
        <f>IF(Z278="kWh",SUMPRODUCT(D279:D382,Z279:Z382))</f>
        <v>129288.8</v>
      </c>
      <c r="AA384" s="331">
        <f>IF(AA278="kW",SUMPRODUCT(N279:N382,O279:O382,AA279:AA382),SUMPRODUCT(D279:D382,AA279:AA382))</f>
        <v>5227.08</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250</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1.44E-2</v>
      </c>
      <c r="Z387" s="343">
        <f>HLOOKUP(Z$20,'3.  Distribution Rates'!$C$122:$P$133,5,FALSE)</f>
        <v>1.9699999999999999E-2</v>
      </c>
      <c r="AA387" s="343">
        <f>HLOOKUP(AA$20,'3.  Distribution Rates'!$C$122:$P$133,5,FALSE)</f>
        <v>3.9830999999999999</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8">Y136*Y387</f>
        <v>17350.232255999999</v>
      </c>
      <c r="Z388" s="380">
        <f t="shared" si="118"/>
        <v>816.63237399999991</v>
      </c>
      <c r="AA388" s="380">
        <f t="shared" si="118"/>
        <v>14385.57865552321</v>
      </c>
      <c r="AB388" s="380">
        <f t="shared" si="118"/>
        <v>0</v>
      </c>
      <c r="AC388" s="380">
        <f t="shared" si="118"/>
        <v>0</v>
      </c>
      <c r="AD388" s="380">
        <f t="shared" si="118"/>
        <v>0</v>
      </c>
      <c r="AE388" s="380">
        <f t="shared" si="118"/>
        <v>0</v>
      </c>
      <c r="AF388" s="380">
        <f t="shared" si="118"/>
        <v>0</v>
      </c>
      <c r="AG388" s="380">
        <f t="shared" si="118"/>
        <v>0</v>
      </c>
      <c r="AH388" s="380">
        <f t="shared" si="118"/>
        <v>0</v>
      </c>
      <c r="AI388" s="380">
        <f t="shared" si="118"/>
        <v>0</v>
      </c>
      <c r="AJ388" s="380">
        <f t="shared" si="118"/>
        <v>0</v>
      </c>
      <c r="AK388" s="380">
        <f t="shared" si="118"/>
        <v>0</v>
      </c>
      <c r="AL388" s="380">
        <f t="shared" si="118"/>
        <v>0</v>
      </c>
      <c r="AM388" s="631">
        <f>SUM(Y388:AL388)</f>
        <v>32552.443285523208</v>
      </c>
      <c r="AN388" s="255" t="s">
        <v>682</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9">Y265*Y387</f>
        <v>10462.232735999998</v>
      </c>
      <c r="Z389" s="380">
        <f t="shared" si="119"/>
        <v>925.15632499999992</v>
      </c>
      <c r="AA389" s="380">
        <f t="shared" si="119"/>
        <v>16129.643112</v>
      </c>
      <c r="AB389" s="380">
        <f t="shared" si="119"/>
        <v>0</v>
      </c>
      <c r="AC389" s="380">
        <f t="shared" si="119"/>
        <v>0</v>
      </c>
      <c r="AD389" s="380">
        <f t="shared" si="119"/>
        <v>0</v>
      </c>
      <c r="AE389" s="380">
        <f t="shared" si="119"/>
        <v>0</v>
      </c>
      <c r="AF389" s="380">
        <f t="shared" si="119"/>
        <v>0</v>
      </c>
      <c r="AG389" s="380">
        <f t="shared" si="119"/>
        <v>0</v>
      </c>
      <c r="AH389" s="380">
        <f t="shared" si="119"/>
        <v>0</v>
      </c>
      <c r="AI389" s="380">
        <f t="shared" si="119"/>
        <v>0</v>
      </c>
      <c r="AJ389" s="380">
        <f t="shared" si="119"/>
        <v>0</v>
      </c>
      <c r="AK389" s="380">
        <f t="shared" si="119"/>
        <v>0</v>
      </c>
      <c r="AL389" s="380">
        <f t="shared" si="119"/>
        <v>0</v>
      </c>
      <c r="AM389" s="631">
        <f>SUM(Y389:AL389)</f>
        <v>27517.032173</v>
      </c>
      <c r="AN389" s="255" t="s">
        <v>682</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11427.975503999998</v>
      </c>
      <c r="Z390" s="380">
        <f t="shared" ref="Z390:AE390" si="120">Z384*Z387</f>
        <v>2546.98936</v>
      </c>
      <c r="AA390" s="380">
        <f t="shared" si="120"/>
        <v>20819.982347999998</v>
      </c>
      <c r="AB390" s="380">
        <f t="shared" si="120"/>
        <v>0</v>
      </c>
      <c r="AC390" s="380">
        <f t="shared" si="120"/>
        <v>0</v>
      </c>
      <c r="AD390" s="380">
        <f t="shared" si="120"/>
        <v>0</v>
      </c>
      <c r="AE390" s="380">
        <f t="shared" si="120"/>
        <v>0</v>
      </c>
      <c r="AF390" s="380">
        <f t="shared" ref="AF390:AL390" si="121">AF384*AF387</f>
        <v>0</v>
      </c>
      <c r="AG390" s="380">
        <f t="shared" si="121"/>
        <v>0</v>
      </c>
      <c r="AH390" s="380">
        <f t="shared" si="121"/>
        <v>0</v>
      </c>
      <c r="AI390" s="380">
        <f t="shared" si="121"/>
        <v>0</v>
      </c>
      <c r="AJ390" s="380">
        <f t="shared" si="121"/>
        <v>0</v>
      </c>
      <c r="AK390" s="380">
        <f t="shared" si="121"/>
        <v>0</v>
      </c>
      <c r="AL390" s="380">
        <f t="shared" si="121"/>
        <v>0</v>
      </c>
      <c r="AM390" s="631">
        <f>SUM(Y390:AL390)</f>
        <v>34794.947211999999</v>
      </c>
      <c r="AN390" s="255" t="s">
        <v>683</v>
      </c>
    </row>
    <row r="391" spans="1:41" s="382" customFormat="1" ht="15.75">
      <c r="A391" s="513"/>
      <c r="B391" s="351" t="s">
        <v>256</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39240.440495999996</v>
      </c>
      <c r="Z391" s="348">
        <f>SUM(Z388:Z390)</f>
        <v>4288.7780590000002</v>
      </c>
      <c r="AA391" s="348">
        <f t="shared" ref="AA391:AE391" si="122">SUM(AA388:AA390)</f>
        <v>51335.204115523207</v>
      </c>
      <c r="AB391" s="348">
        <f t="shared" si="122"/>
        <v>0</v>
      </c>
      <c r="AC391" s="348">
        <f t="shared" si="122"/>
        <v>0</v>
      </c>
      <c r="AD391" s="348">
        <f t="shared" si="122"/>
        <v>0</v>
      </c>
      <c r="AE391" s="348">
        <f t="shared" si="122"/>
        <v>0</v>
      </c>
      <c r="AF391" s="348">
        <f t="shared" ref="AF391:AL391" si="123">SUM(AF388:AF390)</f>
        <v>0</v>
      </c>
      <c r="AG391" s="348">
        <f t="shared" si="123"/>
        <v>0</v>
      </c>
      <c r="AH391" s="348">
        <f t="shared" si="123"/>
        <v>0</v>
      </c>
      <c r="AI391" s="348">
        <f t="shared" si="123"/>
        <v>0</v>
      </c>
      <c r="AJ391" s="348">
        <f t="shared" si="123"/>
        <v>0</v>
      </c>
      <c r="AK391" s="348">
        <f t="shared" si="123"/>
        <v>0</v>
      </c>
      <c r="AL391" s="348">
        <f t="shared" si="123"/>
        <v>0</v>
      </c>
      <c r="AM391" s="409">
        <f>SUM(AM388:AM390)</f>
        <v>94864.422670523199</v>
      </c>
    </row>
    <row r="392" spans="1:41" s="382" customFormat="1" ht="15.75">
      <c r="A392" s="513"/>
      <c r="B392" s="351" t="s">
        <v>251</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24">Y385*Y387</f>
        <v>0</v>
      </c>
      <c r="Z392" s="349">
        <f t="shared" si="124"/>
        <v>0</v>
      </c>
      <c r="AA392" s="349">
        <f t="shared" si="124"/>
        <v>0</v>
      </c>
      <c r="AB392" s="349">
        <f t="shared" si="124"/>
        <v>0</v>
      </c>
      <c r="AC392" s="349">
        <f t="shared" si="124"/>
        <v>0</v>
      </c>
      <c r="AD392" s="349">
        <f t="shared" si="124"/>
        <v>0</v>
      </c>
      <c r="AE392" s="349">
        <f t="shared" si="124"/>
        <v>0</v>
      </c>
      <c r="AF392" s="349">
        <f t="shared" ref="AF392:AL392" si="125">AF385*AF387</f>
        <v>0</v>
      </c>
      <c r="AG392" s="349">
        <f t="shared" si="125"/>
        <v>0</v>
      </c>
      <c r="AH392" s="349">
        <f t="shared" si="125"/>
        <v>0</v>
      </c>
      <c r="AI392" s="349">
        <f t="shared" si="125"/>
        <v>0</v>
      </c>
      <c r="AJ392" s="349">
        <f t="shared" si="125"/>
        <v>0</v>
      </c>
      <c r="AK392" s="349">
        <f t="shared" si="125"/>
        <v>0</v>
      </c>
      <c r="AL392" s="349">
        <f t="shared" si="125"/>
        <v>0</v>
      </c>
      <c r="AM392" s="409">
        <f>SUM(Y392:AL392)</f>
        <v>0</v>
      </c>
    </row>
    <row r="393" spans="1:41" ht="15.75" customHeight="1">
      <c r="A393" s="513"/>
      <c r="B393" s="351" t="s">
        <v>263</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94864.422670523199</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793570.17999999993</v>
      </c>
      <c r="Z395" s="293">
        <f>SUMPRODUCT(E279:E382,Z279:Z382)</f>
        <v>129288.8</v>
      </c>
      <c r="AA395" s="293">
        <f>IF(AA278="kW",SUMPRODUCT(N279:N382,P279:P382,AA279:AA382),SUMPRODUCT(E279:E382,AA279:AA382))</f>
        <v>5203.08</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194</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782032.4</v>
      </c>
      <c r="Z396" s="293">
        <f>SUMPRODUCT(F279:F382,Z279:Z382)</f>
        <v>127120.74</v>
      </c>
      <c r="AA396" s="293">
        <f>IF(AA278="kW",SUMPRODUCT(N279:N382,Q279:Q382,AA279:AA382),SUMPRODUCT(F279:F382,AA279:AA382))</f>
        <v>5203.08</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195</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735046.59000000008</v>
      </c>
      <c r="Z397" s="293">
        <f>SUMPRODUCT(G279:G382,Z279:Z382)</f>
        <v>109679.57</v>
      </c>
      <c r="AA397" s="293">
        <f>IF(AA278="kW",SUMPRODUCT(N279:N382,R279:R382,AA279:AA382),SUMPRODUCT(G279:G382,AA279:AA382))</f>
        <v>5197.32</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196</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0</v>
      </c>
      <c r="Z398" s="293">
        <f>SUMPRODUCT(H279:H382,Z279:Z382)</f>
        <v>0</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197</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0</v>
      </c>
      <c r="Z399" s="293">
        <f>SUMPRODUCT(I279:I382,Z279:Z382)</f>
        <v>0</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198</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0</v>
      </c>
      <c r="Z400" s="293">
        <f>SUMPRODUCT(J279:J382,Z279:Z382)</f>
        <v>0</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199</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0</v>
      </c>
      <c r="Z401" s="328">
        <f>SUMPRODUCT(K279:K382,Z279:Z382)</f>
        <v>0</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585</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756" t="s">
        <v>257</v>
      </c>
      <c r="C404" s="283"/>
      <c r="D404" s="592" t="s">
        <v>516</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97" t="s">
        <v>210</v>
      </c>
      <c r="C405" s="899" t="s">
        <v>33</v>
      </c>
      <c r="D405" s="286" t="s">
        <v>421</v>
      </c>
      <c r="E405" s="901" t="s">
        <v>208</v>
      </c>
      <c r="F405" s="902"/>
      <c r="G405" s="902"/>
      <c r="H405" s="902"/>
      <c r="I405" s="902"/>
      <c r="J405" s="902"/>
      <c r="K405" s="902"/>
      <c r="L405" s="902"/>
      <c r="M405" s="903"/>
      <c r="N405" s="907" t="s">
        <v>212</v>
      </c>
      <c r="O405" s="286" t="s">
        <v>422</v>
      </c>
      <c r="P405" s="901" t="s">
        <v>211</v>
      </c>
      <c r="Q405" s="902"/>
      <c r="R405" s="902"/>
      <c r="S405" s="902"/>
      <c r="T405" s="902"/>
      <c r="U405" s="902"/>
      <c r="V405" s="902"/>
      <c r="W405" s="902"/>
      <c r="X405" s="903"/>
      <c r="Y405" s="904" t="s">
        <v>242</v>
      </c>
      <c r="Z405" s="905"/>
      <c r="AA405" s="905"/>
      <c r="AB405" s="905"/>
      <c r="AC405" s="905"/>
      <c r="AD405" s="905"/>
      <c r="AE405" s="905"/>
      <c r="AF405" s="905"/>
      <c r="AG405" s="905"/>
      <c r="AH405" s="905"/>
      <c r="AI405" s="905"/>
      <c r="AJ405" s="905"/>
      <c r="AK405" s="905"/>
      <c r="AL405" s="905"/>
      <c r="AM405" s="906"/>
    </row>
    <row r="406" spans="1:40" ht="45.75" customHeight="1">
      <c r="B406" s="898"/>
      <c r="C406" s="900"/>
      <c r="D406" s="287">
        <v>2014</v>
      </c>
      <c r="E406" s="287">
        <v>2015</v>
      </c>
      <c r="F406" s="287">
        <v>2016</v>
      </c>
      <c r="G406" s="287">
        <v>2017</v>
      </c>
      <c r="H406" s="287">
        <v>2018</v>
      </c>
      <c r="I406" s="287">
        <v>2019</v>
      </c>
      <c r="J406" s="287">
        <v>2020</v>
      </c>
      <c r="K406" s="287">
        <v>2021</v>
      </c>
      <c r="L406" s="287">
        <v>2022</v>
      </c>
      <c r="M406" s="287">
        <v>2023</v>
      </c>
      <c r="N406" s="908"/>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GS&gt;50 kW</v>
      </c>
      <c r="AB406" s="287" t="str">
        <f>'1.  LRAMVA Summary'!G50</f>
        <v>Streetlighting</v>
      </c>
      <c r="AC406" s="287" t="str">
        <f>'1.  LRAMVA Summary'!H50</f>
        <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f>'1.  LRAMVA Summary'!H51</f>
        <v>0</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f>209+316+18673+28610</f>
        <v>47808</v>
      </c>
      <c r="E408" s="297">
        <f t="shared" ref="E408:F408" si="126">209+316+18673+28610</f>
        <v>47808</v>
      </c>
      <c r="F408" s="297">
        <f t="shared" si="126"/>
        <v>47808</v>
      </c>
      <c r="G408" s="297"/>
      <c r="H408" s="297"/>
      <c r="I408" s="297"/>
      <c r="J408" s="297"/>
      <c r="K408" s="297"/>
      <c r="L408" s="297"/>
      <c r="M408" s="297"/>
      <c r="N408" s="293"/>
      <c r="O408" s="297">
        <f>3+4</f>
        <v>7</v>
      </c>
      <c r="P408" s="297">
        <f t="shared" ref="P408" si="127">3+4</f>
        <v>7</v>
      </c>
      <c r="Q408" s="297">
        <f>2.578+4.204</f>
        <v>6.782</v>
      </c>
      <c r="R408" s="297"/>
      <c r="S408" s="297"/>
      <c r="T408" s="297"/>
      <c r="U408" s="297"/>
      <c r="V408" s="297"/>
      <c r="W408" s="297"/>
      <c r="X408" s="297"/>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258</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28">AA408</f>
        <v>0</v>
      </c>
      <c r="AB409" s="413">
        <f t="shared" si="128"/>
        <v>0</v>
      </c>
      <c r="AC409" s="413">
        <f t="shared" si="128"/>
        <v>0</v>
      </c>
      <c r="AD409" s="413">
        <f t="shared" si="128"/>
        <v>0</v>
      </c>
      <c r="AE409" s="413">
        <f t="shared" si="128"/>
        <v>0</v>
      </c>
      <c r="AF409" s="413">
        <f t="shared" si="128"/>
        <v>0</v>
      </c>
      <c r="AG409" s="413">
        <f t="shared" si="128"/>
        <v>0</v>
      </c>
      <c r="AH409" s="413">
        <f t="shared" si="128"/>
        <v>0</v>
      </c>
      <c r="AI409" s="413">
        <f t="shared" si="128"/>
        <v>0</v>
      </c>
      <c r="AJ409" s="413">
        <f t="shared" si="128"/>
        <v>0</v>
      </c>
      <c r="AK409" s="413">
        <f t="shared" si="128"/>
        <v>0</v>
      </c>
      <c r="AL409" s="413">
        <f t="shared" si="128"/>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15516.47</v>
      </c>
      <c r="E411" s="297">
        <v>15516.47</v>
      </c>
      <c r="F411" s="297">
        <v>15516</v>
      </c>
      <c r="G411" s="297"/>
      <c r="H411" s="297"/>
      <c r="I411" s="297"/>
      <c r="J411" s="297"/>
      <c r="K411" s="297"/>
      <c r="L411" s="297"/>
      <c r="M411" s="297"/>
      <c r="N411" s="293"/>
      <c r="O411" s="297">
        <v>8.6999999999999993</v>
      </c>
      <c r="P411" s="297">
        <v>8.6999999999999993</v>
      </c>
      <c r="Q411" s="297">
        <v>8.6999999999999993</v>
      </c>
      <c r="R411" s="297"/>
      <c r="S411" s="297"/>
      <c r="T411" s="297"/>
      <c r="U411" s="297"/>
      <c r="V411" s="297"/>
      <c r="W411" s="297"/>
      <c r="X411" s="297"/>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258</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29">AA411</f>
        <v>0</v>
      </c>
      <c r="AB412" s="413">
        <f t="shared" si="129"/>
        <v>0</v>
      </c>
      <c r="AC412" s="413">
        <f t="shared" si="129"/>
        <v>0</v>
      </c>
      <c r="AD412" s="413">
        <f t="shared" si="129"/>
        <v>0</v>
      </c>
      <c r="AE412" s="413">
        <f t="shared" si="129"/>
        <v>0</v>
      </c>
      <c r="AF412" s="413">
        <f t="shared" si="129"/>
        <v>0</v>
      </c>
      <c r="AG412" s="413">
        <f t="shared" si="129"/>
        <v>0</v>
      </c>
      <c r="AH412" s="413">
        <f t="shared" si="129"/>
        <v>0</v>
      </c>
      <c r="AI412" s="413">
        <f t="shared" si="129"/>
        <v>0</v>
      </c>
      <c r="AJ412" s="413">
        <f t="shared" si="129"/>
        <v>0</v>
      </c>
      <c r="AK412" s="413">
        <f t="shared" si="129"/>
        <v>0</v>
      </c>
      <c r="AL412" s="413">
        <f t="shared" si="129"/>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518947</v>
      </c>
      <c r="E414" s="297">
        <v>518947</v>
      </c>
      <c r="F414" s="297">
        <v>518947</v>
      </c>
      <c r="G414" s="297"/>
      <c r="H414" s="297"/>
      <c r="I414" s="297"/>
      <c r="J414" s="297"/>
      <c r="K414" s="297"/>
      <c r="L414" s="297"/>
      <c r="M414" s="297"/>
      <c r="N414" s="293"/>
      <c r="O414" s="297">
        <v>281</v>
      </c>
      <c r="P414" s="297">
        <v>281</v>
      </c>
      <c r="Q414" s="297">
        <v>280.76799999999997</v>
      </c>
      <c r="R414" s="297"/>
      <c r="S414" s="297"/>
      <c r="T414" s="297"/>
      <c r="U414" s="297"/>
      <c r="V414" s="297"/>
      <c r="W414" s="297"/>
      <c r="X414" s="297"/>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258</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30">AA414</f>
        <v>0</v>
      </c>
      <c r="AB415" s="413">
        <f t="shared" si="130"/>
        <v>0</v>
      </c>
      <c r="AC415" s="413">
        <f t="shared" si="130"/>
        <v>0</v>
      </c>
      <c r="AD415" s="413">
        <f t="shared" si="130"/>
        <v>0</v>
      </c>
      <c r="AE415" s="413">
        <f t="shared" si="130"/>
        <v>0</v>
      </c>
      <c r="AF415" s="413">
        <f t="shared" si="130"/>
        <v>0</v>
      </c>
      <c r="AG415" s="413">
        <f t="shared" si="130"/>
        <v>0</v>
      </c>
      <c r="AH415" s="413">
        <f t="shared" si="130"/>
        <v>0</v>
      </c>
      <c r="AI415" s="413">
        <f t="shared" si="130"/>
        <v>0</v>
      </c>
      <c r="AJ415" s="413">
        <f t="shared" si="130"/>
        <v>0</v>
      </c>
      <c r="AK415" s="413">
        <f t="shared" si="130"/>
        <v>0</v>
      </c>
      <c r="AL415" s="413">
        <f t="shared" si="13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245067</v>
      </c>
      <c r="E417" s="297">
        <v>228237</v>
      </c>
      <c r="F417" s="297">
        <v>220076</v>
      </c>
      <c r="G417" s="297"/>
      <c r="H417" s="297"/>
      <c r="I417" s="297"/>
      <c r="J417" s="297"/>
      <c r="K417" s="297"/>
      <c r="L417" s="297"/>
      <c r="M417" s="297"/>
      <c r="N417" s="293"/>
      <c r="O417" s="297">
        <v>18.32</v>
      </c>
      <c r="P417" s="297">
        <v>17.260000000000002</v>
      </c>
      <c r="Q417" s="297">
        <v>16.75</v>
      </c>
      <c r="R417" s="297"/>
      <c r="S417" s="297"/>
      <c r="T417" s="297"/>
      <c r="U417" s="297"/>
      <c r="V417" s="297"/>
      <c r="W417" s="297"/>
      <c r="X417" s="297"/>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258</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31">AA417</f>
        <v>0</v>
      </c>
      <c r="AB418" s="413">
        <f t="shared" si="131"/>
        <v>0</v>
      </c>
      <c r="AC418" s="413">
        <f t="shared" si="131"/>
        <v>0</v>
      </c>
      <c r="AD418" s="413">
        <f t="shared" si="131"/>
        <v>0</v>
      </c>
      <c r="AE418" s="413">
        <f t="shared" si="131"/>
        <v>0</v>
      </c>
      <c r="AF418" s="413">
        <f t="shared" si="131"/>
        <v>0</v>
      </c>
      <c r="AG418" s="413">
        <f t="shared" si="131"/>
        <v>0</v>
      </c>
      <c r="AH418" s="413">
        <f t="shared" si="131"/>
        <v>0</v>
      </c>
      <c r="AI418" s="413">
        <f t="shared" si="131"/>
        <v>0</v>
      </c>
      <c r="AJ418" s="413">
        <f t="shared" si="131"/>
        <v>0</v>
      </c>
      <c r="AK418" s="413">
        <f t="shared" si="131"/>
        <v>0</v>
      </c>
      <c r="AL418" s="413">
        <f t="shared" si="13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1063216.1100000001</v>
      </c>
      <c r="E420" s="297">
        <v>922328.74</v>
      </c>
      <c r="F420" s="297">
        <v>848906</v>
      </c>
      <c r="G420" s="297"/>
      <c r="H420" s="297"/>
      <c r="I420" s="297"/>
      <c r="J420" s="297"/>
      <c r="K420" s="297"/>
      <c r="L420" s="297"/>
      <c r="M420" s="297"/>
      <c r="N420" s="293"/>
      <c r="O420" s="297">
        <v>69.58</v>
      </c>
      <c r="P420" s="297">
        <v>60.74</v>
      </c>
      <c r="Q420" s="297">
        <v>56.13</v>
      </c>
      <c r="R420" s="297"/>
      <c r="S420" s="297"/>
      <c r="T420" s="297"/>
      <c r="U420" s="297"/>
      <c r="V420" s="297"/>
      <c r="W420" s="297"/>
      <c r="X420" s="297"/>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258</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32">AA420</f>
        <v>0</v>
      </c>
      <c r="AB421" s="413">
        <f t="shared" si="132"/>
        <v>0</v>
      </c>
      <c r="AC421" s="413">
        <f t="shared" si="132"/>
        <v>0</v>
      </c>
      <c r="AD421" s="413">
        <f t="shared" si="132"/>
        <v>0</v>
      </c>
      <c r="AE421" s="413">
        <f t="shared" si="132"/>
        <v>0</v>
      </c>
      <c r="AF421" s="413">
        <f t="shared" si="132"/>
        <v>0</v>
      </c>
      <c r="AG421" s="413">
        <f t="shared" si="132"/>
        <v>0</v>
      </c>
      <c r="AH421" s="413">
        <f t="shared" si="132"/>
        <v>0</v>
      </c>
      <c r="AI421" s="413">
        <f t="shared" si="132"/>
        <v>0</v>
      </c>
      <c r="AJ421" s="413">
        <f t="shared" si="132"/>
        <v>0</v>
      </c>
      <c r="AK421" s="413">
        <f t="shared" si="132"/>
        <v>0</v>
      </c>
      <c r="AL421" s="413">
        <f t="shared" si="13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258</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33">AA423</f>
        <v>0</v>
      </c>
      <c r="AB424" s="413">
        <f t="shared" si="133"/>
        <v>0</v>
      </c>
      <c r="AC424" s="413">
        <f t="shared" si="133"/>
        <v>0</v>
      </c>
      <c r="AD424" s="413">
        <f t="shared" si="133"/>
        <v>0</v>
      </c>
      <c r="AE424" s="413">
        <f t="shared" si="133"/>
        <v>0</v>
      </c>
      <c r="AF424" s="413">
        <f t="shared" si="133"/>
        <v>0</v>
      </c>
      <c r="AG424" s="413">
        <f t="shared" si="133"/>
        <v>0</v>
      </c>
      <c r="AH424" s="413">
        <f t="shared" si="133"/>
        <v>0</v>
      </c>
      <c r="AI424" s="413">
        <f t="shared" si="133"/>
        <v>0</v>
      </c>
      <c r="AJ424" s="413">
        <f t="shared" si="133"/>
        <v>0</v>
      </c>
      <c r="AK424" s="413">
        <f t="shared" si="133"/>
        <v>0</v>
      </c>
      <c r="AL424" s="413">
        <f t="shared" si="13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v>0</v>
      </c>
      <c r="E426" s="297"/>
      <c r="F426" s="297"/>
      <c r="G426" s="297"/>
      <c r="H426" s="297"/>
      <c r="I426" s="297"/>
      <c r="J426" s="297"/>
      <c r="K426" s="297"/>
      <c r="L426" s="297"/>
      <c r="M426" s="297"/>
      <c r="N426" s="293"/>
      <c r="O426" s="297">
        <v>342</v>
      </c>
      <c r="P426" s="297"/>
      <c r="Q426" s="297"/>
      <c r="R426" s="297"/>
      <c r="S426" s="297"/>
      <c r="T426" s="297"/>
      <c r="U426" s="297"/>
      <c r="V426" s="297"/>
      <c r="W426" s="297"/>
      <c r="X426" s="297"/>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258</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34">AA426</f>
        <v>0</v>
      </c>
      <c r="AB427" s="413">
        <f t="shared" si="134"/>
        <v>0</v>
      </c>
      <c r="AC427" s="413">
        <f t="shared" si="134"/>
        <v>0</v>
      </c>
      <c r="AD427" s="413">
        <f t="shared" si="134"/>
        <v>0</v>
      </c>
      <c r="AE427" s="413">
        <f t="shared" si="134"/>
        <v>0</v>
      </c>
      <c r="AF427" s="413">
        <f t="shared" si="134"/>
        <v>0</v>
      </c>
      <c r="AG427" s="413">
        <f t="shared" si="134"/>
        <v>0</v>
      </c>
      <c r="AH427" s="413">
        <f t="shared" si="134"/>
        <v>0</v>
      </c>
      <c r="AI427" s="413">
        <f t="shared" si="134"/>
        <v>0</v>
      </c>
      <c r="AJ427" s="413">
        <f t="shared" si="134"/>
        <v>0</v>
      </c>
      <c r="AK427" s="413">
        <f t="shared" si="134"/>
        <v>0</v>
      </c>
      <c r="AL427" s="413">
        <f t="shared" si="13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480</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258</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35">AA429</f>
        <v>0</v>
      </c>
      <c r="AB430" s="413">
        <f t="shared" si="135"/>
        <v>0</v>
      </c>
      <c r="AC430" s="413">
        <f t="shared" si="135"/>
        <v>0</v>
      </c>
      <c r="AD430" s="413">
        <f t="shared" si="135"/>
        <v>0</v>
      </c>
      <c r="AE430" s="413">
        <f t="shared" si="135"/>
        <v>0</v>
      </c>
      <c r="AF430" s="413">
        <f t="shared" si="135"/>
        <v>0</v>
      </c>
      <c r="AG430" s="413">
        <f t="shared" si="135"/>
        <v>0</v>
      </c>
      <c r="AH430" s="413">
        <f t="shared" si="135"/>
        <v>0</v>
      </c>
      <c r="AI430" s="413">
        <f t="shared" si="135"/>
        <v>0</v>
      </c>
      <c r="AJ430" s="413">
        <f t="shared" si="135"/>
        <v>0</v>
      </c>
      <c r="AK430" s="413">
        <f t="shared" si="135"/>
        <v>0</v>
      </c>
      <c r="AL430" s="413">
        <f t="shared" si="135"/>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c r="E432" s="297"/>
      <c r="F432" s="297"/>
      <c r="G432" s="297"/>
      <c r="H432" s="297"/>
      <c r="I432" s="297"/>
      <c r="J432" s="297"/>
      <c r="K432" s="297"/>
      <c r="L432" s="297"/>
      <c r="M432" s="297"/>
      <c r="N432" s="293"/>
      <c r="O432" s="297"/>
      <c r="P432" s="297"/>
      <c r="Q432" s="297"/>
      <c r="R432" s="297"/>
      <c r="S432" s="297"/>
      <c r="T432" s="297"/>
      <c r="U432" s="297"/>
      <c r="V432" s="297"/>
      <c r="W432" s="297"/>
      <c r="X432" s="297"/>
      <c r="Y432" s="412">
        <v>1</v>
      </c>
      <c r="Z432" s="412"/>
      <c r="AA432" s="412"/>
      <c r="AB432" s="412"/>
      <c r="AC432" s="412"/>
      <c r="AD432" s="412"/>
      <c r="AE432" s="412"/>
      <c r="AF432" s="412"/>
      <c r="AG432" s="412"/>
      <c r="AH432" s="412"/>
      <c r="AI432" s="412"/>
      <c r="AJ432" s="412"/>
      <c r="AK432" s="412"/>
      <c r="AL432" s="412"/>
      <c r="AM432" s="298">
        <f>SUM(Y432:AL432)</f>
        <v>1</v>
      </c>
    </row>
    <row r="433" spans="1:39" ht="15" outlineLevel="1">
      <c r="B433" s="296" t="s">
        <v>258</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36">AA432</f>
        <v>0</v>
      </c>
      <c r="AB433" s="413">
        <f t="shared" si="136"/>
        <v>0</v>
      </c>
      <c r="AC433" s="413">
        <f t="shared" si="136"/>
        <v>0</v>
      </c>
      <c r="AD433" s="413">
        <f t="shared" si="136"/>
        <v>0</v>
      </c>
      <c r="AE433" s="413">
        <f t="shared" si="136"/>
        <v>0</v>
      </c>
      <c r="AF433" s="413">
        <f t="shared" si="136"/>
        <v>0</v>
      </c>
      <c r="AG433" s="413">
        <f t="shared" si="136"/>
        <v>0</v>
      </c>
      <c r="AH433" s="413">
        <f t="shared" si="136"/>
        <v>0</v>
      </c>
      <c r="AI433" s="413">
        <f t="shared" si="136"/>
        <v>0</v>
      </c>
      <c r="AJ433" s="413">
        <f t="shared" si="136"/>
        <v>0</v>
      </c>
      <c r="AK433" s="413">
        <f t="shared" si="136"/>
        <v>0</v>
      </c>
      <c r="AL433" s="413">
        <f t="shared" si="13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v>2346163</v>
      </c>
      <c r="E436" s="297">
        <v>2345747</v>
      </c>
      <c r="F436" s="297">
        <v>2345747</v>
      </c>
      <c r="G436" s="297"/>
      <c r="H436" s="297"/>
      <c r="I436" s="297"/>
      <c r="J436" s="297"/>
      <c r="K436" s="297"/>
      <c r="L436" s="297"/>
      <c r="M436" s="297"/>
      <c r="N436" s="297">
        <v>12</v>
      </c>
      <c r="O436" s="297">
        <v>295</v>
      </c>
      <c r="P436" s="297">
        <v>295</v>
      </c>
      <c r="Q436" s="297">
        <v>294.93</v>
      </c>
      <c r="R436" s="297"/>
      <c r="S436" s="297"/>
      <c r="T436" s="297"/>
      <c r="U436" s="297"/>
      <c r="V436" s="297"/>
      <c r="W436" s="297"/>
      <c r="X436" s="297"/>
      <c r="Y436" s="417"/>
      <c r="Z436" s="471"/>
      <c r="AA436" s="471">
        <v>1</v>
      </c>
      <c r="AB436" s="471"/>
      <c r="AC436" s="417"/>
      <c r="AD436" s="417"/>
      <c r="AE436" s="417"/>
      <c r="AF436" s="417"/>
      <c r="AG436" s="417"/>
      <c r="AH436" s="417"/>
      <c r="AI436" s="417"/>
      <c r="AJ436" s="417"/>
      <c r="AK436" s="417"/>
      <c r="AL436" s="417"/>
      <c r="AM436" s="298">
        <f>SUM(Y436:AL436)</f>
        <v>1</v>
      </c>
    </row>
    <row r="437" spans="1:39" ht="15" outlineLevel="1">
      <c r="B437" s="296" t="s">
        <v>258</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v>
      </c>
      <c r="AA437" s="413">
        <f t="shared" ref="AA437:AL437" si="137">AA436</f>
        <v>1</v>
      </c>
      <c r="AB437" s="413">
        <f t="shared" si="137"/>
        <v>0</v>
      </c>
      <c r="AC437" s="413">
        <f t="shared" si="137"/>
        <v>0</v>
      </c>
      <c r="AD437" s="413">
        <f t="shared" si="137"/>
        <v>0</v>
      </c>
      <c r="AE437" s="413">
        <f t="shared" si="137"/>
        <v>0</v>
      </c>
      <c r="AF437" s="413">
        <f t="shared" si="137"/>
        <v>0</v>
      </c>
      <c r="AG437" s="413">
        <f t="shared" si="137"/>
        <v>0</v>
      </c>
      <c r="AH437" s="413">
        <f t="shared" si="137"/>
        <v>0</v>
      </c>
      <c r="AI437" s="413">
        <f t="shared" si="137"/>
        <v>0</v>
      </c>
      <c r="AJ437" s="413">
        <f t="shared" si="137"/>
        <v>0</v>
      </c>
      <c r="AK437" s="413">
        <f t="shared" si="137"/>
        <v>0</v>
      </c>
      <c r="AL437" s="413">
        <f t="shared" si="137"/>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779547.72</v>
      </c>
      <c r="E439" s="297">
        <v>776206.8</v>
      </c>
      <c r="F439" s="297">
        <v>675991</v>
      </c>
      <c r="G439" s="297"/>
      <c r="H439" s="297"/>
      <c r="I439" s="297"/>
      <c r="J439" s="297"/>
      <c r="K439" s="297"/>
      <c r="L439" s="297"/>
      <c r="M439" s="297"/>
      <c r="N439" s="297">
        <v>12</v>
      </c>
      <c r="O439" s="297">
        <v>199.85</v>
      </c>
      <c r="P439" s="297">
        <v>198.96</v>
      </c>
      <c r="Q439" s="297">
        <v>174.57</v>
      </c>
      <c r="R439" s="297"/>
      <c r="S439" s="297"/>
      <c r="T439" s="297"/>
      <c r="U439" s="297"/>
      <c r="V439" s="297"/>
      <c r="W439" s="297"/>
      <c r="X439" s="297"/>
      <c r="Y439" s="417"/>
      <c r="Z439" s="471">
        <v>1</v>
      </c>
      <c r="AA439" s="417"/>
      <c r="AB439" s="417"/>
      <c r="AC439" s="417"/>
      <c r="AD439" s="417"/>
      <c r="AE439" s="417"/>
      <c r="AF439" s="417"/>
      <c r="AG439" s="417"/>
      <c r="AH439" s="417"/>
      <c r="AI439" s="417"/>
      <c r="AJ439" s="417"/>
      <c r="AK439" s="417"/>
      <c r="AL439" s="417"/>
      <c r="AM439" s="298">
        <f>SUM(Y439:AL439)</f>
        <v>1</v>
      </c>
    </row>
    <row r="440" spans="1:39" ht="15" outlineLevel="1">
      <c r="B440" s="296" t="s">
        <v>258</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38">AA439</f>
        <v>0</v>
      </c>
      <c r="AB440" s="413">
        <f t="shared" si="138"/>
        <v>0</v>
      </c>
      <c r="AC440" s="413">
        <f t="shared" si="138"/>
        <v>0</v>
      </c>
      <c r="AD440" s="413">
        <f t="shared" si="138"/>
        <v>0</v>
      </c>
      <c r="AE440" s="413">
        <f t="shared" si="138"/>
        <v>0</v>
      </c>
      <c r="AF440" s="413">
        <f t="shared" si="138"/>
        <v>0</v>
      </c>
      <c r="AG440" s="413">
        <f t="shared" si="138"/>
        <v>0</v>
      </c>
      <c r="AH440" s="413">
        <f t="shared" si="138"/>
        <v>0</v>
      </c>
      <c r="AI440" s="413">
        <f t="shared" si="138"/>
        <v>0</v>
      </c>
      <c r="AJ440" s="413">
        <f t="shared" si="138"/>
        <v>0</v>
      </c>
      <c r="AK440" s="413">
        <f t="shared" si="138"/>
        <v>0</v>
      </c>
      <c r="AL440" s="413">
        <f t="shared" si="138"/>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258</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39">AB442</f>
        <v>0</v>
      </c>
      <c r="AC443" s="413">
        <f t="shared" si="139"/>
        <v>0</v>
      </c>
      <c r="AD443" s="413">
        <f t="shared" si="139"/>
        <v>0</v>
      </c>
      <c r="AE443" s="413">
        <f t="shared" si="139"/>
        <v>0</v>
      </c>
      <c r="AF443" s="413">
        <f t="shared" si="139"/>
        <v>0</v>
      </c>
      <c r="AG443" s="413">
        <f t="shared" si="139"/>
        <v>0</v>
      </c>
      <c r="AH443" s="413">
        <f t="shared" si="139"/>
        <v>0</v>
      </c>
      <c r="AI443" s="413">
        <f t="shared" si="139"/>
        <v>0</v>
      </c>
      <c r="AJ443" s="413">
        <f t="shared" si="139"/>
        <v>0</v>
      </c>
      <c r="AK443" s="413">
        <f t="shared" si="139"/>
        <v>0</v>
      </c>
      <c r="AL443" s="413">
        <f t="shared" si="139"/>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v>165883</v>
      </c>
      <c r="E445" s="297">
        <v>165883</v>
      </c>
      <c r="F445" s="297">
        <v>165883</v>
      </c>
      <c r="G445" s="297"/>
      <c r="H445" s="297"/>
      <c r="I445" s="297"/>
      <c r="J445" s="297"/>
      <c r="K445" s="297"/>
      <c r="L445" s="297"/>
      <c r="M445" s="297"/>
      <c r="N445" s="297">
        <v>12</v>
      </c>
      <c r="O445" s="297">
        <v>34</v>
      </c>
      <c r="P445" s="297">
        <v>34</v>
      </c>
      <c r="Q445" s="297">
        <v>33.56</v>
      </c>
      <c r="R445" s="297"/>
      <c r="S445" s="297"/>
      <c r="T445" s="297"/>
      <c r="U445" s="297"/>
      <c r="V445" s="297"/>
      <c r="W445" s="297"/>
      <c r="X445" s="297"/>
      <c r="Y445" s="417"/>
      <c r="Z445" s="417"/>
      <c r="AA445" s="417">
        <v>1</v>
      </c>
      <c r="AB445" s="417"/>
      <c r="AC445" s="417"/>
      <c r="AD445" s="417"/>
      <c r="AE445" s="417"/>
      <c r="AF445" s="417"/>
      <c r="AG445" s="417"/>
      <c r="AH445" s="417"/>
      <c r="AI445" s="417"/>
      <c r="AJ445" s="417"/>
      <c r="AK445" s="417"/>
      <c r="AL445" s="417"/>
      <c r="AM445" s="298">
        <f>SUM(Y445:AL445)</f>
        <v>1</v>
      </c>
    </row>
    <row r="446" spans="1:39" ht="15" outlineLevel="1">
      <c r="B446" s="296" t="s">
        <v>258</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1</v>
      </c>
      <c r="AB446" s="413">
        <f t="shared" ref="AB446:AL446" si="140">AB445</f>
        <v>0</v>
      </c>
      <c r="AC446" s="413">
        <f t="shared" si="140"/>
        <v>0</v>
      </c>
      <c r="AD446" s="413">
        <f t="shared" si="140"/>
        <v>0</v>
      </c>
      <c r="AE446" s="413">
        <f t="shared" si="140"/>
        <v>0</v>
      </c>
      <c r="AF446" s="413">
        <f t="shared" si="140"/>
        <v>0</v>
      </c>
      <c r="AG446" s="413">
        <f t="shared" si="140"/>
        <v>0</v>
      </c>
      <c r="AH446" s="413">
        <f t="shared" si="140"/>
        <v>0</v>
      </c>
      <c r="AI446" s="413">
        <f t="shared" si="140"/>
        <v>0</v>
      </c>
      <c r="AJ446" s="413">
        <f t="shared" si="140"/>
        <v>0</v>
      </c>
      <c r="AK446" s="413">
        <f t="shared" si="140"/>
        <v>0</v>
      </c>
      <c r="AL446" s="413">
        <f t="shared" si="140"/>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v>456914.99</v>
      </c>
      <c r="E448" s="297">
        <v>456914.99</v>
      </c>
      <c r="F448" s="297">
        <v>456914.99</v>
      </c>
      <c r="G448" s="297"/>
      <c r="H448" s="297"/>
      <c r="I448" s="297"/>
      <c r="J448" s="297"/>
      <c r="K448" s="297"/>
      <c r="L448" s="297"/>
      <c r="M448" s="297"/>
      <c r="N448" s="297">
        <v>12</v>
      </c>
      <c r="O448" s="297">
        <v>93.57</v>
      </c>
      <c r="P448" s="297">
        <v>93.57</v>
      </c>
      <c r="Q448" s="297">
        <v>93.57</v>
      </c>
      <c r="R448" s="297"/>
      <c r="S448" s="297"/>
      <c r="T448" s="297"/>
      <c r="U448" s="297"/>
      <c r="V448" s="297"/>
      <c r="W448" s="297"/>
      <c r="X448" s="297"/>
      <c r="Y448" s="417"/>
      <c r="Z448" s="417"/>
      <c r="AA448" s="471">
        <v>1</v>
      </c>
      <c r="AB448" s="417"/>
      <c r="AC448" s="417"/>
      <c r="AD448" s="417"/>
      <c r="AE448" s="417"/>
      <c r="AF448" s="417"/>
      <c r="AG448" s="417"/>
      <c r="AH448" s="417"/>
      <c r="AI448" s="417"/>
      <c r="AJ448" s="417"/>
      <c r="AK448" s="417"/>
      <c r="AL448" s="417"/>
      <c r="AM448" s="298">
        <f>SUM(Y448:AL448)</f>
        <v>1</v>
      </c>
    </row>
    <row r="449" spans="1:39" ht="15" outlineLevel="1">
      <c r="B449" s="296" t="s">
        <v>258</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41">AA448</f>
        <v>1</v>
      </c>
      <c r="AB449" s="413">
        <f t="shared" si="141"/>
        <v>0</v>
      </c>
      <c r="AC449" s="413">
        <f t="shared" si="141"/>
        <v>0</v>
      </c>
      <c r="AD449" s="413">
        <f t="shared" si="141"/>
        <v>0</v>
      </c>
      <c r="AE449" s="413">
        <f t="shared" si="141"/>
        <v>0</v>
      </c>
      <c r="AF449" s="413">
        <f t="shared" si="141"/>
        <v>0</v>
      </c>
      <c r="AG449" s="413">
        <f t="shared" si="141"/>
        <v>0</v>
      </c>
      <c r="AH449" s="413">
        <f t="shared" si="141"/>
        <v>0</v>
      </c>
      <c r="AI449" s="413">
        <f t="shared" si="141"/>
        <v>0</v>
      </c>
      <c r="AJ449" s="413">
        <f t="shared" si="141"/>
        <v>0</v>
      </c>
      <c r="AK449" s="413">
        <f t="shared" si="141"/>
        <v>0</v>
      </c>
      <c r="AL449" s="413">
        <f t="shared" si="141"/>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30" outlineLevel="1">
      <c r="A451" s="511">
        <v>15</v>
      </c>
      <c r="B451" s="316" t="s">
        <v>481</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258</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42">AA451</f>
        <v>0</v>
      </c>
      <c r="AB452" s="413">
        <f t="shared" si="142"/>
        <v>0</v>
      </c>
      <c r="AC452" s="413">
        <f t="shared" si="142"/>
        <v>0</v>
      </c>
      <c r="AD452" s="413">
        <f t="shared" si="142"/>
        <v>0</v>
      </c>
      <c r="AE452" s="413">
        <f t="shared" si="142"/>
        <v>0</v>
      </c>
      <c r="AF452" s="413">
        <f t="shared" si="142"/>
        <v>0</v>
      </c>
      <c r="AG452" s="413">
        <f t="shared" si="142"/>
        <v>0</v>
      </c>
      <c r="AH452" s="413">
        <f t="shared" si="142"/>
        <v>0</v>
      </c>
      <c r="AI452" s="413">
        <f t="shared" si="142"/>
        <v>0</v>
      </c>
      <c r="AJ452" s="413">
        <f t="shared" si="142"/>
        <v>0</v>
      </c>
      <c r="AK452" s="413">
        <f t="shared" si="142"/>
        <v>0</v>
      </c>
      <c r="AL452" s="413">
        <f t="shared" si="142"/>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482</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258</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43">AA454</f>
        <v>0</v>
      </c>
      <c r="AB455" s="413">
        <f t="shared" si="143"/>
        <v>0</v>
      </c>
      <c r="AC455" s="413">
        <f t="shared" si="143"/>
        <v>0</v>
      </c>
      <c r="AD455" s="413">
        <f t="shared" si="143"/>
        <v>0</v>
      </c>
      <c r="AE455" s="413">
        <f t="shared" si="143"/>
        <v>0</v>
      </c>
      <c r="AF455" s="413">
        <f t="shared" si="143"/>
        <v>0</v>
      </c>
      <c r="AG455" s="413">
        <f t="shared" si="143"/>
        <v>0</v>
      </c>
      <c r="AH455" s="413">
        <f t="shared" si="143"/>
        <v>0</v>
      </c>
      <c r="AI455" s="413">
        <f t="shared" si="143"/>
        <v>0</v>
      </c>
      <c r="AJ455" s="413">
        <f t="shared" si="143"/>
        <v>0</v>
      </c>
      <c r="AK455" s="413">
        <f t="shared" si="143"/>
        <v>0</v>
      </c>
      <c r="AL455" s="413">
        <f t="shared" si="143"/>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v>0</v>
      </c>
      <c r="E457" s="297"/>
      <c r="F457" s="297"/>
      <c r="G457" s="297"/>
      <c r="H457" s="297"/>
      <c r="I457" s="297"/>
      <c r="J457" s="297"/>
      <c r="K457" s="297"/>
      <c r="L457" s="297"/>
      <c r="M457" s="297"/>
      <c r="N457" s="293"/>
      <c r="O457" s="297">
        <v>76</v>
      </c>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258</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44">AA457</f>
        <v>0</v>
      </c>
      <c r="AB458" s="413">
        <f t="shared" si="144"/>
        <v>0</v>
      </c>
      <c r="AC458" s="413">
        <f t="shared" si="144"/>
        <v>0</v>
      </c>
      <c r="AD458" s="413">
        <f t="shared" si="144"/>
        <v>0</v>
      </c>
      <c r="AE458" s="413">
        <f t="shared" si="144"/>
        <v>0</v>
      </c>
      <c r="AF458" s="413">
        <f t="shared" si="144"/>
        <v>0</v>
      </c>
      <c r="AG458" s="413">
        <f t="shared" si="144"/>
        <v>0</v>
      </c>
      <c r="AH458" s="413">
        <f t="shared" si="144"/>
        <v>0</v>
      </c>
      <c r="AI458" s="413">
        <f t="shared" si="144"/>
        <v>0</v>
      </c>
      <c r="AJ458" s="413">
        <f t="shared" si="144"/>
        <v>0</v>
      </c>
      <c r="AK458" s="413">
        <f t="shared" si="144"/>
        <v>0</v>
      </c>
      <c r="AL458" s="413">
        <f t="shared" si="144"/>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258</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45">AA461</f>
        <v>0</v>
      </c>
      <c r="AB462" s="413">
        <f t="shared" si="145"/>
        <v>0</v>
      </c>
      <c r="AC462" s="413">
        <f t="shared" si="145"/>
        <v>0</v>
      </c>
      <c r="AD462" s="413">
        <f t="shared" si="145"/>
        <v>0</v>
      </c>
      <c r="AE462" s="413">
        <f t="shared" si="145"/>
        <v>0</v>
      </c>
      <c r="AF462" s="413">
        <f t="shared" si="145"/>
        <v>0</v>
      </c>
      <c r="AG462" s="413">
        <f t="shared" si="145"/>
        <v>0</v>
      </c>
      <c r="AH462" s="413">
        <f t="shared" si="145"/>
        <v>0</v>
      </c>
      <c r="AI462" s="413">
        <f t="shared" si="145"/>
        <v>0</v>
      </c>
      <c r="AJ462" s="413">
        <f t="shared" si="145"/>
        <v>0</v>
      </c>
      <c r="AK462" s="413">
        <f t="shared" si="145"/>
        <v>0</v>
      </c>
      <c r="AL462" s="413">
        <f t="shared" si="145"/>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v>1</v>
      </c>
      <c r="AB464" s="417"/>
      <c r="AC464" s="417"/>
      <c r="AD464" s="417"/>
      <c r="AE464" s="417"/>
      <c r="AF464" s="417"/>
      <c r="AG464" s="417"/>
      <c r="AH464" s="417"/>
      <c r="AI464" s="417"/>
      <c r="AJ464" s="417"/>
      <c r="AK464" s="417"/>
      <c r="AL464" s="417"/>
      <c r="AM464" s="298">
        <f>SUM(Y464:AL464)</f>
        <v>1</v>
      </c>
    </row>
    <row r="465" spans="1:39" ht="15" outlineLevel="1">
      <c r="B465" s="296" t="s">
        <v>258</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46">AA464</f>
        <v>1</v>
      </c>
      <c r="AB465" s="413">
        <f t="shared" si="146"/>
        <v>0</v>
      </c>
      <c r="AC465" s="413">
        <f t="shared" si="146"/>
        <v>0</v>
      </c>
      <c r="AD465" s="413">
        <f t="shared" si="146"/>
        <v>0</v>
      </c>
      <c r="AE465" s="413">
        <f t="shared" si="146"/>
        <v>0</v>
      </c>
      <c r="AF465" s="413">
        <f t="shared" si="146"/>
        <v>0</v>
      </c>
      <c r="AG465" s="413">
        <f t="shared" si="146"/>
        <v>0</v>
      </c>
      <c r="AH465" s="413">
        <f t="shared" si="146"/>
        <v>0</v>
      </c>
      <c r="AI465" s="413">
        <f t="shared" si="146"/>
        <v>0</v>
      </c>
      <c r="AJ465" s="413">
        <f t="shared" si="146"/>
        <v>0</v>
      </c>
      <c r="AK465" s="413">
        <f t="shared" si="146"/>
        <v>0</v>
      </c>
      <c r="AL465" s="413">
        <f t="shared" si="146"/>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258</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47">AA467</f>
        <v>0</v>
      </c>
      <c r="AB468" s="413">
        <f t="shared" si="147"/>
        <v>0</v>
      </c>
      <c r="AC468" s="413">
        <f t="shared" si="147"/>
        <v>0</v>
      </c>
      <c r="AD468" s="413">
        <f t="shared" si="147"/>
        <v>0</v>
      </c>
      <c r="AE468" s="413">
        <f t="shared" si="147"/>
        <v>0</v>
      </c>
      <c r="AF468" s="413">
        <f t="shared" si="147"/>
        <v>0</v>
      </c>
      <c r="AG468" s="413">
        <f t="shared" si="147"/>
        <v>0</v>
      </c>
      <c r="AH468" s="413">
        <f t="shared" si="147"/>
        <v>0</v>
      </c>
      <c r="AI468" s="413">
        <f t="shared" si="147"/>
        <v>0</v>
      </c>
      <c r="AJ468" s="413">
        <f t="shared" si="147"/>
        <v>0</v>
      </c>
      <c r="AK468" s="413">
        <f t="shared" si="147"/>
        <v>0</v>
      </c>
      <c r="AL468" s="413">
        <f t="shared" si="147"/>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258</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48">AA470</f>
        <v>0</v>
      </c>
      <c r="AB471" s="413">
        <f t="shared" si="148"/>
        <v>0</v>
      </c>
      <c r="AC471" s="413">
        <f t="shared" si="148"/>
        <v>0</v>
      </c>
      <c r="AD471" s="413">
        <f t="shared" si="148"/>
        <v>0</v>
      </c>
      <c r="AE471" s="413">
        <f t="shared" si="148"/>
        <v>0</v>
      </c>
      <c r="AF471" s="413">
        <f t="shared" si="148"/>
        <v>0</v>
      </c>
      <c r="AG471" s="413">
        <f t="shared" si="148"/>
        <v>0</v>
      </c>
      <c r="AH471" s="413">
        <f t="shared" si="148"/>
        <v>0</v>
      </c>
      <c r="AI471" s="413">
        <f t="shared" si="148"/>
        <v>0</v>
      </c>
      <c r="AJ471" s="413">
        <f t="shared" si="148"/>
        <v>0</v>
      </c>
      <c r="AK471" s="413">
        <f t="shared" si="148"/>
        <v>0</v>
      </c>
      <c r="AL471" s="413">
        <f t="shared" si="148"/>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v>0</v>
      </c>
      <c r="E473" s="297"/>
      <c r="F473" s="297"/>
      <c r="G473" s="297"/>
      <c r="H473" s="297"/>
      <c r="I473" s="297"/>
      <c r="J473" s="297"/>
      <c r="K473" s="297"/>
      <c r="L473" s="297"/>
      <c r="M473" s="297"/>
      <c r="N473" s="293"/>
      <c r="O473" s="297">
        <v>448</v>
      </c>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258</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49">AA473</f>
        <v>0</v>
      </c>
      <c r="AB474" s="413">
        <f t="shared" si="149"/>
        <v>0</v>
      </c>
      <c r="AC474" s="413">
        <f t="shared" si="149"/>
        <v>0</v>
      </c>
      <c r="AD474" s="413">
        <f t="shared" si="149"/>
        <v>0</v>
      </c>
      <c r="AE474" s="413">
        <f t="shared" si="149"/>
        <v>0</v>
      </c>
      <c r="AF474" s="413">
        <f t="shared" si="149"/>
        <v>0</v>
      </c>
      <c r="AG474" s="413">
        <f t="shared" si="149"/>
        <v>0</v>
      </c>
      <c r="AH474" s="413">
        <f t="shared" si="149"/>
        <v>0</v>
      </c>
      <c r="AI474" s="413">
        <f t="shared" si="149"/>
        <v>0</v>
      </c>
      <c r="AJ474" s="413">
        <f t="shared" si="149"/>
        <v>0</v>
      </c>
      <c r="AK474" s="413">
        <f t="shared" si="149"/>
        <v>0</v>
      </c>
      <c r="AL474" s="413">
        <f t="shared" si="149"/>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v>99080.25</v>
      </c>
      <c r="E477" s="297">
        <v>98875.87</v>
      </c>
      <c r="F477" s="297">
        <v>89999</v>
      </c>
      <c r="G477" s="297"/>
      <c r="H477" s="297"/>
      <c r="I477" s="297"/>
      <c r="J477" s="297"/>
      <c r="K477" s="297"/>
      <c r="L477" s="297"/>
      <c r="M477" s="297"/>
      <c r="N477" s="293"/>
      <c r="O477" s="297">
        <v>8.73</v>
      </c>
      <c r="P477" s="297">
        <v>8.7200000000000006</v>
      </c>
      <c r="Q477" s="297">
        <v>8.25</v>
      </c>
      <c r="R477" s="297"/>
      <c r="S477" s="297"/>
      <c r="T477" s="297"/>
      <c r="U477" s="297"/>
      <c r="V477" s="297"/>
      <c r="W477" s="297"/>
      <c r="X477" s="297"/>
      <c r="Y477" s="472">
        <v>1</v>
      </c>
      <c r="Z477" s="412"/>
      <c r="AA477" s="412"/>
      <c r="AB477" s="412"/>
      <c r="AC477" s="412"/>
      <c r="AD477" s="412"/>
      <c r="AE477" s="412"/>
      <c r="AF477" s="412"/>
      <c r="AG477" s="412"/>
      <c r="AH477" s="412"/>
      <c r="AI477" s="412"/>
      <c r="AJ477" s="412"/>
      <c r="AK477" s="412"/>
      <c r="AL477" s="412"/>
      <c r="AM477" s="298">
        <f>SUM(Y477:AL477)</f>
        <v>1</v>
      </c>
    </row>
    <row r="478" spans="1:39" ht="15" outlineLevel="1">
      <c r="B478" s="296" t="s">
        <v>258</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50">AA477</f>
        <v>0</v>
      </c>
      <c r="AB478" s="413">
        <f t="shared" si="150"/>
        <v>0</v>
      </c>
      <c r="AC478" s="413">
        <f t="shared" si="150"/>
        <v>0</v>
      </c>
      <c r="AD478" s="413">
        <f t="shared" si="150"/>
        <v>0</v>
      </c>
      <c r="AE478" s="413">
        <f t="shared" si="150"/>
        <v>0</v>
      </c>
      <c r="AF478" s="413">
        <f t="shared" si="150"/>
        <v>0</v>
      </c>
      <c r="AG478" s="413">
        <f t="shared" si="150"/>
        <v>0</v>
      </c>
      <c r="AH478" s="413">
        <f t="shared" si="150"/>
        <v>0</v>
      </c>
      <c r="AI478" s="413">
        <f t="shared" si="150"/>
        <v>0</v>
      </c>
      <c r="AJ478" s="413">
        <f t="shared" si="150"/>
        <v>0</v>
      </c>
      <c r="AK478" s="413">
        <f t="shared" si="150"/>
        <v>0</v>
      </c>
      <c r="AL478" s="413">
        <f t="shared" si="150"/>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483</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258</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51">AA481</f>
        <v>0</v>
      </c>
      <c r="AB482" s="413">
        <f t="shared" si="151"/>
        <v>0</v>
      </c>
      <c r="AC482" s="413">
        <f t="shared" si="151"/>
        <v>0</v>
      </c>
      <c r="AD482" s="413">
        <f t="shared" si="151"/>
        <v>0</v>
      </c>
      <c r="AE482" s="413">
        <f t="shared" si="151"/>
        <v>0</v>
      </c>
      <c r="AF482" s="413">
        <f t="shared" si="151"/>
        <v>0</v>
      </c>
      <c r="AG482" s="413">
        <f t="shared" si="151"/>
        <v>0</v>
      </c>
      <c r="AH482" s="413">
        <f t="shared" si="151"/>
        <v>0</v>
      </c>
      <c r="AI482" s="413">
        <f t="shared" si="151"/>
        <v>0</v>
      </c>
      <c r="AJ482" s="413">
        <f t="shared" si="151"/>
        <v>0</v>
      </c>
      <c r="AK482" s="413">
        <f t="shared" si="151"/>
        <v>0</v>
      </c>
      <c r="AL482" s="413">
        <f t="shared" si="151"/>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258</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52">AA484</f>
        <v>0</v>
      </c>
      <c r="AB485" s="413">
        <f t="shared" si="152"/>
        <v>0</v>
      </c>
      <c r="AC485" s="413">
        <f t="shared" si="152"/>
        <v>0</v>
      </c>
      <c r="AD485" s="413">
        <f t="shared" si="152"/>
        <v>0</v>
      </c>
      <c r="AE485" s="413">
        <f t="shared" si="152"/>
        <v>0</v>
      </c>
      <c r="AF485" s="413">
        <f t="shared" si="152"/>
        <v>0</v>
      </c>
      <c r="AG485" s="413">
        <f t="shared" si="152"/>
        <v>0</v>
      </c>
      <c r="AH485" s="413">
        <f t="shared" si="152"/>
        <v>0</v>
      </c>
      <c r="AI485" s="413">
        <f t="shared" si="152"/>
        <v>0</v>
      </c>
      <c r="AJ485" s="413">
        <f t="shared" si="152"/>
        <v>0</v>
      </c>
      <c r="AK485" s="413">
        <f t="shared" si="152"/>
        <v>0</v>
      </c>
      <c r="AL485" s="413">
        <f t="shared" si="152"/>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30"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258</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53">AA488</f>
        <v>0</v>
      </c>
      <c r="AB489" s="413">
        <f t="shared" si="153"/>
        <v>0</v>
      </c>
      <c r="AC489" s="413">
        <f t="shared" si="153"/>
        <v>0</v>
      </c>
      <c r="AD489" s="413">
        <f t="shared" si="153"/>
        <v>0</v>
      </c>
      <c r="AE489" s="413">
        <f t="shared" si="153"/>
        <v>0</v>
      </c>
      <c r="AF489" s="413">
        <f t="shared" si="153"/>
        <v>0</v>
      </c>
      <c r="AG489" s="413">
        <f t="shared" si="153"/>
        <v>0</v>
      </c>
      <c r="AH489" s="413">
        <f t="shared" si="153"/>
        <v>0</v>
      </c>
      <c r="AI489" s="413">
        <f t="shared" si="153"/>
        <v>0</v>
      </c>
      <c r="AJ489" s="413">
        <f t="shared" si="153"/>
        <v>0</v>
      </c>
      <c r="AK489" s="413">
        <f t="shared" si="153"/>
        <v>0</v>
      </c>
      <c r="AL489" s="413">
        <f t="shared" si="153"/>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30" outlineLevel="1">
      <c r="A491" s="511">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258</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54">AA491</f>
        <v>0</v>
      </c>
      <c r="AB492" s="413">
        <f t="shared" si="154"/>
        <v>0</v>
      </c>
      <c r="AC492" s="413">
        <f t="shared" si="154"/>
        <v>0</v>
      </c>
      <c r="AD492" s="413">
        <f t="shared" si="154"/>
        <v>0</v>
      </c>
      <c r="AE492" s="413">
        <f t="shared" si="154"/>
        <v>0</v>
      </c>
      <c r="AF492" s="413">
        <f t="shared" si="154"/>
        <v>0</v>
      </c>
      <c r="AG492" s="413">
        <f t="shared" si="154"/>
        <v>0</v>
      </c>
      <c r="AH492" s="413">
        <f t="shared" si="154"/>
        <v>0</v>
      </c>
      <c r="AI492" s="413">
        <f t="shared" si="154"/>
        <v>0</v>
      </c>
      <c r="AJ492" s="413">
        <f t="shared" si="154"/>
        <v>0</v>
      </c>
      <c r="AK492" s="413">
        <f t="shared" si="154"/>
        <v>0</v>
      </c>
      <c r="AL492" s="413">
        <f t="shared" si="154"/>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258</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55">AA494</f>
        <v>0</v>
      </c>
      <c r="AB495" s="413">
        <f t="shared" si="155"/>
        <v>0</v>
      </c>
      <c r="AC495" s="413">
        <f t="shared" si="155"/>
        <v>0</v>
      </c>
      <c r="AD495" s="413">
        <f t="shared" si="155"/>
        <v>0</v>
      </c>
      <c r="AE495" s="413">
        <f t="shared" si="155"/>
        <v>0</v>
      </c>
      <c r="AF495" s="413">
        <f t="shared" si="155"/>
        <v>0</v>
      </c>
      <c r="AG495" s="413">
        <f t="shared" si="155"/>
        <v>0</v>
      </c>
      <c r="AH495" s="413">
        <f t="shared" si="155"/>
        <v>0</v>
      </c>
      <c r="AI495" s="413">
        <f t="shared" si="155"/>
        <v>0</v>
      </c>
      <c r="AJ495" s="413">
        <f t="shared" si="155"/>
        <v>0</v>
      </c>
      <c r="AK495" s="413">
        <f t="shared" si="155"/>
        <v>0</v>
      </c>
      <c r="AL495" s="413">
        <f t="shared" si="155"/>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258</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56">Z497</f>
        <v>0</v>
      </c>
      <c r="AA498" s="413">
        <f t="shared" si="156"/>
        <v>0</v>
      </c>
      <c r="AB498" s="413">
        <f t="shared" si="156"/>
        <v>0</v>
      </c>
      <c r="AC498" s="413">
        <f t="shared" si="156"/>
        <v>0</v>
      </c>
      <c r="AD498" s="413">
        <f t="shared" si="156"/>
        <v>0</v>
      </c>
      <c r="AE498" s="413">
        <f t="shared" si="156"/>
        <v>0</v>
      </c>
      <c r="AF498" s="413">
        <f t="shared" si="156"/>
        <v>0</v>
      </c>
      <c r="AG498" s="413">
        <f t="shared" si="156"/>
        <v>0</v>
      </c>
      <c r="AH498" s="413">
        <f t="shared" si="156"/>
        <v>0</v>
      </c>
      <c r="AI498" s="413">
        <f t="shared" si="156"/>
        <v>0</v>
      </c>
      <c r="AJ498" s="413">
        <f t="shared" si="156"/>
        <v>0</v>
      </c>
      <c r="AK498" s="413">
        <f t="shared" si="156"/>
        <v>0</v>
      </c>
      <c r="AL498" s="413">
        <f t="shared" si="156"/>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484</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258</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57">Z500</f>
        <v>0</v>
      </c>
      <c r="AA501" s="413">
        <f t="shared" si="157"/>
        <v>0</v>
      </c>
      <c r="AB501" s="413">
        <f t="shared" si="157"/>
        <v>0</v>
      </c>
      <c r="AC501" s="413">
        <f t="shared" si="157"/>
        <v>0</v>
      </c>
      <c r="AD501" s="413">
        <f t="shared" si="157"/>
        <v>0</v>
      </c>
      <c r="AE501" s="413">
        <f t="shared" si="157"/>
        <v>0</v>
      </c>
      <c r="AF501" s="413">
        <f t="shared" si="157"/>
        <v>0</v>
      </c>
      <c r="AG501" s="413">
        <f t="shared" si="157"/>
        <v>0</v>
      </c>
      <c r="AH501" s="413">
        <f t="shared" si="157"/>
        <v>0</v>
      </c>
      <c r="AI501" s="413">
        <f t="shared" si="157"/>
        <v>0</v>
      </c>
      <c r="AJ501" s="413">
        <f t="shared" si="157"/>
        <v>0</v>
      </c>
      <c r="AK501" s="413">
        <f t="shared" si="157"/>
        <v>0</v>
      </c>
      <c r="AL501" s="413">
        <f t="shared" si="157"/>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485</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486</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258</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58">Z504</f>
        <v>0</v>
      </c>
      <c r="AA505" s="413">
        <f t="shared" si="158"/>
        <v>0</v>
      </c>
      <c r="AB505" s="413">
        <f t="shared" si="158"/>
        <v>0</v>
      </c>
      <c r="AC505" s="413">
        <f t="shared" si="158"/>
        <v>0</v>
      </c>
      <c r="AD505" s="413">
        <f t="shared" si="158"/>
        <v>0</v>
      </c>
      <c r="AE505" s="413">
        <f t="shared" si="158"/>
        <v>0</v>
      </c>
      <c r="AF505" s="413">
        <f t="shared" si="158"/>
        <v>0</v>
      </c>
      <c r="AG505" s="413">
        <f t="shared" si="158"/>
        <v>0</v>
      </c>
      <c r="AH505" s="413">
        <f t="shared" si="158"/>
        <v>0</v>
      </c>
      <c r="AI505" s="413">
        <f t="shared" si="158"/>
        <v>0</v>
      </c>
      <c r="AJ505" s="413">
        <f t="shared" si="158"/>
        <v>0</v>
      </c>
      <c r="AK505" s="413">
        <f t="shared" si="158"/>
        <v>0</v>
      </c>
      <c r="AL505" s="413">
        <f t="shared" si="158"/>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487</v>
      </c>
      <c r="C507" s="293" t="s">
        <v>25</v>
      </c>
      <c r="D507" s="297">
        <v>0</v>
      </c>
      <c r="E507" s="297"/>
      <c r="F507" s="297"/>
      <c r="G507" s="297"/>
      <c r="H507" s="297"/>
      <c r="I507" s="297"/>
      <c r="J507" s="297"/>
      <c r="K507" s="297"/>
      <c r="L507" s="297"/>
      <c r="M507" s="297"/>
      <c r="N507" s="297">
        <v>0</v>
      </c>
      <c r="O507" s="297">
        <v>449</v>
      </c>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 outlineLevel="1">
      <c r="A508" s="511"/>
      <c r="B508" s="326" t="s">
        <v>258</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59">Z507</f>
        <v>0</v>
      </c>
      <c r="AA508" s="413">
        <f t="shared" si="159"/>
        <v>0</v>
      </c>
      <c r="AB508" s="413">
        <f t="shared" si="159"/>
        <v>0</v>
      </c>
      <c r="AC508" s="413">
        <f t="shared" si="159"/>
        <v>0</v>
      </c>
      <c r="AD508" s="413">
        <f t="shared" si="159"/>
        <v>0</v>
      </c>
      <c r="AE508" s="413">
        <f t="shared" si="159"/>
        <v>0</v>
      </c>
      <c r="AF508" s="413">
        <f t="shared" si="159"/>
        <v>0</v>
      </c>
      <c r="AG508" s="413">
        <f t="shared" si="159"/>
        <v>0</v>
      </c>
      <c r="AH508" s="413">
        <f t="shared" si="159"/>
        <v>0</v>
      </c>
      <c r="AI508" s="413">
        <f t="shared" si="159"/>
        <v>0</v>
      </c>
      <c r="AJ508" s="413">
        <f t="shared" si="159"/>
        <v>0</v>
      </c>
      <c r="AK508" s="413">
        <f t="shared" si="159"/>
        <v>0</v>
      </c>
      <c r="AL508" s="413">
        <f t="shared" si="159"/>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488</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258</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60">Z510</f>
        <v>0</v>
      </c>
      <c r="AA511" s="413">
        <f t="shared" si="160"/>
        <v>0</v>
      </c>
      <c r="AB511" s="413">
        <f t="shared" si="160"/>
        <v>0</v>
      </c>
      <c r="AC511" s="413">
        <f t="shared" si="160"/>
        <v>0</v>
      </c>
      <c r="AD511" s="413">
        <f t="shared" si="160"/>
        <v>0</v>
      </c>
      <c r="AE511" s="413">
        <f t="shared" si="160"/>
        <v>0</v>
      </c>
      <c r="AF511" s="413">
        <f t="shared" si="160"/>
        <v>0</v>
      </c>
      <c r="AG511" s="413">
        <f t="shared" si="160"/>
        <v>0</v>
      </c>
      <c r="AH511" s="413">
        <f t="shared" si="160"/>
        <v>0</v>
      </c>
      <c r="AI511" s="413">
        <f t="shared" si="160"/>
        <v>0</v>
      </c>
      <c r="AJ511" s="413">
        <f t="shared" si="160"/>
        <v>0</v>
      </c>
      <c r="AK511" s="413">
        <f t="shared" si="160"/>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259</v>
      </c>
      <c r="C513" s="331"/>
      <c r="D513" s="331">
        <f>SUM(D408:D511)</f>
        <v>5738143.54</v>
      </c>
      <c r="E513" s="331">
        <f t="shared" ref="E513:F513" si="161">SUM(E408:E511)</f>
        <v>5576464.8700000001</v>
      </c>
      <c r="F513" s="331">
        <f t="shared" si="161"/>
        <v>5385787.9900000002</v>
      </c>
      <c r="G513" s="331"/>
      <c r="H513" s="331"/>
      <c r="I513" s="331"/>
      <c r="J513" s="331"/>
      <c r="K513" s="331"/>
      <c r="L513" s="331"/>
      <c r="M513" s="331"/>
      <c r="N513" s="331"/>
      <c r="O513" s="331">
        <f>SUM(O408:O511)</f>
        <v>2330.75</v>
      </c>
      <c r="P513" s="331">
        <f t="shared" ref="P513:Q513" si="162">SUM(P408:P511)</f>
        <v>1004.95</v>
      </c>
      <c r="Q513" s="331">
        <f t="shared" si="162"/>
        <v>974.00999999999976</v>
      </c>
      <c r="R513" s="331"/>
      <c r="S513" s="331"/>
      <c r="T513" s="331"/>
      <c r="U513" s="331"/>
      <c r="V513" s="331"/>
      <c r="W513" s="331"/>
      <c r="X513" s="331"/>
      <c r="Y513" s="331">
        <f>IF(Y407="kWh",SUMPRODUCT(D408:D511,Y408:Y511))</f>
        <v>1989634.83</v>
      </c>
      <c r="Z513" s="331">
        <f>IF(Z407="kWh",SUMPRODUCT(D408:D511,Z408:Z511))</f>
        <v>779547.72</v>
      </c>
      <c r="AA513" s="331">
        <f>IF(AA407="kW",SUMPRODUCT(N408:N511,O408:O511,AA408:AA511),SUMPRODUCT(D408:D511,AA408:AA511))</f>
        <v>5070.84</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260</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1.46E-2</v>
      </c>
      <c r="Z516" s="343">
        <f>HLOOKUP(Z$20,'3.  Distribution Rates'!$C$122:$P$133,6,FALSE)</f>
        <v>0.02</v>
      </c>
      <c r="AA516" s="343">
        <f>HLOOKUP(AA$20,'3.  Distribution Rates'!$C$122:$P$133,6,FALSE)</f>
        <v>4.0388999999999999</v>
      </c>
      <c r="AB516" s="343">
        <f>HLOOKUP(AB$20,'3.  Distribution Rates'!$C$122:$P$133,6,FALSE)</f>
        <v>0</v>
      </c>
      <c r="AC516" s="343">
        <f>HLOOKUP(AC$20,'3.  Distribution Rates'!$C$122:$P$133,6,FALSE)</f>
        <v>0</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17573.655584</v>
      </c>
      <c r="Z517" s="380">
        <f t="shared" ref="Z517:AL517" si="163">Z137*Z516</f>
        <v>666.91880000000003</v>
      </c>
      <c r="AA517" s="380">
        <f t="shared" si="163"/>
        <v>14587.108943233334</v>
      </c>
      <c r="AB517" s="380">
        <f t="shared" si="163"/>
        <v>0</v>
      </c>
      <c r="AC517" s="380">
        <f t="shared" si="163"/>
        <v>0</v>
      </c>
      <c r="AD517" s="380">
        <f t="shared" si="163"/>
        <v>0</v>
      </c>
      <c r="AE517" s="380">
        <f t="shared" si="163"/>
        <v>0</v>
      </c>
      <c r="AF517" s="380">
        <f t="shared" si="163"/>
        <v>0</v>
      </c>
      <c r="AG517" s="380">
        <f t="shared" si="163"/>
        <v>0</v>
      </c>
      <c r="AH517" s="380">
        <f t="shared" si="163"/>
        <v>0</v>
      </c>
      <c r="AI517" s="380">
        <f t="shared" si="163"/>
        <v>0</v>
      </c>
      <c r="AJ517" s="380">
        <f t="shared" si="163"/>
        <v>0</v>
      </c>
      <c r="AK517" s="380">
        <f t="shared" si="163"/>
        <v>0</v>
      </c>
      <c r="AL517" s="380">
        <f t="shared" si="163"/>
        <v>0</v>
      </c>
      <c r="AM517" s="631">
        <f>SUM(Y517:AL517)</f>
        <v>32827.683327233332</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10607.541523999998</v>
      </c>
      <c r="Z518" s="380">
        <f t="shared" ref="Z518:AL518" si="164">Z266*Z516</f>
        <v>928.28499999999997</v>
      </c>
      <c r="AA518" s="380">
        <f t="shared" si="164"/>
        <v>16355.606328</v>
      </c>
      <c r="AB518" s="380">
        <f t="shared" si="164"/>
        <v>0</v>
      </c>
      <c r="AC518" s="380">
        <f t="shared" si="164"/>
        <v>0</v>
      </c>
      <c r="AD518" s="380">
        <f t="shared" si="164"/>
        <v>0</v>
      </c>
      <c r="AE518" s="380">
        <f t="shared" si="164"/>
        <v>0</v>
      </c>
      <c r="AF518" s="380">
        <f t="shared" si="164"/>
        <v>0</v>
      </c>
      <c r="AG518" s="380">
        <f t="shared" si="164"/>
        <v>0</v>
      </c>
      <c r="AH518" s="380">
        <f t="shared" si="164"/>
        <v>0</v>
      </c>
      <c r="AI518" s="380">
        <f t="shared" si="164"/>
        <v>0</v>
      </c>
      <c r="AJ518" s="380">
        <f t="shared" si="164"/>
        <v>0</v>
      </c>
      <c r="AK518" s="380">
        <f t="shared" si="164"/>
        <v>0</v>
      </c>
      <c r="AL518" s="380">
        <f t="shared" si="164"/>
        <v>0</v>
      </c>
      <c r="AM518" s="631">
        <f>SUM(Y518:AL518)</f>
        <v>27891.432851999998</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11586.124628</v>
      </c>
      <c r="Z519" s="380">
        <f t="shared" ref="Z519:AL519" si="165">Z395*Z516</f>
        <v>2585.7760000000003</v>
      </c>
      <c r="AA519" s="380">
        <f t="shared" si="165"/>
        <v>21014.719811999999</v>
      </c>
      <c r="AB519" s="380">
        <f t="shared" si="165"/>
        <v>0</v>
      </c>
      <c r="AC519" s="380">
        <f t="shared" si="165"/>
        <v>0</v>
      </c>
      <c r="AD519" s="380">
        <f t="shared" si="165"/>
        <v>0</v>
      </c>
      <c r="AE519" s="380">
        <f t="shared" si="165"/>
        <v>0</v>
      </c>
      <c r="AF519" s="380">
        <f t="shared" si="165"/>
        <v>0</v>
      </c>
      <c r="AG519" s="380">
        <f t="shared" si="165"/>
        <v>0</v>
      </c>
      <c r="AH519" s="380">
        <f t="shared" si="165"/>
        <v>0</v>
      </c>
      <c r="AI519" s="380">
        <f t="shared" si="165"/>
        <v>0</v>
      </c>
      <c r="AJ519" s="380">
        <f t="shared" si="165"/>
        <v>0</v>
      </c>
      <c r="AK519" s="380">
        <f t="shared" si="165"/>
        <v>0</v>
      </c>
      <c r="AL519" s="380">
        <f t="shared" si="165"/>
        <v>0</v>
      </c>
      <c r="AM519" s="631">
        <f>SUM(Y519:AL519)</f>
        <v>35186.620439999999</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29048.668518000002</v>
      </c>
      <c r="Z520" s="380">
        <f t="shared" ref="Z520:AK520" si="166">Z513*Z516</f>
        <v>15590.954400000001</v>
      </c>
      <c r="AA520" s="380">
        <f t="shared" si="166"/>
        <v>20480.615676000001</v>
      </c>
      <c r="AB520" s="380">
        <f t="shared" si="166"/>
        <v>0</v>
      </c>
      <c r="AC520" s="380">
        <f t="shared" si="166"/>
        <v>0</v>
      </c>
      <c r="AD520" s="380">
        <f t="shared" si="166"/>
        <v>0</v>
      </c>
      <c r="AE520" s="380">
        <f t="shared" si="166"/>
        <v>0</v>
      </c>
      <c r="AF520" s="380">
        <f t="shared" si="166"/>
        <v>0</v>
      </c>
      <c r="AG520" s="380">
        <f t="shared" si="166"/>
        <v>0</v>
      </c>
      <c r="AH520" s="380">
        <f t="shared" si="166"/>
        <v>0</v>
      </c>
      <c r="AI520" s="380">
        <f>AI513*AI516</f>
        <v>0</v>
      </c>
      <c r="AJ520" s="380">
        <f t="shared" si="166"/>
        <v>0</v>
      </c>
      <c r="AK520" s="380">
        <f t="shared" si="166"/>
        <v>0</v>
      </c>
      <c r="AL520" s="380">
        <f>AL513*AL516</f>
        <v>0</v>
      </c>
      <c r="AM520" s="631">
        <f>SUM(Y520:AL520)</f>
        <v>65120.238594000002</v>
      </c>
      <c r="AN520" s="255" t="s">
        <v>708</v>
      </c>
    </row>
    <row r="521" spans="2:41" ht="15.75">
      <c r="B521" s="351" t="s">
        <v>261</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68815.990254000004</v>
      </c>
      <c r="Z521" s="348">
        <f t="shared" ref="Z521:AK521" si="167">SUM(Z517:Z520)</f>
        <v>19771.9342</v>
      </c>
      <c r="AA521" s="348">
        <f t="shared" si="167"/>
        <v>72438.050759233331</v>
      </c>
      <c r="AB521" s="348">
        <f t="shared" si="167"/>
        <v>0</v>
      </c>
      <c r="AC521" s="348">
        <f t="shared" si="167"/>
        <v>0</v>
      </c>
      <c r="AD521" s="348">
        <f t="shared" si="167"/>
        <v>0</v>
      </c>
      <c r="AE521" s="348">
        <f t="shared" si="167"/>
        <v>0</v>
      </c>
      <c r="AF521" s="348">
        <f t="shared" si="167"/>
        <v>0</v>
      </c>
      <c r="AG521" s="348">
        <f t="shared" si="167"/>
        <v>0</v>
      </c>
      <c r="AH521" s="348">
        <f t="shared" si="167"/>
        <v>0</v>
      </c>
      <c r="AI521" s="348">
        <f t="shared" si="167"/>
        <v>0</v>
      </c>
      <c r="AJ521" s="348">
        <f t="shared" si="167"/>
        <v>0</v>
      </c>
      <c r="AK521" s="348">
        <f t="shared" si="167"/>
        <v>0</v>
      </c>
      <c r="AL521" s="348">
        <f>SUM(AL517:AL520)</f>
        <v>0</v>
      </c>
      <c r="AM521" s="409">
        <f>SUM(AM517:AM520)</f>
        <v>161025.97521323332</v>
      </c>
    </row>
    <row r="522" spans="2:41" ht="15.75">
      <c r="B522" s="351" t="s">
        <v>262</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68">Z514*Z516</f>
        <v>0</v>
      </c>
      <c r="AA522" s="349">
        <f>AA514*AA516</f>
        <v>0</v>
      </c>
      <c r="AB522" s="349">
        <f t="shared" si="168"/>
        <v>0</v>
      </c>
      <c r="AC522" s="349">
        <f t="shared" si="168"/>
        <v>0</v>
      </c>
      <c r="AD522" s="349">
        <f>AD514*AD516</f>
        <v>0</v>
      </c>
      <c r="AE522" s="349">
        <f t="shared" si="168"/>
        <v>0</v>
      </c>
      <c r="AF522" s="349">
        <f t="shared" si="168"/>
        <v>0</v>
      </c>
      <c r="AG522" s="349">
        <f t="shared" si="168"/>
        <v>0</v>
      </c>
      <c r="AH522" s="349">
        <f t="shared" si="168"/>
        <v>0</v>
      </c>
      <c r="AI522" s="349">
        <f t="shared" si="168"/>
        <v>0</v>
      </c>
      <c r="AJ522" s="349">
        <f t="shared" si="168"/>
        <v>0</v>
      </c>
      <c r="AK522" s="349">
        <f>AK514*AK516</f>
        <v>0</v>
      </c>
      <c r="AL522" s="349">
        <f>AL514*AL516</f>
        <v>0</v>
      </c>
      <c r="AM522" s="409">
        <f>SUM(Y522:AL522)</f>
        <v>0</v>
      </c>
    </row>
    <row r="523" spans="2:41" ht="15.75">
      <c r="B523" s="351" t="s">
        <v>264</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161025.97521323332</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200</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1831713.08</v>
      </c>
      <c r="Z526" s="293">
        <f>SUMPRODUCT(E408:E511,Z408:Z511)</f>
        <v>776206.8</v>
      </c>
      <c r="AA526" s="293">
        <f>IF(AA407="kW",SUMPRODUCT(N408:N511,P408:P511,AA408:AA511),SUMPRODUCT(E408:E511,AA408:AA511))</f>
        <v>5070.84</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201</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1741252</v>
      </c>
      <c r="Z527" s="293">
        <f>SUMPRODUCT(F408:F511,Z408:Z511)</f>
        <v>675991</v>
      </c>
      <c r="AA527" s="293">
        <f>IF(AA407="kW",SUMPRODUCT(N408:N511,Q408:Q511,AA408:AA511),SUMPRODUCT(F408:F511,AA408:AA511))</f>
        <v>5064.72</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202</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0</v>
      </c>
      <c r="Z528" s="293">
        <f>SUMPRODUCT(G408:G511,Z408:Z511)</f>
        <v>0</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203</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0</v>
      </c>
      <c r="Z529" s="293">
        <f>SUMPRODUCT(H408:H511,Z408:Z511)</f>
        <v>0</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204</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0</v>
      </c>
      <c r="Z530" s="293">
        <f>SUMPRODUCT(I408:I511,Z408:Z511)</f>
        <v>0</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205</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0</v>
      </c>
      <c r="Z531" s="328">
        <f>SUMPRODUCT(J408:J511,Z408:Z511)</f>
        <v>0</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585</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521</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5" right="0.25" top="0.75" bottom="0.75" header="0.3" footer="0.3"/>
  <pageSetup scale="35"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zoomScale="90" zoomScaleNormal="90" workbookViewId="0">
      <pane xSplit="2" topLeftCell="C1" activePane="topRight" state="frozen"/>
      <selection pane="topRight" activeCell="D391" sqref="D391"/>
    </sheetView>
  </sheetViews>
  <sheetFormatPr defaultColWidth="9.140625" defaultRowHeight="15" outlineLevelRow="1" outlineLevelCol="1"/>
  <cols>
    <col min="1" max="1" width="4.5703125" style="524" customWidth="1"/>
    <col min="2" max="2" width="44.140625" style="429" customWidth="1"/>
    <col min="3" max="3" width="13.42578125" style="429" customWidth="1"/>
    <col min="4" max="4" width="17" style="429" customWidth="1"/>
    <col min="5" max="5" width="11.28515625" style="429" customWidth="1" outlineLevel="1"/>
    <col min="6" max="6" width="10.28515625" style="429" customWidth="1" outlineLevel="1"/>
    <col min="7" max="13" width="9.140625" style="429"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95"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95"/>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95"/>
      <c r="C16" s="893" t="s">
        <v>546</v>
      </c>
      <c r="D16" s="894"/>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95" t="s">
        <v>500</v>
      </c>
      <c r="C18" s="896" t="s">
        <v>669</v>
      </c>
      <c r="D18" s="896"/>
      <c r="E18" s="896"/>
      <c r="F18" s="896"/>
      <c r="G18" s="896"/>
      <c r="H18" s="896"/>
      <c r="I18" s="896"/>
      <c r="J18" s="896"/>
      <c r="K18" s="896"/>
      <c r="L18" s="896"/>
      <c r="M18" s="896"/>
      <c r="N18" s="896"/>
      <c r="O18" s="896"/>
      <c r="P18" s="896"/>
      <c r="Q18" s="896"/>
      <c r="R18" s="896"/>
      <c r="S18" s="896"/>
      <c r="T18" s="896"/>
      <c r="U18" s="896"/>
      <c r="V18" s="896"/>
      <c r="W18" s="896"/>
      <c r="X18" s="896"/>
      <c r="Y18" s="608"/>
      <c r="Z18" s="608"/>
      <c r="AA18" s="608"/>
      <c r="AB18" s="608"/>
      <c r="AC18" s="608"/>
      <c r="AD18" s="608"/>
      <c r="AE18" s="272"/>
      <c r="AF18" s="267"/>
      <c r="AG18" s="267"/>
      <c r="AH18" s="267"/>
      <c r="AI18" s="267"/>
      <c r="AJ18" s="267"/>
      <c r="AK18" s="267"/>
      <c r="AL18" s="267"/>
      <c r="AM18" s="267"/>
    </row>
    <row r="19" spans="2:39" ht="45.75" customHeight="1">
      <c r="B19" s="895"/>
      <c r="C19" s="896" t="s">
        <v>568</v>
      </c>
      <c r="D19" s="896"/>
      <c r="E19" s="896"/>
      <c r="F19" s="896"/>
      <c r="G19" s="896"/>
      <c r="H19" s="896"/>
      <c r="I19" s="896"/>
      <c r="J19" s="896"/>
      <c r="K19" s="896"/>
      <c r="L19" s="896"/>
      <c r="M19" s="896"/>
      <c r="N19" s="896"/>
      <c r="O19" s="896"/>
      <c r="P19" s="896"/>
      <c r="Q19" s="896"/>
      <c r="R19" s="896"/>
      <c r="S19" s="896"/>
      <c r="T19" s="896"/>
      <c r="U19" s="896"/>
      <c r="V19" s="896"/>
      <c r="W19" s="896"/>
      <c r="X19" s="896"/>
      <c r="Y19" s="608"/>
      <c r="Z19" s="608"/>
      <c r="AA19" s="608"/>
      <c r="AB19" s="608"/>
      <c r="AC19" s="608"/>
      <c r="AD19" s="608"/>
      <c r="AE19" s="272"/>
      <c r="AF19" s="267"/>
      <c r="AG19" s="267"/>
      <c r="AH19" s="267"/>
      <c r="AI19" s="267"/>
      <c r="AJ19" s="267"/>
      <c r="AK19" s="267"/>
      <c r="AL19" s="267"/>
      <c r="AM19" s="267"/>
    </row>
    <row r="20" spans="2:39" ht="62.25" customHeight="1">
      <c r="B20" s="275"/>
      <c r="C20" s="896" t="s">
        <v>566</v>
      </c>
      <c r="D20" s="896"/>
      <c r="E20" s="896"/>
      <c r="F20" s="896"/>
      <c r="G20" s="896"/>
      <c r="H20" s="896"/>
      <c r="I20" s="896"/>
      <c r="J20" s="896"/>
      <c r="K20" s="896"/>
      <c r="L20" s="896"/>
      <c r="M20" s="896"/>
      <c r="N20" s="896"/>
      <c r="O20" s="896"/>
      <c r="P20" s="896"/>
      <c r="Q20" s="896"/>
      <c r="R20" s="896"/>
      <c r="S20" s="896"/>
      <c r="T20" s="896"/>
      <c r="U20" s="896"/>
      <c r="V20" s="896"/>
      <c r="W20" s="896"/>
      <c r="X20" s="896"/>
      <c r="Y20" s="608"/>
      <c r="Z20" s="608"/>
      <c r="AA20" s="608"/>
      <c r="AB20" s="608"/>
      <c r="AC20" s="608"/>
      <c r="AD20" s="608"/>
      <c r="AE20" s="430"/>
      <c r="AF20" s="267"/>
      <c r="AG20" s="267"/>
      <c r="AH20" s="267"/>
      <c r="AI20" s="267"/>
      <c r="AJ20" s="267"/>
      <c r="AK20" s="267"/>
      <c r="AL20" s="267"/>
      <c r="AM20" s="267"/>
    </row>
    <row r="21" spans="2:39" ht="37.5" customHeight="1">
      <c r="B21" s="275"/>
      <c r="C21" s="896" t="s">
        <v>636</v>
      </c>
      <c r="D21" s="896"/>
      <c r="E21" s="896"/>
      <c r="F21" s="896"/>
      <c r="G21" s="896"/>
      <c r="H21" s="896"/>
      <c r="I21" s="896"/>
      <c r="J21" s="896"/>
      <c r="K21" s="896"/>
      <c r="L21" s="896"/>
      <c r="M21" s="896"/>
      <c r="N21" s="896"/>
      <c r="O21" s="896"/>
      <c r="P21" s="896"/>
      <c r="Q21" s="896"/>
      <c r="R21" s="896"/>
      <c r="S21" s="896"/>
      <c r="T21" s="896"/>
      <c r="U21" s="896"/>
      <c r="V21" s="896"/>
      <c r="W21" s="896"/>
      <c r="X21" s="896"/>
      <c r="Y21" s="608"/>
      <c r="Z21" s="608"/>
      <c r="AA21" s="608"/>
      <c r="AB21" s="608"/>
      <c r="AC21" s="608"/>
      <c r="AD21" s="608"/>
      <c r="AE21" s="278"/>
      <c r="AF21" s="267"/>
      <c r="AG21" s="267"/>
      <c r="AH21" s="267"/>
      <c r="AI21" s="267"/>
      <c r="AJ21" s="267"/>
      <c r="AK21" s="267"/>
      <c r="AL21" s="267"/>
      <c r="AM21" s="267"/>
    </row>
    <row r="22" spans="2:39" ht="54.75" customHeight="1">
      <c r="B22" s="275"/>
      <c r="C22" s="896" t="s">
        <v>618</v>
      </c>
      <c r="D22" s="896"/>
      <c r="E22" s="896"/>
      <c r="F22" s="896"/>
      <c r="G22" s="896"/>
      <c r="H22" s="896"/>
      <c r="I22" s="896"/>
      <c r="J22" s="896"/>
      <c r="K22" s="896"/>
      <c r="L22" s="896"/>
      <c r="M22" s="896"/>
      <c r="N22" s="896"/>
      <c r="O22" s="896"/>
      <c r="P22" s="896"/>
      <c r="Q22" s="896"/>
      <c r="R22" s="896"/>
      <c r="S22" s="896"/>
      <c r="T22" s="896"/>
      <c r="U22" s="896"/>
      <c r="V22" s="896"/>
      <c r="W22" s="896"/>
      <c r="X22" s="896"/>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95" t="s">
        <v>522</v>
      </c>
      <c r="C24" s="598" t="s">
        <v>524</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95"/>
      <c r="C25" s="598" t="s">
        <v>525</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526</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527</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528</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529</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756" t="s">
        <v>265</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97" t="s">
        <v>210</v>
      </c>
      <c r="C34" s="899" t="s">
        <v>33</v>
      </c>
      <c r="D34" s="286" t="s">
        <v>421</v>
      </c>
      <c r="E34" s="901" t="s">
        <v>208</v>
      </c>
      <c r="F34" s="902"/>
      <c r="G34" s="902"/>
      <c r="H34" s="902"/>
      <c r="I34" s="902"/>
      <c r="J34" s="902"/>
      <c r="K34" s="902"/>
      <c r="L34" s="902"/>
      <c r="M34" s="903"/>
      <c r="N34" s="907" t="s">
        <v>212</v>
      </c>
      <c r="O34" s="286" t="s">
        <v>422</v>
      </c>
      <c r="P34" s="901" t="s">
        <v>211</v>
      </c>
      <c r="Q34" s="902"/>
      <c r="R34" s="902"/>
      <c r="S34" s="902"/>
      <c r="T34" s="902"/>
      <c r="U34" s="902"/>
      <c r="V34" s="902"/>
      <c r="W34" s="902"/>
      <c r="X34" s="903"/>
      <c r="Y34" s="904" t="s">
        <v>242</v>
      </c>
      <c r="Z34" s="905"/>
      <c r="AA34" s="905"/>
      <c r="AB34" s="905"/>
      <c r="AC34" s="905"/>
      <c r="AD34" s="905"/>
      <c r="AE34" s="905"/>
      <c r="AF34" s="905"/>
      <c r="AG34" s="905"/>
      <c r="AH34" s="905"/>
      <c r="AI34" s="905"/>
      <c r="AJ34" s="905"/>
      <c r="AK34" s="905"/>
      <c r="AL34" s="905"/>
      <c r="AM34" s="906"/>
    </row>
    <row r="35" spans="1:39" ht="65.25" customHeight="1">
      <c r="B35" s="898"/>
      <c r="C35" s="900"/>
      <c r="D35" s="287">
        <v>2015</v>
      </c>
      <c r="E35" s="287">
        <v>2016</v>
      </c>
      <c r="F35" s="287">
        <v>2017</v>
      </c>
      <c r="G35" s="287">
        <v>2018</v>
      </c>
      <c r="H35" s="287">
        <v>2019</v>
      </c>
      <c r="I35" s="287">
        <v>2020</v>
      </c>
      <c r="J35" s="287">
        <v>2021</v>
      </c>
      <c r="K35" s="287">
        <v>2022</v>
      </c>
      <c r="L35" s="287">
        <v>2023</v>
      </c>
      <c r="M35" s="431">
        <v>2024</v>
      </c>
      <c r="N35" s="908"/>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GS&gt;50 kW</v>
      </c>
      <c r="AB35" s="287" t="str">
        <f>'1.  LRAMVA Summary'!G50</f>
        <v>Streetlighting</v>
      </c>
      <c r="AC35" s="287" t="str">
        <f>'1.  LRAMVA Summary'!H50</f>
        <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499</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f>'1.  LRAMVA Summary'!H51</f>
        <v>0</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492</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463048</v>
      </c>
      <c r="E38" s="297">
        <v>458886</v>
      </c>
      <c r="F38" s="297"/>
      <c r="G38" s="297"/>
      <c r="H38" s="297"/>
      <c r="I38" s="297"/>
      <c r="J38" s="297"/>
      <c r="K38" s="297"/>
      <c r="L38" s="297"/>
      <c r="M38" s="297"/>
      <c r="N38" s="293"/>
      <c r="O38" s="297">
        <v>31</v>
      </c>
      <c r="P38" s="297">
        <v>31</v>
      </c>
      <c r="Q38" s="297"/>
      <c r="R38" s="297"/>
      <c r="S38" s="297"/>
      <c r="T38" s="297"/>
      <c r="U38" s="297"/>
      <c r="V38" s="297"/>
      <c r="W38" s="297"/>
      <c r="X38" s="297"/>
      <c r="Y38" s="412">
        <v>1</v>
      </c>
      <c r="Z38" s="412"/>
      <c r="AA38" s="412"/>
      <c r="AB38" s="412"/>
      <c r="AC38" s="412"/>
      <c r="AD38" s="412"/>
      <c r="AE38" s="412"/>
      <c r="AF38" s="412"/>
      <c r="AG38" s="412"/>
      <c r="AH38" s="412"/>
      <c r="AI38" s="412"/>
      <c r="AJ38" s="412"/>
      <c r="AK38" s="412"/>
      <c r="AL38" s="412"/>
      <c r="AM38" s="298">
        <f>SUM(Y38:AL38)</f>
        <v>1</v>
      </c>
    </row>
    <row r="39" spans="1:39" outlineLevel="1">
      <c r="B39" s="296" t="s">
        <v>266</v>
      </c>
      <c r="C39" s="293" t="s">
        <v>164</v>
      </c>
      <c r="D39" s="297">
        <v>87602</v>
      </c>
      <c r="E39" s="297">
        <v>86378</v>
      </c>
      <c r="F39" s="297"/>
      <c r="G39" s="297"/>
      <c r="H39" s="297"/>
      <c r="I39" s="297"/>
      <c r="J39" s="297"/>
      <c r="K39" s="297"/>
      <c r="L39" s="297"/>
      <c r="M39" s="297"/>
      <c r="N39" s="470"/>
      <c r="O39" s="297">
        <v>6</v>
      </c>
      <c r="P39" s="297">
        <v>6</v>
      </c>
      <c r="Q39" s="297"/>
      <c r="R39" s="297"/>
      <c r="S39" s="297"/>
      <c r="T39" s="297"/>
      <c r="U39" s="297"/>
      <c r="V39" s="297"/>
      <c r="W39" s="297"/>
      <c r="X39" s="297"/>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812151</v>
      </c>
      <c r="E41" s="297">
        <v>797717</v>
      </c>
      <c r="F41" s="297"/>
      <c r="G41" s="297"/>
      <c r="H41" s="297"/>
      <c r="I41" s="297"/>
      <c r="J41" s="297"/>
      <c r="K41" s="297"/>
      <c r="L41" s="297"/>
      <c r="M41" s="297"/>
      <c r="N41" s="293"/>
      <c r="O41" s="297">
        <v>55</v>
      </c>
      <c r="P41" s="297">
        <v>54</v>
      </c>
      <c r="Q41" s="297"/>
      <c r="R41" s="297"/>
      <c r="S41" s="297"/>
      <c r="T41" s="297"/>
      <c r="U41" s="297"/>
      <c r="V41" s="297"/>
      <c r="W41" s="297"/>
      <c r="X41" s="297"/>
      <c r="Y41" s="412">
        <v>1</v>
      </c>
      <c r="Z41" s="412"/>
      <c r="AA41" s="412"/>
      <c r="AB41" s="412"/>
      <c r="AC41" s="412"/>
      <c r="AD41" s="412"/>
      <c r="AE41" s="412"/>
      <c r="AF41" s="412"/>
      <c r="AG41" s="412"/>
      <c r="AH41" s="412"/>
      <c r="AI41" s="412"/>
      <c r="AJ41" s="412"/>
      <c r="AK41" s="412"/>
      <c r="AL41" s="412"/>
      <c r="AM41" s="298">
        <f>SUM(Y41:AL41)</f>
        <v>1</v>
      </c>
    </row>
    <row r="42" spans="1:39" outlineLevel="1">
      <c r="B42" s="296" t="s">
        <v>266</v>
      </c>
      <c r="C42" s="293" t="s">
        <v>164</v>
      </c>
      <c r="D42" s="297">
        <v>8401</v>
      </c>
      <c r="E42" s="297">
        <v>8302</v>
      </c>
      <c r="F42" s="297"/>
      <c r="G42" s="297"/>
      <c r="H42" s="297"/>
      <c r="I42" s="297"/>
      <c r="J42" s="297"/>
      <c r="K42" s="297"/>
      <c r="L42" s="297"/>
      <c r="M42" s="297"/>
      <c r="N42" s="470"/>
      <c r="O42" s="297">
        <v>1</v>
      </c>
      <c r="P42" s="297">
        <v>1</v>
      </c>
      <c r="Q42" s="297"/>
      <c r="R42" s="297"/>
      <c r="S42" s="297"/>
      <c r="T42" s="297"/>
      <c r="U42" s="297"/>
      <c r="V42" s="297"/>
      <c r="W42" s="297"/>
      <c r="X42" s="297"/>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v>12724</v>
      </c>
      <c r="E44" s="297">
        <v>12724</v>
      </c>
      <c r="F44" s="297"/>
      <c r="G44" s="297"/>
      <c r="H44" s="297"/>
      <c r="I44" s="297"/>
      <c r="J44" s="297"/>
      <c r="K44" s="297"/>
      <c r="L44" s="297"/>
      <c r="M44" s="297"/>
      <c r="N44" s="293"/>
      <c r="O44" s="297">
        <v>2</v>
      </c>
      <c r="P44" s="297">
        <v>2</v>
      </c>
      <c r="Q44" s="297"/>
      <c r="R44" s="297"/>
      <c r="S44" s="297"/>
      <c r="T44" s="297"/>
      <c r="U44" s="297"/>
      <c r="V44" s="297"/>
      <c r="W44" s="297"/>
      <c r="X44" s="297"/>
      <c r="Y44" s="412">
        <v>1</v>
      </c>
      <c r="Z44" s="412"/>
      <c r="AA44" s="412"/>
      <c r="AB44" s="412"/>
      <c r="AC44" s="412"/>
      <c r="AD44" s="412"/>
      <c r="AE44" s="412"/>
      <c r="AF44" s="412"/>
      <c r="AG44" s="412"/>
      <c r="AH44" s="412"/>
      <c r="AI44" s="412"/>
      <c r="AJ44" s="412"/>
      <c r="AK44" s="412"/>
      <c r="AL44" s="412"/>
      <c r="AM44" s="298">
        <f>SUM(Y44:AL44)</f>
        <v>1</v>
      </c>
    </row>
    <row r="45" spans="1:39" outlineLevel="1">
      <c r="B45" s="296" t="s">
        <v>266</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v>1140449</v>
      </c>
      <c r="E47" s="297">
        <v>1140449</v>
      </c>
      <c r="F47" s="297"/>
      <c r="G47" s="297"/>
      <c r="H47" s="297"/>
      <c r="I47" s="297"/>
      <c r="J47" s="297"/>
      <c r="K47" s="297"/>
      <c r="L47" s="297"/>
      <c r="M47" s="297"/>
      <c r="N47" s="293"/>
      <c r="O47" s="297">
        <v>599</v>
      </c>
      <c r="P47" s="297">
        <v>599</v>
      </c>
      <c r="Q47" s="297"/>
      <c r="R47" s="297"/>
      <c r="S47" s="297"/>
      <c r="T47" s="297"/>
      <c r="U47" s="297"/>
      <c r="V47" s="297"/>
      <c r="W47" s="297"/>
      <c r="X47" s="297"/>
      <c r="Y47" s="412">
        <v>1</v>
      </c>
      <c r="Z47" s="412"/>
      <c r="AA47" s="412"/>
      <c r="AB47" s="412"/>
      <c r="AC47" s="412"/>
      <c r="AD47" s="412"/>
      <c r="AE47" s="412"/>
      <c r="AF47" s="412"/>
      <c r="AG47" s="412"/>
      <c r="AH47" s="412"/>
      <c r="AI47" s="412"/>
      <c r="AJ47" s="412"/>
      <c r="AK47" s="412"/>
      <c r="AL47" s="412"/>
      <c r="AM47" s="298">
        <f>SUM(Y47:AL47)</f>
        <v>1</v>
      </c>
    </row>
    <row r="48" spans="1:39" outlineLevel="1">
      <c r="B48" s="296" t="s">
        <v>266</v>
      </c>
      <c r="C48" s="293" t="s">
        <v>164</v>
      </c>
      <c r="D48" s="297">
        <v>29105</v>
      </c>
      <c r="E48" s="297">
        <v>29105</v>
      </c>
      <c r="F48" s="297"/>
      <c r="G48" s="297"/>
      <c r="H48" s="297"/>
      <c r="I48" s="297"/>
      <c r="J48" s="297"/>
      <c r="K48" s="297"/>
      <c r="L48" s="297"/>
      <c r="M48" s="297"/>
      <c r="N48" s="470"/>
      <c r="O48" s="297">
        <v>15</v>
      </c>
      <c r="P48" s="297">
        <v>15</v>
      </c>
      <c r="Q48" s="297"/>
      <c r="R48" s="297"/>
      <c r="S48" s="297"/>
      <c r="T48" s="297"/>
      <c r="U48" s="297"/>
      <c r="V48" s="297"/>
      <c r="W48" s="297"/>
      <c r="X48" s="297"/>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c r="Z50" s="412"/>
      <c r="AA50" s="412"/>
      <c r="AB50" s="412"/>
      <c r="AC50" s="412"/>
      <c r="AD50" s="412"/>
      <c r="AE50" s="412"/>
      <c r="AF50" s="412"/>
      <c r="AG50" s="412"/>
      <c r="AH50" s="412"/>
      <c r="AI50" s="412"/>
      <c r="AJ50" s="412"/>
      <c r="AK50" s="412"/>
      <c r="AL50" s="412"/>
      <c r="AM50" s="298">
        <f>SUM(Y50:AL50)</f>
        <v>0</v>
      </c>
    </row>
    <row r="51" spans="1:39" outlineLevel="1">
      <c r="B51" s="296" t="s">
        <v>266</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493</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c r="E54" s="297"/>
      <c r="F54" s="297"/>
      <c r="G54" s="297"/>
      <c r="H54" s="297"/>
      <c r="I54" s="297"/>
      <c r="J54" s="297"/>
      <c r="K54" s="297"/>
      <c r="L54" s="297"/>
      <c r="M54" s="297"/>
      <c r="N54" s="297">
        <v>12</v>
      </c>
      <c r="O54" s="297"/>
      <c r="P54" s="297"/>
      <c r="Q54" s="297"/>
      <c r="R54" s="297"/>
      <c r="S54" s="297"/>
      <c r="T54" s="297"/>
      <c r="U54" s="297"/>
      <c r="V54" s="297"/>
      <c r="W54" s="297"/>
      <c r="X54" s="297"/>
      <c r="Y54" s="417"/>
      <c r="Z54" s="412"/>
      <c r="AA54" s="412"/>
      <c r="AB54" s="412"/>
      <c r="AC54" s="412"/>
      <c r="AD54" s="412"/>
      <c r="AE54" s="412"/>
      <c r="AF54" s="417"/>
      <c r="AG54" s="417"/>
      <c r="AH54" s="417"/>
      <c r="AI54" s="417"/>
      <c r="AJ54" s="417"/>
      <c r="AK54" s="417"/>
      <c r="AL54" s="417"/>
      <c r="AM54" s="298">
        <f>SUM(Y54:AL54)</f>
        <v>0</v>
      </c>
    </row>
    <row r="55" spans="1:39" outlineLevel="1">
      <c r="B55" s="296" t="s">
        <v>266</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f>3615737-1514505.78</f>
        <v>2101231.2199999997</v>
      </c>
      <c r="E57" s="297">
        <f>3615737-1514505.78</f>
        <v>2101231.2199999997</v>
      </c>
      <c r="F57" s="297"/>
      <c r="G57" s="297"/>
      <c r="H57" s="297"/>
      <c r="I57" s="297"/>
      <c r="J57" s="297"/>
      <c r="K57" s="297"/>
      <c r="L57" s="297"/>
      <c r="M57" s="297"/>
      <c r="N57" s="297">
        <v>12</v>
      </c>
      <c r="O57" s="297">
        <v>296</v>
      </c>
      <c r="P57" s="297">
        <v>296</v>
      </c>
      <c r="Q57" s="297"/>
      <c r="R57" s="297"/>
      <c r="S57" s="297"/>
      <c r="T57" s="297"/>
      <c r="U57" s="297"/>
      <c r="V57" s="297"/>
      <c r="W57" s="297"/>
      <c r="X57" s="297"/>
      <c r="Y57" s="535"/>
      <c r="Z57" s="535">
        <v>0.21099200000000001</v>
      </c>
      <c r="AA57" s="757">
        <v>0.78900800000000004</v>
      </c>
      <c r="AB57" s="469"/>
      <c r="AC57" s="535"/>
      <c r="AD57" s="412"/>
      <c r="AE57" s="412"/>
      <c r="AF57" s="417"/>
      <c r="AG57" s="417"/>
      <c r="AH57" s="417"/>
      <c r="AI57" s="417"/>
      <c r="AJ57" s="417"/>
      <c r="AK57" s="417"/>
      <c r="AL57" s="417"/>
      <c r="AM57" s="298">
        <f>SUM(Y57:AL57)</f>
        <v>1</v>
      </c>
    </row>
    <row r="58" spans="1:39" outlineLevel="1">
      <c r="B58" s="296" t="s">
        <v>266</v>
      </c>
      <c r="C58" s="293" t="s">
        <v>164</v>
      </c>
      <c r="D58" s="297">
        <f>9845+135577-4123.73-56788.46</f>
        <v>84509.81</v>
      </c>
      <c r="E58" s="297">
        <f>9845-4123.73+135577-56788.46</f>
        <v>84509.81</v>
      </c>
      <c r="F58" s="297"/>
      <c r="G58" s="297"/>
      <c r="H58" s="297"/>
      <c r="I58" s="297"/>
      <c r="J58" s="297"/>
      <c r="K58" s="297"/>
      <c r="L58" s="297"/>
      <c r="M58" s="297"/>
      <c r="N58" s="297">
        <f>N57</f>
        <v>12</v>
      </c>
      <c r="O58" s="297">
        <f>3+38</f>
        <v>41</v>
      </c>
      <c r="P58" s="297">
        <f>3+38</f>
        <v>41</v>
      </c>
      <c r="Q58" s="297"/>
      <c r="R58" s="297"/>
      <c r="S58" s="297"/>
      <c r="T58" s="297"/>
      <c r="U58" s="297"/>
      <c r="V58" s="297"/>
      <c r="W58" s="297"/>
      <c r="X58" s="297"/>
      <c r="Y58" s="413">
        <f>Y57</f>
        <v>0</v>
      </c>
      <c r="Z58" s="413">
        <f>Z57</f>
        <v>0.21099200000000001</v>
      </c>
      <c r="AA58" s="413">
        <f t="shared" ref="AA58" si="66">AA57</f>
        <v>0.78900800000000004</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v>155411</v>
      </c>
      <c r="E60" s="297">
        <v>129008</v>
      </c>
      <c r="F60" s="297"/>
      <c r="G60" s="297"/>
      <c r="H60" s="297"/>
      <c r="I60" s="297"/>
      <c r="J60" s="297"/>
      <c r="K60" s="297"/>
      <c r="L60" s="297"/>
      <c r="M60" s="297"/>
      <c r="N60" s="297">
        <v>12</v>
      </c>
      <c r="O60" s="297">
        <v>33</v>
      </c>
      <c r="P60" s="297">
        <v>27</v>
      </c>
      <c r="Q60" s="297"/>
      <c r="R60" s="297"/>
      <c r="S60" s="297"/>
      <c r="T60" s="297"/>
      <c r="U60" s="297"/>
      <c r="V60" s="297"/>
      <c r="W60" s="297"/>
      <c r="X60" s="297"/>
      <c r="Y60" s="417"/>
      <c r="Z60" s="535">
        <v>1</v>
      </c>
      <c r="AA60" s="412"/>
      <c r="AB60" s="412"/>
      <c r="AC60" s="412"/>
      <c r="AD60" s="412"/>
      <c r="AE60" s="412"/>
      <c r="AF60" s="417"/>
      <c r="AG60" s="417"/>
      <c r="AH60" s="417"/>
      <c r="AI60" s="417"/>
      <c r="AJ60" s="417"/>
      <c r="AK60" s="417"/>
      <c r="AL60" s="417"/>
      <c r="AM60" s="298">
        <f>SUM(Y60:AL60)</f>
        <v>1</v>
      </c>
    </row>
    <row r="61" spans="1:39" outlineLevel="1">
      <c r="B61" s="296" t="s">
        <v>266</v>
      </c>
      <c r="C61" s="293" t="s">
        <v>164</v>
      </c>
      <c r="D61" s="297">
        <v>-40159</v>
      </c>
      <c r="E61" s="297">
        <v>-13755</v>
      </c>
      <c r="F61" s="297"/>
      <c r="G61" s="297"/>
      <c r="H61" s="297"/>
      <c r="I61" s="297"/>
      <c r="J61" s="297"/>
      <c r="K61" s="297"/>
      <c r="L61" s="297"/>
      <c r="M61" s="297"/>
      <c r="N61" s="297">
        <f>N60</f>
        <v>12</v>
      </c>
      <c r="O61" s="297">
        <v>-9</v>
      </c>
      <c r="P61" s="297">
        <v>-4</v>
      </c>
      <c r="Q61" s="297"/>
      <c r="R61" s="297"/>
      <c r="S61" s="297"/>
      <c r="T61" s="297"/>
      <c r="U61" s="297"/>
      <c r="V61" s="297"/>
      <c r="W61" s="297"/>
      <c r="X61" s="297"/>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c r="E63" s="297"/>
      <c r="F63" s="297"/>
      <c r="G63" s="297"/>
      <c r="H63" s="297"/>
      <c r="I63" s="297"/>
      <c r="J63" s="297"/>
      <c r="K63" s="297"/>
      <c r="L63" s="297"/>
      <c r="M63" s="297"/>
      <c r="N63" s="297">
        <v>12</v>
      </c>
      <c r="O63" s="297"/>
      <c r="P63" s="297"/>
      <c r="Q63" s="297"/>
      <c r="R63" s="297"/>
      <c r="S63" s="297"/>
      <c r="T63" s="297"/>
      <c r="U63" s="297"/>
      <c r="V63" s="297"/>
      <c r="W63" s="297"/>
      <c r="X63" s="297"/>
      <c r="Y63" s="417"/>
      <c r="Z63" s="412"/>
      <c r="AA63" s="412">
        <v>1</v>
      </c>
      <c r="AB63" s="412"/>
      <c r="AC63" s="412"/>
      <c r="AD63" s="412"/>
      <c r="AE63" s="412"/>
      <c r="AF63" s="417"/>
      <c r="AG63" s="417"/>
      <c r="AH63" s="417"/>
      <c r="AI63" s="417"/>
      <c r="AJ63" s="417"/>
      <c r="AK63" s="417"/>
      <c r="AL63" s="417"/>
      <c r="AM63" s="298">
        <f>SUM(Y63:AL63)</f>
        <v>1</v>
      </c>
    </row>
    <row r="64" spans="1:39" outlineLevel="1">
      <c r="B64" s="296" t="s">
        <v>266</v>
      </c>
      <c r="C64" s="293" t="s">
        <v>164</v>
      </c>
      <c r="D64" s="297">
        <v>84385</v>
      </c>
      <c r="E64" s="297">
        <v>84385</v>
      </c>
      <c r="F64" s="297"/>
      <c r="G64" s="297"/>
      <c r="H64" s="297"/>
      <c r="I64" s="297"/>
      <c r="J64" s="297"/>
      <c r="K64" s="297"/>
      <c r="L64" s="297"/>
      <c r="M64" s="297"/>
      <c r="N64" s="297">
        <f>N63</f>
        <v>12</v>
      </c>
      <c r="O64" s="297">
        <v>30</v>
      </c>
      <c r="P64" s="297">
        <v>30</v>
      </c>
      <c r="Q64" s="297"/>
      <c r="R64" s="297"/>
      <c r="S64" s="297"/>
      <c r="T64" s="297"/>
      <c r="U64" s="297"/>
      <c r="V64" s="297"/>
      <c r="W64" s="297"/>
      <c r="X64" s="297"/>
      <c r="Y64" s="413">
        <f>Y63</f>
        <v>0</v>
      </c>
      <c r="Z64" s="413">
        <f t="shared" ref="Z64" si="91">Z63</f>
        <v>0</v>
      </c>
      <c r="AA64" s="413">
        <f t="shared" ref="AA64" si="92">AA63</f>
        <v>1</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266</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266</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v>244000</v>
      </c>
      <c r="E73" s="297">
        <v>0</v>
      </c>
      <c r="F73" s="297"/>
      <c r="G73" s="297"/>
      <c r="H73" s="297"/>
      <c r="I73" s="297"/>
      <c r="J73" s="297"/>
      <c r="K73" s="297"/>
      <c r="L73" s="297"/>
      <c r="M73" s="297"/>
      <c r="N73" s="297">
        <v>12</v>
      </c>
      <c r="O73" s="297">
        <v>0</v>
      </c>
      <c r="P73" s="297">
        <v>0</v>
      </c>
      <c r="Q73" s="297"/>
      <c r="R73" s="297"/>
      <c r="S73" s="297"/>
      <c r="T73" s="297"/>
      <c r="U73" s="297"/>
      <c r="V73" s="297"/>
      <c r="W73" s="297"/>
      <c r="X73" s="297"/>
      <c r="Y73" s="412"/>
      <c r="Z73" s="412"/>
      <c r="AA73" s="412">
        <v>1</v>
      </c>
      <c r="AB73" s="412"/>
      <c r="AC73" s="412"/>
      <c r="AD73" s="412"/>
      <c r="AE73" s="412"/>
      <c r="AF73" s="417"/>
      <c r="AG73" s="417"/>
      <c r="AH73" s="417"/>
      <c r="AI73" s="417"/>
      <c r="AJ73" s="417"/>
      <c r="AK73" s="417"/>
      <c r="AL73" s="417"/>
      <c r="AM73" s="298">
        <f>SUM(Y73:AL73)</f>
        <v>1</v>
      </c>
    </row>
    <row r="74" spans="1:39" outlineLevel="1">
      <c r="B74" s="522" t="s">
        <v>266</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1</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v>10350</v>
      </c>
      <c r="E76" s="297">
        <v>0</v>
      </c>
      <c r="F76" s="297"/>
      <c r="G76" s="297"/>
      <c r="H76" s="297"/>
      <c r="I76" s="297"/>
      <c r="J76" s="297"/>
      <c r="K76" s="297"/>
      <c r="L76" s="297"/>
      <c r="M76" s="297"/>
      <c r="N76" s="297">
        <v>12</v>
      </c>
      <c r="O76" s="297">
        <v>0</v>
      </c>
      <c r="P76" s="297">
        <v>0</v>
      </c>
      <c r="Q76" s="297"/>
      <c r="R76" s="297"/>
      <c r="S76" s="297"/>
      <c r="T76" s="297"/>
      <c r="U76" s="297"/>
      <c r="V76" s="297"/>
      <c r="W76" s="297"/>
      <c r="X76" s="297"/>
      <c r="Y76" s="412"/>
      <c r="Z76" s="412"/>
      <c r="AA76" s="412">
        <v>1</v>
      </c>
      <c r="AB76" s="412"/>
      <c r="AC76" s="412"/>
      <c r="AD76" s="412"/>
      <c r="AE76" s="412"/>
      <c r="AF76" s="417"/>
      <c r="AG76" s="417"/>
      <c r="AH76" s="417"/>
      <c r="AI76" s="417"/>
      <c r="AJ76" s="417"/>
      <c r="AK76" s="417"/>
      <c r="AL76" s="417"/>
      <c r="AM76" s="298">
        <f>SUM(Y76:AL76)</f>
        <v>1</v>
      </c>
    </row>
    <row r="77" spans="1:39" outlineLevel="1">
      <c r="B77" s="522" t="s">
        <v>266</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1</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v>14599</v>
      </c>
      <c r="E80" s="297">
        <v>11059</v>
      </c>
      <c r="F80" s="297"/>
      <c r="G80" s="297"/>
      <c r="H80" s="297"/>
      <c r="I80" s="297"/>
      <c r="J80" s="297"/>
      <c r="K80" s="297"/>
      <c r="L80" s="297"/>
      <c r="M80" s="297"/>
      <c r="N80" s="297">
        <v>12</v>
      </c>
      <c r="O80" s="297">
        <v>1</v>
      </c>
      <c r="P80" s="297">
        <v>1</v>
      </c>
      <c r="Q80" s="297"/>
      <c r="R80" s="297"/>
      <c r="S80" s="297"/>
      <c r="T80" s="297"/>
      <c r="U80" s="297"/>
      <c r="V80" s="297"/>
      <c r="W80" s="297"/>
      <c r="X80" s="297"/>
      <c r="Y80" s="535">
        <v>1</v>
      </c>
      <c r="Z80" s="412"/>
      <c r="AA80" s="412"/>
      <c r="AB80" s="412"/>
      <c r="AC80" s="412"/>
      <c r="AD80" s="412"/>
      <c r="AE80" s="412"/>
      <c r="AF80" s="412"/>
      <c r="AG80" s="412"/>
      <c r="AH80" s="412"/>
      <c r="AI80" s="412"/>
      <c r="AJ80" s="412"/>
      <c r="AK80" s="412"/>
      <c r="AL80" s="412"/>
      <c r="AM80" s="298">
        <f>SUM(Y80:AL80)</f>
        <v>1</v>
      </c>
    </row>
    <row r="81" spans="1:40" outlineLevel="1">
      <c r="B81" s="296" t="s">
        <v>266</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485</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490</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266</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486</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266</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491</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266</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266</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266</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266</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498</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494</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266</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266</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266</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266</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495</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266</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f>75468-31610.91</f>
        <v>43857.09</v>
      </c>
      <c r="E121" s="297">
        <f>75468-31610.91</f>
        <v>43857.09</v>
      </c>
      <c r="F121" s="297"/>
      <c r="G121" s="297"/>
      <c r="H121" s="297"/>
      <c r="I121" s="297"/>
      <c r="J121" s="297"/>
      <c r="K121" s="297"/>
      <c r="L121" s="297"/>
      <c r="M121" s="297"/>
      <c r="N121" s="297">
        <v>12</v>
      </c>
      <c r="O121" s="297">
        <v>10</v>
      </c>
      <c r="P121" s="297">
        <v>10</v>
      </c>
      <c r="Q121" s="297"/>
      <c r="R121" s="297"/>
      <c r="S121" s="297"/>
      <c r="T121" s="297"/>
      <c r="U121" s="297"/>
      <c r="V121" s="297"/>
      <c r="W121" s="297"/>
      <c r="X121" s="297"/>
      <c r="Y121" s="428"/>
      <c r="Z121" s="535">
        <v>0.21099200000000001</v>
      </c>
      <c r="AA121" s="535">
        <v>0.78900800000000004</v>
      </c>
      <c r="AB121" s="469"/>
      <c r="AC121" s="535"/>
      <c r="AD121" s="412"/>
      <c r="AE121" s="412"/>
      <c r="AF121" s="417"/>
      <c r="AG121" s="417"/>
      <c r="AH121" s="417"/>
      <c r="AI121" s="417"/>
      <c r="AJ121" s="417"/>
      <c r="AK121" s="417"/>
      <c r="AL121" s="417"/>
      <c r="AM121" s="298">
        <f>SUM(Y121:AL121)</f>
        <v>1</v>
      </c>
    </row>
    <row r="122" spans="1:39" outlineLevel="1">
      <c r="B122" s="296" t="s">
        <v>266</v>
      </c>
      <c r="C122" s="293" t="s">
        <v>164</v>
      </c>
      <c r="D122" s="297">
        <f>192374+17538-80578.74-7346.05</f>
        <v>121987.20999999999</v>
      </c>
      <c r="E122" s="297">
        <f>192374-80578.74+17538-7346.05</f>
        <v>121987.20999999999</v>
      </c>
      <c r="F122" s="297"/>
      <c r="G122" s="297"/>
      <c r="H122" s="297"/>
      <c r="I122" s="297"/>
      <c r="J122" s="297"/>
      <c r="K122" s="297"/>
      <c r="L122" s="297"/>
      <c r="M122" s="297"/>
      <c r="N122" s="297">
        <f>N121</f>
        <v>12</v>
      </c>
      <c r="O122" s="297">
        <f>24+3</f>
        <v>27</v>
      </c>
      <c r="P122" s="297">
        <f>24+3</f>
        <v>27</v>
      </c>
      <c r="Q122" s="297"/>
      <c r="R122" s="297"/>
      <c r="S122" s="297"/>
      <c r="T122" s="297"/>
      <c r="U122" s="297"/>
      <c r="V122" s="297"/>
      <c r="W122" s="297"/>
      <c r="X122" s="297"/>
      <c r="Y122" s="413">
        <f>Y121</f>
        <v>0</v>
      </c>
      <c r="Z122" s="413">
        <f t="shared" ref="Z122" si="241">Z121</f>
        <v>0.21099200000000001</v>
      </c>
      <c r="AA122" s="413">
        <f t="shared" ref="AA122" si="242">AA121</f>
        <v>0.78900800000000004</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266</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266</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266</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266</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266</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266</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496</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266</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266</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266</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497</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266</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266</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266</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266</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266</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266</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266</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266</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266</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266</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266</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266</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266</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266</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270</v>
      </c>
      <c r="C195" s="331"/>
      <c r="D195" s="331">
        <f>SUM(D38:D193)</f>
        <v>5373651.3299999991</v>
      </c>
      <c r="E195" s="331">
        <f>SUM(E38:E193)</f>
        <v>5095843.3299999991</v>
      </c>
      <c r="F195" s="331"/>
      <c r="G195" s="331"/>
      <c r="H195" s="331"/>
      <c r="I195" s="331"/>
      <c r="J195" s="331"/>
      <c r="K195" s="331"/>
      <c r="L195" s="331"/>
      <c r="M195" s="331"/>
      <c r="N195" s="331"/>
      <c r="O195" s="331">
        <f>SUM(O38:O193)</f>
        <v>1138</v>
      </c>
      <c r="P195" s="331">
        <f>SUM(P38:P193)</f>
        <v>1136</v>
      </c>
      <c r="Q195" s="331"/>
      <c r="R195" s="331"/>
      <c r="S195" s="331"/>
      <c r="T195" s="331"/>
      <c r="U195" s="331"/>
      <c r="V195" s="331"/>
      <c r="W195" s="331"/>
      <c r="X195" s="331"/>
      <c r="Y195" s="331">
        <f>IF(Y36="kWh",SUMPRODUCT(D38:D193,Y38:Y193))</f>
        <v>2568079</v>
      </c>
      <c r="Z195" s="331">
        <f>IF(Z36="kWh",SUMPRODUCT(D38:D193,Z38:Z193))</f>
        <v>611417.69194736006</v>
      </c>
      <c r="AA195" s="331">
        <f>IF(AA36="kw",SUMPRODUCT(N38:N193,O38:O193,AA38:AA193),SUMPRODUCT(D38:D193,AA38:AA193))</f>
        <v>3901.0679040000005</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271</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0</v>
      </c>
      <c r="Z196" s="394">
        <f>HLOOKUP(Z35,'2. LRAMVA Threshold'!$B$42:$Q$53,7,FALSE)</f>
        <v>0</v>
      </c>
      <c r="AA196" s="394">
        <f>HLOOKUP(AA35,'2. LRAMVA Threshold'!$B$42:$Q$53,7,FALSE)</f>
        <v>0</v>
      </c>
      <c r="AB196" s="394">
        <f>HLOOKUP(AB35,'2. LRAMVA Threshold'!$B$42:$Q$53,7,FALSE)</f>
        <v>0</v>
      </c>
      <c r="AC196" s="394">
        <f>HLOOKUP(AC35,'2. LRAMVA Threshold'!$B$42:$Q$53,7,FALSE)</f>
        <v>0</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1.4800000000000001E-2</v>
      </c>
      <c r="Z198" s="343">
        <f>HLOOKUP(Z$35,'3.  Distribution Rates'!$C$122:$P$133,7,FALSE)</f>
        <v>2.0299999999999999E-2</v>
      </c>
      <c r="AA198" s="343">
        <f>HLOOKUP(AA$35,'3.  Distribution Rates'!$C$122:$P$133,7,FALSE)</f>
        <v>4.0914000000000001</v>
      </c>
      <c r="AB198" s="343">
        <f>HLOOKUP(AB$35,'3.  Distribution Rates'!$C$122:$P$133,7,FALSE)</f>
        <v>6.8971999999999998</v>
      </c>
      <c r="AC198" s="343">
        <f>HLOOKUP(AC$35,'3.  Distribution Rates'!$C$122:$P$133,7,FALSE)</f>
        <v>0</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16151.435212</v>
      </c>
      <c r="Z199" s="380">
        <f>'4.  2011-2014 LRAM'!Z138*Z198</f>
        <v>676.92258200000003</v>
      </c>
      <c r="AA199" s="380">
        <f>'4.  2011-2014 LRAM'!AA138*AA198</f>
        <v>14776.663896000002</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31605.021690000001</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10749.573296</v>
      </c>
      <c r="Z200" s="380">
        <f>'4.  2011-2014 LRAM'!Z267*Z198</f>
        <v>693.32944800000007</v>
      </c>
      <c r="AA200" s="380">
        <f>'4.  2011-2014 LRAM'!AA267*AA198</f>
        <v>16372.800864000001</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27815.703608000003</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11574.079520000001</v>
      </c>
      <c r="Z201" s="380">
        <f>'4.  2011-2014 LRAM'!Z396*Z198</f>
        <v>2580.5510220000001</v>
      </c>
      <c r="AA201" s="380">
        <f>'4.  2011-2014 LRAM'!AA396*AA198</f>
        <v>21287.881512</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35442.512053999999</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27109.353584000004</v>
      </c>
      <c r="Z202" s="380">
        <f>'4.  2011-2014 LRAM'!Z526*Z198</f>
        <v>15756.99804</v>
      </c>
      <c r="AA202" s="380">
        <f>'4.  2011-2014 LRAM'!AA526*AA198</f>
        <v>20746.834776</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63613.186400000006</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38007.569199999998</v>
      </c>
      <c r="Z203" s="380">
        <f t="shared" ref="Z203:AL203" si="553">Z195*Z198</f>
        <v>12411.779146531408</v>
      </c>
      <c r="AA203" s="380">
        <f t="shared" si="553"/>
        <v>15960.829222425602</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66380.177568957006</v>
      </c>
    </row>
    <row r="204" spans="2:39" ht="15.75">
      <c r="B204" s="351" t="s">
        <v>267</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103592.01081199999</v>
      </c>
      <c r="Z204" s="348">
        <f>SUM(Z199:Z203)</f>
        <v>32119.580238531409</v>
      </c>
      <c r="AA204" s="348">
        <f t="shared" ref="AA204:AE204" si="554">SUM(AA199:AA203)</f>
        <v>89145.010270425599</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224856.60132095701</v>
      </c>
    </row>
    <row r="205" spans="2:39" ht="15.75">
      <c r="B205" s="351" t="s">
        <v>268</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0</v>
      </c>
      <c r="Z205" s="349">
        <f t="shared" ref="Z205:AE205" si="556">Z196*Z198</f>
        <v>0</v>
      </c>
      <c r="AA205" s="349">
        <f t="shared" si="556"/>
        <v>0</v>
      </c>
      <c r="AB205" s="349">
        <f t="shared" si="556"/>
        <v>0</v>
      </c>
      <c r="AC205" s="349">
        <f t="shared" si="556"/>
        <v>0</v>
      </c>
      <c r="AD205" s="349">
        <f t="shared" si="556"/>
        <v>0</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0</v>
      </c>
    </row>
    <row r="206" spans="2:39" ht="15.75">
      <c r="B206" s="351" t="s">
        <v>269</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224856.60132095701</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2544620</v>
      </c>
      <c r="Z208" s="293">
        <f>SUMPRODUCT(E38:E193,Z38:Z193)</f>
        <v>611418.69194736006</v>
      </c>
      <c r="AA208" s="293">
        <f>IF(AA36="kw",SUMPRODUCT(N38:N193,P38:P193,AA38:AA193),SUMPRODUCT(E38:E193,AA38:AA193))</f>
        <v>3901.0679040000005</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0</v>
      </c>
      <c r="Z209" s="293">
        <f>SUMPRODUCT(F38:F193,Z38:Z193)</f>
        <v>0</v>
      </c>
      <c r="AA209" s="293">
        <f>IF(AA36="kw",SUMPRODUCT(N38:N193,Q38:Q193,AA38:AA193),SUMPRODUCT(F38:F193,AA38:AA193))</f>
        <v>0</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0</v>
      </c>
      <c r="Z210" s="293">
        <f>SUMPRODUCT(G38:G193,Z38:Z193)</f>
        <v>0</v>
      </c>
      <c r="AA210" s="293">
        <f>IF(AA36="kw",SUMPRODUCT(N38:N193,R38:R193,AA38:AA193),SUMPRODUCT(G38:G193,AA38:AA193))</f>
        <v>0</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0</v>
      </c>
      <c r="Z211" s="293">
        <f>SUMPRODUCT(H38:H193,Z38:Z193)</f>
        <v>0</v>
      </c>
      <c r="AA211" s="293">
        <f>IF(AA36="kw",SUMPRODUCT(N38:N193,S38:S193,AA38:AA193),SUMPRODUCT(H38:H193,AA38:AA193))</f>
        <v>0</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0</v>
      </c>
      <c r="Z212" s="328">
        <f>SUMPRODUCT(I38:I193,Z38:Z193)</f>
        <v>0</v>
      </c>
      <c r="AA212" s="328">
        <f>IF(AA36="kw",SUMPRODUCT(N38:N193,T38:T193,AA38:AA193),SUMPRODUCT(I38:I193,AA38:AA193))</f>
        <v>0</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585</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756" t="s">
        <v>272</v>
      </c>
      <c r="C216" s="283"/>
      <c r="D216" s="592" t="s">
        <v>521</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97" t="s">
        <v>210</v>
      </c>
      <c r="C217" s="899" t="s">
        <v>33</v>
      </c>
      <c r="D217" s="286" t="s">
        <v>421</v>
      </c>
      <c r="E217" s="901" t="s">
        <v>208</v>
      </c>
      <c r="F217" s="902"/>
      <c r="G217" s="902"/>
      <c r="H217" s="902"/>
      <c r="I217" s="902"/>
      <c r="J217" s="902"/>
      <c r="K217" s="902"/>
      <c r="L217" s="902"/>
      <c r="M217" s="903"/>
      <c r="N217" s="907" t="s">
        <v>212</v>
      </c>
      <c r="O217" s="286" t="s">
        <v>422</v>
      </c>
      <c r="P217" s="901" t="s">
        <v>211</v>
      </c>
      <c r="Q217" s="902"/>
      <c r="R217" s="902"/>
      <c r="S217" s="902"/>
      <c r="T217" s="902"/>
      <c r="U217" s="902"/>
      <c r="V217" s="902"/>
      <c r="W217" s="902"/>
      <c r="X217" s="903"/>
      <c r="Y217" s="904" t="s">
        <v>242</v>
      </c>
      <c r="Z217" s="905"/>
      <c r="AA217" s="905"/>
      <c r="AB217" s="905"/>
      <c r="AC217" s="905"/>
      <c r="AD217" s="905"/>
      <c r="AE217" s="905"/>
      <c r="AF217" s="905"/>
      <c r="AG217" s="905"/>
      <c r="AH217" s="905"/>
      <c r="AI217" s="905"/>
      <c r="AJ217" s="905"/>
      <c r="AK217" s="905"/>
      <c r="AL217" s="905"/>
      <c r="AM217" s="906"/>
    </row>
    <row r="218" spans="1:39" ht="60.75" customHeight="1">
      <c r="B218" s="898"/>
      <c r="C218" s="900"/>
      <c r="D218" s="287">
        <v>2016</v>
      </c>
      <c r="E218" s="287">
        <v>2017</v>
      </c>
      <c r="F218" s="287">
        <v>2018</v>
      </c>
      <c r="G218" s="287">
        <v>2019</v>
      </c>
      <c r="H218" s="287">
        <v>2020</v>
      </c>
      <c r="I218" s="287">
        <v>2021</v>
      </c>
      <c r="J218" s="287">
        <v>2022</v>
      </c>
      <c r="K218" s="287">
        <v>2023</v>
      </c>
      <c r="L218" s="287">
        <v>2024</v>
      </c>
      <c r="M218" s="287">
        <v>2025</v>
      </c>
      <c r="N218" s="908"/>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GS&gt;50 kW</v>
      </c>
      <c r="AB218" s="287" t="str">
        <f>'1.  LRAMVA Summary'!G50</f>
        <v>Streetlighting</v>
      </c>
      <c r="AC218" s="287" t="str">
        <f>'1.  LRAMVA Summary'!H50</f>
        <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499</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f>'1.  LRAMVA Summary'!H51</f>
        <v>0</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492</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outlineLevel="1">
      <c r="B222" s="296" t="s">
        <v>288</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288</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288</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outlineLevel="1">
      <c r="B231" s="296" t="s">
        <v>288</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288</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493</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outlineLevel="1">
      <c r="B238" s="296" t="s">
        <v>288</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0</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outlineLevel="1">
      <c r="B241" s="296" t="s">
        <v>288</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v>
      </c>
      <c r="AA241" s="413">
        <f t="shared" ref="AA241" si="637">AA240</f>
        <v>0</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288</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0</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288</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0</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288</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288</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288</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288</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outlineLevel="1">
      <c r="B264" s="296" t="s">
        <v>288</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485</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490</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288</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486</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288</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491</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288</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ht="30" outlineLevel="1">
      <c r="A277" s="524">
        <v>18</v>
      </c>
      <c r="B277" s="522" t="s">
        <v>716</v>
      </c>
      <c r="C277" s="293" t="s">
        <v>25</v>
      </c>
      <c r="D277" s="297">
        <v>925</v>
      </c>
      <c r="E277" s="297"/>
      <c r="F277" s="297"/>
      <c r="G277" s="297"/>
      <c r="H277" s="297"/>
      <c r="I277" s="297"/>
      <c r="J277" s="297"/>
      <c r="K277" s="297"/>
      <c r="L277" s="297"/>
      <c r="M277" s="297"/>
      <c r="N277" s="297">
        <v>0</v>
      </c>
      <c r="O277" s="297">
        <v>0</v>
      </c>
      <c r="P277" s="297"/>
      <c r="Q277" s="297"/>
      <c r="R277" s="297"/>
      <c r="S277" s="297"/>
      <c r="T277" s="297"/>
      <c r="U277" s="297"/>
      <c r="V277" s="297"/>
      <c r="W277" s="297"/>
      <c r="X277" s="297"/>
      <c r="Y277" s="428">
        <v>1</v>
      </c>
      <c r="Z277" s="412"/>
      <c r="AA277" s="412"/>
      <c r="AB277" s="412"/>
      <c r="AC277" s="412"/>
      <c r="AD277" s="412"/>
      <c r="AE277" s="412"/>
      <c r="AF277" s="417"/>
      <c r="AG277" s="417"/>
      <c r="AH277" s="417"/>
      <c r="AI277" s="417"/>
      <c r="AJ277" s="417"/>
      <c r="AK277" s="417"/>
      <c r="AL277" s="417"/>
      <c r="AM277" s="298">
        <f>SUM(Y277:AL277)</f>
        <v>1</v>
      </c>
    </row>
    <row r="278" spans="1:39" outlineLevel="1">
      <c r="B278" s="296" t="s">
        <v>288</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1</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288</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288</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498</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494</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v>5429010</v>
      </c>
      <c r="E288" s="297"/>
      <c r="F288" s="297"/>
      <c r="G288" s="297"/>
      <c r="H288" s="297"/>
      <c r="I288" s="297"/>
      <c r="J288" s="297"/>
      <c r="K288" s="297"/>
      <c r="L288" s="297"/>
      <c r="M288" s="297"/>
      <c r="N288" s="293"/>
      <c r="O288" s="297">
        <v>353</v>
      </c>
      <c r="P288" s="297"/>
      <c r="Q288" s="297"/>
      <c r="R288" s="297"/>
      <c r="S288" s="297"/>
      <c r="T288" s="297"/>
      <c r="U288" s="297"/>
      <c r="V288" s="297"/>
      <c r="W288" s="297"/>
      <c r="X288" s="297"/>
      <c r="Y288" s="412">
        <v>1</v>
      </c>
      <c r="Z288" s="412"/>
      <c r="AA288" s="412"/>
      <c r="AB288" s="412"/>
      <c r="AC288" s="412"/>
      <c r="AD288" s="412"/>
      <c r="AE288" s="412"/>
      <c r="AF288" s="412"/>
      <c r="AG288" s="412"/>
      <c r="AH288" s="412"/>
      <c r="AI288" s="412"/>
      <c r="AJ288" s="412"/>
      <c r="AK288" s="412"/>
      <c r="AL288" s="412"/>
      <c r="AM288" s="298">
        <f>SUM(Y288:AL288)</f>
        <v>1</v>
      </c>
    </row>
    <row r="289" spans="1:39" outlineLevel="1">
      <c r="B289" s="296" t="s">
        <v>288</v>
      </c>
      <c r="C289" s="293" t="s">
        <v>164</v>
      </c>
      <c r="D289" s="297">
        <v>617704</v>
      </c>
      <c r="E289" s="297"/>
      <c r="F289" s="297"/>
      <c r="G289" s="297"/>
      <c r="H289" s="297"/>
      <c r="I289" s="297"/>
      <c r="J289" s="297"/>
      <c r="K289" s="297"/>
      <c r="L289" s="297"/>
      <c r="M289" s="297"/>
      <c r="N289" s="293"/>
      <c r="O289" s="297">
        <v>39</v>
      </c>
      <c r="P289" s="297"/>
      <c r="Q289" s="297"/>
      <c r="R289" s="297"/>
      <c r="S289" s="297"/>
      <c r="T289" s="297"/>
      <c r="U289" s="297"/>
      <c r="V289" s="297"/>
      <c r="W289" s="297"/>
      <c r="X289" s="297"/>
      <c r="Y289" s="413">
        <f>Y288</f>
        <v>1</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v>1022301</v>
      </c>
      <c r="E291" s="297"/>
      <c r="F291" s="297"/>
      <c r="G291" s="297"/>
      <c r="H291" s="297"/>
      <c r="I291" s="297"/>
      <c r="J291" s="297"/>
      <c r="K291" s="297"/>
      <c r="L291" s="297"/>
      <c r="M291" s="297"/>
      <c r="N291" s="293"/>
      <c r="O291" s="297">
        <v>302</v>
      </c>
      <c r="P291" s="297"/>
      <c r="Q291" s="297"/>
      <c r="R291" s="297"/>
      <c r="S291" s="297"/>
      <c r="T291" s="297"/>
      <c r="U291" s="297"/>
      <c r="V291" s="297"/>
      <c r="W291" s="297"/>
      <c r="X291" s="297"/>
      <c r="Y291" s="412">
        <v>1</v>
      </c>
      <c r="Z291" s="412"/>
      <c r="AA291" s="412"/>
      <c r="AB291" s="412"/>
      <c r="AC291" s="412"/>
      <c r="AD291" s="412"/>
      <c r="AE291" s="412"/>
      <c r="AF291" s="412"/>
      <c r="AG291" s="412"/>
      <c r="AH291" s="412"/>
      <c r="AI291" s="412"/>
      <c r="AJ291" s="412"/>
      <c r="AK291" s="412"/>
      <c r="AL291" s="412"/>
      <c r="AM291" s="298">
        <f>SUM(Y291:AL291)</f>
        <v>1</v>
      </c>
    </row>
    <row r="292" spans="1:39" outlineLevel="1">
      <c r="B292" s="296" t="s">
        <v>288</v>
      </c>
      <c r="C292" s="293" t="s">
        <v>164</v>
      </c>
      <c r="D292" s="297">
        <v>6825</v>
      </c>
      <c r="E292" s="297"/>
      <c r="F292" s="297"/>
      <c r="G292" s="297"/>
      <c r="H292" s="297"/>
      <c r="I292" s="297"/>
      <c r="J292" s="297"/>
      <c r="K292" s="297"/>
      <c r="L292" s="297"/>
      <c r="M292" s="297"/>
      <c r="N292" s="293"/>
      <c r="O292" s="297">
        <v>2</v>
      </c>
      <c r="P292" s="297"/>
      <c r="Q292" s="297"/>
      <c r="R292" s="297"/>
      <c r="S292" s="297"/>
      <c r="T292" s="297"/>
      <c r="U292" s="297"/>
      <c r="V292" s="297"/>
      <c r="W292" s="297"/>
      <c r="X292" s="297"/>
      <c r="Y292" s="413">
        <f>Y291</f>
        <v>1</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288</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v>6075</v>
      </c>
      <c r="E297" s="297"/>
      <c r="F297" s="297"/>
      <c r="G297" s="297"/>
      <c r="H297" s="297"/>
      <c r="I297" s="297"/>
      <c r="J297" s="297"/>
      <c r="K297" s="297"/>
      <c r="L297" s="297"/>
      <c r="M297" s="297"/>
      <c r="N297" s="293"/>
      <c r="O297" s="297">
        <v>1</v>
      </c>
      <c r="P297" s="297"/>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outlineLevel="1">
      <c r="B298" s="296" t="s">
        <v>288</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495</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8"/>
      <c r="Z301" s="412"/>
      <c r="AA301" s="412"/>
      <c r="AB301" s="412"/>
      <c r="AC301" s="412"/>
      <c r="AD301" s="412"/>
      <c r="AE301" s="412"/>
      <c r="AF301" s="412"/>
      <c r="AG301" s="417"/>
      <c r="AH301" s="417"/>
      <c r="AI301" s="417"/>
      <c r="AJ301" s="417"/>
      <c r="AK301" s="417"/>
      <c r="AL301" s="417"/>
      <c r="AM301" s="298">
        <f>SUM(Y301:AL301)</f>
        <v>0</v>
      </c>
    </row>
    <row r="302" spans="1:39" outlineLevel="1">
      <c r="B302" s="296" t="s">
        <v>288</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0</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f>4043950-2102854</f>
        <v>1941096</v>
      </c>
      <c r="E304" s="297"/>
      <c r="F304" s="297"/>
      <c r="G304" s="297"/>
      <c r="H304" s="297"/>
      <c r="I304" s="297"/>
      <c r="J304" s="297"/>
      <c r="K304" s="297"/>
      <c r="L304" s="297"/>
      <c r="M304" s="297"/>
      <c r="N304" s="297">
        <v>12</v>
      </c>
      <c r="O304" s="297">
        <v>194</v>
      </c>
      <c r="P304" s="297"/>
      <c r="Q304" s="297"/>
      <c r="R304" s="297"/>
      <c r="S304" s="297"/>
      <c r="T304" s="297"/>
      <c r="U304" s="297"/>
      <c r="V304" s="297"/>
      <c r="W304" s="297"/>
      <c r="X304" s="297"/>
      <c r="Y304" s="428"/>
      <c r="Z304" s="469">
        <v>4.1669999999999999E-2</v>
      </c>
      <c r="AA304" s="469">
        <v>0.96070999999999995</v>
      </c>
      <c r="AB304" s="412"/>
      <c r="AC304" s="412"/>
      <c r="AD304" s="412"/>
      <c r="AE304" s="412"/>
      <c r="AF304" s="412"/>
      <c r="AG304" s="417"/>
      <c r="AH304" s="417"/>
      <c r="AI304" s="417"/>
      <c r="AJ304" s="417"/>
      <c r="AK304" s="417"/>
      <c r="AL304" s="417"/>
      <c r="AM304" s="298">
        <f>SUM(Y304:AL304)</f>
        <v>1.00238</v>
      </c>
    </row>
    <row r="305" spans="1:39" outlineLevel="1">
      <c r="B305" s="296" t="s">
        <v>288</v>
      </c>
      <c r="C305" s="293" t="s">
        <v>164</v>
      </c>
      <c r="D305" s="297">
        <f>691151-359398.52</f>
        <v>331752.48</v>
      </c>
      <c r="E305" s="297"/>
      <c r="F305" s="297"/>
      <c r="G305" s="297"/>
      <c r="H305" s="297"/>
      <c r="I305" s="297"/>
      <c r="J305" s="297"/>
      <c r="K305" s="297"/>
      <c r="L305" s="297"/>
      <c r="M305" s="297"/>
      <c r="N305" s="297">
        <f>N304</f>
        <v>12</v>
      </c>
      <c r="O305" s="297">
        <f>111</f>
        <v>111</v>
      </c>
      <c r="P305" s="297"/>
      <c r="Q305" s="297"/>
      <c r="R305" s="297"/>
      <c r="S305" s="297"/>
      <c r="T305" s="297"/>
      <c r="U305" s="297"/>
      <c r="V305" s="297"/>
      <c r="W305" s="297"/>
      <c r="X305" s="297"/>
      <c r="Y305" s="413">
        <f>Y304</f>
        <v>0</v>
      </c>
      <c r="Z305" s="413">
        <f t="shared" ref="Z305" si="811">Z304</f>
        <v>4.1669999999999999E-2</v>
      </c>
      <c r="AA305" s="413">
        <f t="shared" ref="AA305" si="812">AA304</f>
        <v>0.96070999999999995</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outlineLevel="1">
      <c r="B308" s="296" t="s">
        <v>288</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0</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288</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0</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288</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288</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288</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v>1</v>
      </c>
      <c r="AB322" s="412"/>
      <c r="AC322" s="412"/>
      <c r="AD322" s="412"/>
      <c r="AE322" s="412"/>
      <c r="AF322" s="412"/>
      <c r="AG322" s="417"/>
      <c r="AH322" s="417"/>
      <c r="AI322" s="417"/>
      <c r="AJ322" s="417"/>
      <c r="AK322" s="417"/>
      <c r="AL322" s="417"/>
      <c r="AM322" s="298">
        <f>SUM(Y322:AL322)</f>
        <v>1</v>
      </c>
    </row>
    <row r="323" spans="1:39" outlineLevel="1">
      <c r="B323" s="296" t="s">
        <v>288</v>
      </c>
      <c r="C323" s="293" t="s">
        <v>164</v>
      </c>
      <c r="D323" s="297">
        <v>3366</v>
      </c>
      <c r="E323" s="297"/>
      <c r="F323" s="297"/>
      <c r="G323" s="297"/>
      <c r="H323" s="297"/>
      <c r="I323" s="297"/>
      <c r="J323" s="297"/>
      <c r="K323" s="297"/>
      <c r="L323" s="297"/>
      <c r="M323" s="297"/>
      <c r="N323" s="297">
        <f>N322</f>
        <v>12</v>
      </c>
      <c r="O323" s="297">
        <v>3</v>
      </c>
      <c r="P323" s="297"/>
      <c r="Q323" s="297"/>
      <c r="R323" s="297"/>
      <c r="S323" s="297"/>
      <c r="T323" s="297"/>
      <c r="U323" s="297"/>
      <c r="V323" s="297"/>
      <c r="W323" s="297"/>
      <c r="X323" s="297"/>
      <c r="Y323" s="413">
        <f>Y322</f>
        <v>0</v>
      </c>
      <c r="Z323" s="413">
        <f t="shared" ref="Z323" si="889">Z322</f>
        <v>0</v>
      </c>
      <c r="AA323" s="413">
        <f t="shared" ref="AA323" si="890">AA322</f>
        <v>1</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496</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288</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288</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288</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497</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288</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288</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288</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288</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288</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288</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288</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0</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288</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288</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288</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288</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288</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288</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288</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273</v>
      </c>
      <c r="C378" s="331"/>
      <c r="D378" s="331">
        <f>SUM(D221:D376)</f>
        <v>9359054.4800000004</v>
      </c>
      <c r="E378" s="331"/>
      <c r="F378" s="331"/>
      <c r="G378" s="331"/>
      <c r="H378" s="331"/>
      <c r="I378" s="331"/>
      <c r="J378" s="331"/>
      <c r="K378" s="331"/>
      <c r="L378" s="331"/>
      <c r="M378" s="331"/>
      <c r="N378" s="331"/>
      <c r="O378" s="331">
        <f>SUM(O221:O376)</f>
        <v>1005</v>
      </c>
      <c r="P378" s="331"/>
      <c r="Q378" s="331"/>
      <c r="R378" s="331"/>
      <c r="S378" s="331"/>
      <c r="T378" s="331"/>
      <c r="U378" s="331"/>
      <c r="V378" s="331"/>
      <c r="W378" s="331"/>
      <c r="X378" s="331"/>
      <c r="Y378" s="331">
        <f>IF(Y219="kWh",SUMPRODUCT(D221:D376,Y221:Y376))</f>
        <v>7082840</v>
      </c>
      <c r="Z378" s="331">
        <f>IF(Z219="kWh",SUMPRODUCT(D221:D376,Z221:Z376))</f>
        <v>94709.596161599999</v>
      </c>
      <c r="AA378" s="331">
        <f>IF(AA219="kw",SUMPRODUCT(N221:N376,O221:O376,AA221:AA376),SUMPRODUCT(D221:D376,AA221:AA376))</f>
        <v>3552.1985999999997</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274</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0</v>
      </c>
      <c r="Z379" s="394">
        <f>HLOOKUP(Z218,'2. LRAMVA Threshold'!$B$42:$Q$53,8,FALSE)</f>
        <v>0</v>
      </c>
      <c r="AA379" s="394">
        <f>HLOOKUP(AA218,'2. LRAMVA Threshold'!$B$42:$Q$53,8,FALSE)</f>
        <v>0</v>
      </c>
      <c r="AB379" s="394">
        <f>HLOOKUP(AB218,'2. LRAMVA Threshold'!$B$42:$Q$53,8,FALSE)</f>
        <v>0</v>
      </c>
      <c r="AC379" s="394">
        <f>HLOOKUP(AC218,'2. LRAMVA Threshold'!$B$42:$Q$53,8,FALSE)</f>
        <v>0</v>
      </c>
      <c r="AD379" s="394">
        <f>HLOOKUP(AD218,'2. LRAMVA Threshold'!$B$42:$Q$53,8,FALSE)</f>
        <v>0</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275</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1.1299999999999999E-2</v>
      </c>
      <c r="Z381" s="343">
        <f>HLOOKUP(Z$35,'3.  Distribution Rates'!$C$122:$P$133,8,FALSE)</f>
        <v>2.07E-2</v>
      </c>
      <c r="AA381" s="343">
        <f>HLOOKUP(AA$35,'3.  Distribution Rates'!$C$122:$P$133,8,FALSE)</f>
        <v>4.165</v>
      </c>
      <c r="AB381" s="343">
        <f>HLOOKUP(AB$35,'3.  Distribution Rates'!$C$122:$P$133,8,FALSE)</f>
        <v>7.0213000000000001</v>
      </c>
      <c r="AC381" s="343">
        <f>HLOOKUP(AC$35,'3.  Distribution Rates'!$C$122:$P$133,8,FALSE)</f>
        <v>0</v>
      </c>
      <c r="AD381" s="343">
        <f>HLOOKUP(AD$35,'3.  Distribution Rates'!$C$122:$P$133,8,FALSE)</f>
        <v>0</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276</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10116.128492999998</v>
      </c>
      <c r="Z382" s="380">
        <f>'4.  2011-2014 LRAM'!Z139*Z381</f>
        <v>678.96</v>
      </c>
      <c r="AA382" s="380">
        <f>'4.  2011-2014 LRAM'!AA139*AA381</f>
        <v>15030.4854</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25825.573893000001</v>
      </c>
    </row>
    <row r="383" spans="1:42">
      <c r="B383" s="326" t="s">
        <v>277</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7480.4981869999992</v>
      </c>
      <c r="Z383" s="380">
        <f>'4.  2011-2014 LRAM'!Z268*Z381</f>
        <v>706.99111200000004</v>
      </c>
      <c r="AA383" s="380">
        <f>'4.  2011-2014 LRAM'!AA268*AA381</f>
        <v>16627.8462</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24815.335499000001</v>
      </c>
    </row>
    <row r="384" spans="1:42">
      <c r="B384" s="326" t="s">
        <v>278</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8306.0264669999997</v>
      </c>
      <c r="Z384" s="380">
        <f>'4.  2011-2014 LRAM'!Z397*Z381</f>
        <v>2270.3670990000001</v>
      </c>
      <c r="AA384" s="380">
        <f>'4.  2011-2014 LRAM'!AA397*AA381</f>
        <v>21646.837799999998</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32223.231365999996</v>
      </c>
    </row>
    <row r="385" spans="2:39">
      <c r="B385" s="326" t="s">
        <v>279</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19676.1476</v>
      </c>
      <c r="Z385" s="380">
        <f>'4.  2011-2014 LRAM'!Z527*Z381</f>
        <v>13993.0137</v>
      </c>
      <c r="AA385" s="380">
        <f>'4.  2011-2014 LRAM'!AA527*AA381</f>
        <v>21094.558800000003</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54763.720100000006</v>
      </c>
    </row>
    <row r="386" spans="2:39">
      <c r="B386" s="326" t="s">
        <v>280</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28754.205999999998</v>
      </c>
      <c r="Z386" s="380">
        <f t="shared" si="1124"/>
        <v>12656.366923310354</v>
      </c>
      <c r="AA386" s="380">
        <f t="shared" si="1124"/>
        <v>16247.947820160001</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57658.520743470348</v>
      </c>
    </row>
    <row r="387" spans="2:39">
      <c r="B387" s="326" t="s">
        <v>289</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80036.09199999999</v>
      </c>
      <c r="Z387" s="380">
        <f t="shared" ref="Z387:AL387" si="1125">Z378*Z381</f>
        <v>1960.48864054512</v>
      </c>
      <c r="AA387" s="380">
        <f t="shared" si="1125"/>
        <v>14794.907168999998</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96791.487809545113</v>
      </c>
    </row>
    <row r="388" spans="2:39" ht="15.75">
      <c r="B388" s="351" t="s">
        <v>281</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154369.09874699998</v>
      </c>
      <c r="Z388" s="348">
        <f t="shared" ref="Z388:AE388" si="1126">SUM(Z382:Z387)</f>
        <v>32266.187474855476</v>
      </c>
      <c r="AA388" s="348">
        <f t="shared" si="1126"/>
        <v>105442.58318916</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292077.86941101548</v>
      </c>
    </row>
    <row r="389" spans="2:39" ht="15.75">
      <c r="B389" s="351" t="s">
        <v>282</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0</v>
      </c>
      <c r="Z389" s="349">
        <f t="shared" ref="Z389:AE389" si="1128">Z379*Z381</f>
        <v>0</v>
      </c>
      <c r="AA389" s="349">
        <f t="shared" si="1128"/>
        <v>0</v>
      </c>
      <c r="AB389" s="349">
        <f t="shared" si="1128"/>
        <v>0</v>
      </c>
      <c r="AC389" s="349">
        <f t="shared" si="1128"/>
        <v>0</v>
      </c>
      <c r="AD389" s="349">
        <f t="shared" si="1128"/>
        <v>0</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0</v>
      </c>
    </row>
    <row r="390" spans="2:39" ht="15.75">
      <c r="B390" s="351" t="s">
        <v>283</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292077.86941101548</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284</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0</v>
      </c>
      <c r="Z392" s="293">
        <f>SUMPRODUCT(E221:E376,Z221:Z376)</f>
        <v>0</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285</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0</v>
      </c>
      <c r="Z393" s="293">
        <f>SUMPRODUCT(F221:F376,Z221:Z376)</f>
        <v>0</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286</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0</v>
      </c>
      <c r="Z394" s="293">
        <f>SUMPRODUCT(G221:G376,Z221:Z376)</f>
        <v>0</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287</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0</v>
      </c>
      <c r="Z395" s="328">
        <f>SUMPRODUCT(H221:H376,Z221:Z376)</f>
        <v>0</v>
      </c>
      <c r="AA395" s="328">
        <f t="shared" ref="AA395:AL395" si="1133">IF(AA219="kw",SUMPRODUCT($N$221:$N$376,$S$221:$S$376,AA221:AA376),SUMPRODUCT($H$221:$H$376,AA221:AA376))</f>
        <v>0</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585</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290</v>
      </c>
      <c r="C399" s="283"/>
      <c r="D399" s="592" t="s">
        <v>521</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97" t="s">
        <v>210</v>
      </c>
      <c r="C400" s="899" t="s">
        <v>33</v>
      </c>
      <c r="D400" s="286" t="s">
        <v>421</v>
      </c>
      <c r="E400" s="901" t="s">
        <v>208</v>
      </c>
      <c r="F400" s="902"/>
      <c r="G400" s="902"/>
      <c r="H400" s="902"/>
      <c r="I400" s="902"/>
      <c r="J400" s="902"/>
      <c r="K400" s="902"/>
      <c r="L400" s="902"/>
      <c r="M400" s="903"/>
      <c r="N400" s="907" t="s">
        <v>212</v>
      </c>
      <c r="O400" s="286" t="s">
        <v>422</v>
      </c>
      <c r="P400" s="901" t="s">
        <v>211</v>
      </c>
      <c r="Q400" s="902"/>
      <c r="R400" s="902"/>
      <c r="S400" s="902"/>
      <c r="T400" s="902"/>
      <c r="U400" s="902"/>
      <c r="V400" s="902"/>
      <c r="W400" s="902"/>
      <c r="X400" s="903"/>
      <c r="Y400" s="904" t="s">
        <v>242</v>
      </c>
      <c r="Z400" s="905"/>
      <c r="AA400" s="905"/>
      <c r="AB400" s="905"/>
      <c r="AC400" s="905"/>
      <c r="AD400" s="905"/>
      <c r="AE400" s="905"/>
      <c r="AF400" s="905"/>
      <c r="AG400" s="905"/>
      <c r="AH400" s="905"/>
      <c r="AI400" s="905"/>
      <c r="AJ400" s="905"/>
      <c r="AK400" s="905"/>
      <c r="AL400" s="905"/>
      <c r="AM400" s="906"/>
    </row>
    <row r="401" spans="1:39" ht="61.5" customHeight="1">
      <c r="B401" s="898"/>
      <c r="C401" s="900"/>
      <c r="D401" s="287">
        <v>2017</v>
      </c>
      <c r="E401" s="287">
        <v>2018</v>
      </c>
      <c r="F401" s="287">
        <v>2019</v>
      </c>
      <c r="G401" s="287">
        <v>2020</v>
      </c>
      <c r="H401" s="287">
        <v>2021</v>
      </c>
      <c r="I401" s="287">
        <v>2022</v>
      </c>
      <c r="J401" s="287">
        <v>2023</v>
      </c>
      <c r="K401" s="287">
        <v>2024</v>
      </c>
      <c r="L401" s="287">
        <v>2025</v>
      </c>
      <c r="M401" s="287">
        <v>2026</v>
      </c>
      <c r="N401" s="908"/>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GS&gt;50 kW</v>
      </c>
      <c r="AB401" s="287" t="str">
        <f>'1.  LRAMVA Summary'!G50</f>
        <v>Streetlighting</v>
      </c>
      <c r="AC401" s="287" t="str">
        <f>'1.  LRAMVA Summary'!H50</f>
        <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499</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v>
      </c>
      <c r="AC402" s="293">
        <f>'1.  LRAMVA Summary'!H51</f>
        <v>0</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outlineLevel="1">
      <c r="A403" s="534"/>
      <c r="B403" s="506" t="s">
        <v>492</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outlineLevel="1">
      <c r="A405" s="534"/>
      <c r="B405" s="433" t="s">
        <v>307</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outlineLevel="1">
      <c r="A408" s="534"/>
      <c r="B408" s="433" t="s">
        <v>307</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outlineLevel="1">
      <c r="A411" s="534"/>
      <c r="B411" s="433" t="s">
        <v>307</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outlineLevel="1">
      <c r="A414" s="534"/>
      <c r="B414" s="433" t="s">
        <v>307</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outlineLevel="1">
      <c r="A417" s="534"/>
      <c r="B417" s="433" t="s">
        <v>307</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outlineLevel="1">
      <c r="A419" s="534"/>
      <c r="B419" s="516" t="s">
        <v>493</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outlineLevel="1">
      <c r="A421" s="534"/>
      <c r="B421" s="433" t="s">
        <v>307</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outlineLevel="1">
      <c r="A424" s="534"/>
      <c r="B424" s="433" t="s">
        <v>307</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outlineLevel="1">
      <c r="A427" s="534"/>
      <c r="B427" s="433" t="s">
        <v>307</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outlineLevel="1">
      <c r="A430" s="534"/>
      <c r="B430" s="433" t="s">
        <v>307</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outlineLevel="1">
      <c r="A433" s="534"/>
      <c r="B433" s="433" t="s">
        <v>307</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outlineLevel="1">
      <c r="A437" s="534"/>
      <c r="B437" s="433" t="s">
        <v>307</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outlineLevel="1">
      <c r="A440" s="534"/>
      <c r="B440" s="433" t="s">
        <v>307</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outlineLevel="1">
      <c r="A443" s="534"/>
      <c r="B443" s="433" t="s">
        <v>307</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outlineLevel="1">
      <c r="A447" s="534"/>
      <c r="B447" s="433" t="s">
        <v>307</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outlineLevel="1">
      <c r="A449" s="534"/>
      <c r="B449" s="506" t="s">
        <v>485</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outlineLevel="1">
      <c r="A450" s="534">
        <v>15</v>
      </c>
      <c r="B450" s="433" t="s">
        <v>490</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outlineLevel="1">
      <c r="A451" s="534"/>
      <c r="B451" s="433" t="s">
        <v>307</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outlineLevel="1">
      <c r="A453" s="534">
        <v>16</v>
      </c>
      <c r="B453" s="531" t="s">
        <v>486</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outlineLevel="1">
      <c r="A454" s="534"/>
      <c r="B454" s="531" t="s">
        <v>307</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outlineLevel="1">
      <c r="A456" s="534"/>
      <c r="B456" s="532" t="s">
        <v>491</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outlineLevel="1">
      <c r="A458" s="534"/>
      <c r="B458" s="433" t="s">
        <v>307</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outlineLevel="1">
      <c r="A461" s="534"/>
      <c r="B461" s="433" t="s">
        <v>307</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outlineLevel="1">
      <c r="A464" s="534"/>
      <c r="B464" s="433" t="s">
        <v>307</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outlineLevel="1">
      <c r="A467" s="534"/>
      <c r="B467" s="433" t="s">
        <v>307</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outlineLevel="1">
      <c r="A469" s="534"/>
      <c r="B469" s="526" t="s">
        <v>498</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outlineLevel="1">
      <c r="A470" s="534"/>
      <c r="B470" s="506" t="s">
        <v>494</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outlineLevel="1">
      <c r="A472" s="534"/>
      <c r="B472" s="433" t="s">
        <v>307</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outlineLevel="1">
      <c r="A475" s="534"/>
      <c r="B475" s="433" t="s">
        <v>307</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outlineLevel="1">
      <c r="A478" s="534"/>
      <c r="B478" s="433" t="s">
        <v>307</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outlineLevel="1">
      <c r="A481" s="534"/>
      <c r="B481" s="433" t="s">
        <v>307</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outlineLevel="1">
      <c r="A483" s="534"/>
      <c r="B483" s="506" t="s">
        <v>495</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outlineLevel="1">
      <c r="A485" s="534"/>
      <c r="B485" s="433" t="s">
        <v>307</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outlineLevel="1">
      <c r="A488" s="534"/>
      <c r="B488" s="433" t="s">
        <v>307</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outlineLevel="1">
      <c r="A491" s="534"/>
      <c r="B491" s="433" t="s">
        <v>307</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outlineLevel="1">
      <c r="A494" s="534"/>
      <c r="B494" s="433" t="s">
        <v>307</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outlineLevel="1">
      <c r="A497" s="534"/>
      <c r="B497" s="433" t="s">
        <v>307</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outlineLevel="1">
      <c r="A500" s="534"/>
      <c r="B500" s="433" t="s">
        <v>307</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outlineLevel="1">
      <c r="A503" s="534"/>
      <c r="B503" s="433" t="s">
        <v>307</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outlineLevel="1">
      <c r="A506" s="534"/>
      <c r="B506" s="433" t="s">
        <v>307</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outlineLevel="1">
      <c r="A508" s="534"/>
      <c r="B508" s="506" t="s">
        <v>496</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outlineLevel="1">
      <c r="A510" s="534"/>
      <c r="B510" s="433" t="s">
        <v>307</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outlineLevel="1">
      <c r="A513" s="534"/>
      <c r="B513" s="433" t="s">
        <v>307</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outlineLevel="1">
      <c r="A516" s="534"/>
      <c r="B516" s="433" t="s">
        <v>307</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outlineLevel="1">
      <c r="A518" s="534"/>
      <c r="B518" s="506" t="s">
        <v>497</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outlineLevel="1">
      <c r="A520" s="534"/>
      <c r="B520" s="433" t="s">
        <v>307</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outlineLevel="1">
      <c r="A523" s="534"/>
      <c r="B523" s="433" t="s">
        <v>307</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outlineLevel="1">
      <c r="A526" s="534"/>
      <c r="B526" s="433" t="s">
        <v>307</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outlineLevel="1">
      <c r="A529" s="534"/>
      <c r="B529" s="433" t="s">
        <v>307</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outlineLevel="1">
      <c r="A532" s="534"/>
      <c r="B532" s="433" t="s">
        <v>307</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outlineLevel="1">
      <c r="A535" s="534"/>
      <c r="B535" s="433" t="s">
        <v>307</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outlineLevel="1">
      <c r="A538" s="534"/>
      <c r="B538" s="433" t="s">
        <v>307</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outlineLevel="1">
      <c r="A541" s="534"/>
      <c r="B541" s="433" t="s">
        <v>307</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outlineLevel="1">
      <c r="A544" s="534"/>
      <c r="B544" s="433" t="s">
        <v>307</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outlineLevel="1">
      <c r="A547" s="534"/>
      <c r="B547" s="433" t="s">
        <v>307</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outlineLevel="1">
      <c r="A550" s="534"/>
      <c r="B550" s="433" t="s">
        <v>307</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outlineLevel="1">
      <c r="A553" s="534"/>
      <c r="B553" s="433" t="s">
        <v>307</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outlineLevel="1">
      <c r="A556" s="534"/>
      <c r="B556" s="433" t="s">
        <v>307</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outlineLevel="1">
      <c r="A559" s="534"/>
      <c r="B559" s="433" t="s">
        <v>307</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 r="B561" s="329" t="s">
        <v>291</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292</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293</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0</v>
      </c>
      <c r="Z564" s="343">
        <f>HLOOKUP(Z$35,'3.  Distribution Rates'!$C$122:$P$133,9,FALSE)</f>
        <v>0</v>
      </c>
      <c r="AA564" s="343">
        <f>HLOOKUP(AA$35,'3.  Distribution Rates'!$C$122:$P$133,9,FALSE)</f>
        <v>0</v>
      </c>
      <c r="AB564" s="343">
        <f>HLOOKUP(AB$35,'3.  Distribution Rates'!$C$122:$P$133,9,FALSE)</f>
        <v>0</v>
      </c>
      <c r="AC564" s="343">
        <f>HLOOKUP(AC$35,'3.  Distribution Rates'!$C$122:$P$133,9,FALSE)</f>
        <v>0</v>
      </c>
      <c r="AD564" s="343">
        <f>HLOOKUP(AD$35,'3.  Distribution Rates'!$C$122:$P$133,9,FALSE)</f>
        <v>0</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294</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0</v>
      </c>
      <c r="Z565" s="380">
        <f>'4.  2011-2014 LRAM'!Z140*Z564</f>
        <v>0</v>
      </c>
      <c r="AA565" s="380">
        <f>'4.  2011-2014 LRAM'!AA140*AA564</f>
        <v>0</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0</v>
      </c>
    </row>
    <row r="566" spans="2:39">
      <c r="B566" s="326" t="s">
        <v>295</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0</v>
      </c>
      <c r="Z566" s="380">
        <f>'4.  2011-2014 LRAM'!Z269*Z564</f>
        <v>0</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0</v>
      </c>
    </row>
    <row r="567" spans="2:39">
      <c r="B567" s="326" t="s">
        <v>296</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0</v>
      </c>
      <c r="Z567" s="380">
        <f>'4.  2011-2014 LRAM'!Z398*Z564</f>
        <v>0</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0</v>
      </c>
    </row>
    <row r="568" spans="2:39">
      <c r="B568" s="326" t="s">
        <v>297</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0</v>
      </c>
      <c r="Z568" s="380">
        <f>'4.  2011-2014 LRAM'!Z528*Z564</f>
        <v>0</v>
      </c>
      <c r="AA568" s="380">
        <f>'4.  2011-2014 LRAM'!AA528*AA564</f>
        <v>0</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0</v>
      </c>
    </row>
    <row r="569" spans="2:39">
      <c r="B569" s="326" t="s">
        <v>298</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0</v>
      </c>
      <c r="Z569" s="380">
        <f t="shared" si="1700"/>
        <v>0</v>
      </c>
      <c r="AA569" s="380">
        <f t="shared" si="1700"/>
        <v>0</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0</v>
      </c>
    </row>
    <row r="570" spans="2:39">
      <c r="B570" s="326" t="s">
        <v>299</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0</v>
      </c>
      <c r="Z570" s="380">
        <f t="shared" si="1701"/>
        <v>0</v>
      </c>
      <c r="AA570" s="380">
        <f t="shared" si="1701"/>
        <v>0</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0</v>
      </c>
    </row>
    <row r="571" spans="2:39">
      <c r="B571" s="326" t="s">
        <v>300</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301</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0</v>
      </c>
      <c r="Z572" s="348">
        <f>SUM(Z565:Z571)</f>
        <v>0</v>
      </c>
      <c r="AA572" s="348">
        <f t="shared" ref="AA572:AE572" si="1703">SUM(AA565:AA571)</f>
        <v>0</v>
      </c>
      <c r="AB572" s="348">
        <f t="shared" si="1703"/>
        <v>0</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0</v>
      </c>
    </row>
    <row r="573" spans="2:39" ht="15.75">
      <c r="B573" s="351" t="s">
        <v>302</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303</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0</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304</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305</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306</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585</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308</v>
      </c>
      <c r="C582" s="283"/>
      <c r="D582" s="592" t="s">
        <v>521</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97" t="s">
        <v>210</v>
      </c>
      <c r="C583" s="899" t="s">
        <v>33</v>
      </c>
      <c r="D583" s="286" t="s">
        <v>421</v>
      </c>
      <c r="E583" s="901" t="s">
        <v>208</v>
      </c>
      <c r="F583" s="902"/>
      <c r="G583" s="902"/>
      <c r="H583" s="902"/>
      <c r="I583" s="902"/>
      <c r="J583" s="902"/>
      <c r="K583" s="902"/>
      <c r="L583" s="902"/>
      <c r="M583" s="903"/>
      <c r="N583" s="907" t="s">
        <v>212</v>
      </c>
      <c r="O583" s="286" t="s">
        <v>422</v>
      </c>
      <c r="P583" s="901" t="s">
        <v>211</v>
      </c>
      <c r="Q583" s="902"/>
      <c r="R583" s="902"/>
      <c r="S583" s="902"/>
      <c r="T583" s="902"/>
      <c r="U583" s="902"/>
      <c r="V583" s="902"/>
      <c r="W583" s="902"/>
      <c r="X583" s="903"/>
      <c r="Y583" s="904" t="s">
        <v>242</v>
      </c>
      <c r="Z583" s="905"/>
      <c r="AA583" s="905"/>
      <c r="AB583" s="905"/>
      <c r="AC583" s="905"/>
      <c r="AD583" s="905"/>
      <c r="AE583" s="905"/>
      <c r="AF583" s="905"/>
      <c r="AG583" s="905"/>
      <c r="AH583" s="905"/>
      <c r="AI583" s="905"/>
      <c r="AJ583" s="905"/>
      <c r="AK583" s="905"/>
      <c r="AL583" s="905"/>
      <c r="AM583" s="906"/>
    </row>
    <row r="584" spans="1:39" ht="68.25" customHeight="1">
      <c r="B584" s="898"/>
      <c r="C584" s="900"/>
      <c r="D584" s="287">
        <v>2018</v>
      </c>
      <c r="E584" s="287">
        <v>2019</v>
      </c>
      <c r="F584" s="287">
        <v>2020</v>
      </c>
      <c r="G584" s="287">
        <v>2021</v>
      </c>
      <c r="H584" s="287">
        <v>2022</v>
      </c>
      <c r="I584" s="287">
        <v>2023</v>
      </c>
      <c r="J584" s="287">
        <v>2024</v>
      </c>
      <c r="K584" s="287">
        <v>2025</v>
      </c>
      <c r="L584" s="287">
        <v>2026</v>
      </c>
      <c r="M584" s="287">
        <v>2027</v>
      </c>
      <c r="N584" s="908"/>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GS&gt;50 kW</v>
      </c>
      <c r="AB584" s="287" t="str">
        <f>'1.  LRAMVA Summary'!G50</f>
        <v>Streetlighting</v>
      </c>
      <c r="AC584" s="287" t="str">
        <f>'1.  LRAMVA Summary'!H50</f>
        <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499</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v>
      </c>
      <c r="AC585" s="293">
        <f>'1.  LRAMVA Summary'!H51</f>
        <v>0</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492</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309</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309</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309</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309</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309</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493</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309</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309</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309</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309</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309</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309</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309</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309</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309</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485</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490</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309</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486</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309</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491</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309</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309</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309</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309</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498</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494</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309</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309</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309</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309</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495</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309</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309</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309</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309</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309</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309</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309</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309</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496</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309</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309</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309</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497</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309</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309</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309</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309</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309</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309</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309</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309</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309</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309</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309</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309</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309</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309</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310</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311</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312</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0</v>
      </c>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313</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0</v>
      </c>
      <c r="Z748" s="380">
        <f>'4.  2011-2014 LRAM'!Z141*Z747</f>
        <v>0</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0</v>
      </c>
      <c r="AN748" s="445"/>
    </row>
    <row r="749" spans="1:40">
      <c r="B749" s="326" t="s">
        <v>314</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0</v>
      </c>
      <c r="Z749" s="380">
        <f>'4.  2011-2014 LRAM'!Z270*Z747</f>
        <v>0</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0</v>
      </c>
      <c r="AN749" s="445"/>
    </row>
    <row r="750" spans="1:40">
      <c r="B750" s="326" t="s">
        <v>315</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0</v>
      </c>
      <c r="Z750" s="380">
        <f>'4.  2011-2014 LRAM'!Z399*Z747</f>
        <v>0</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0</v>
      </c>
      <c r="AN750" s="445"/>
    </row>
    <row r="751" spans="1:40">
      <c r="B751" s="326" t="s">
        <v>316</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0</v>
      </c>
      <c r="Z751" s="380">
        <f>'4.  2011-2014 LRAM'!Z529*Z747</f>
        <v>0</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0</v>
      </c>
      <c r="AN751" s="445"/>
    </row>
    <row r="752" spans="1:40">
      <c r="B752" s="326" t="s">
        <v>317</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0</v>
      </c>
      <c r="Z752" s="380">
        <f t="shared" si="2276"/>
        <v>0</v>
      </c>
      <c r="AA752" s="380">
        <f t="shared" si="2276"/>
        <v>0</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0</v>
      </c>
      <c r="AN752" s="445"/>
    </row>
    <row r="753" spans="1:40">
      <c r="B753" s="326" t="s">
        <v>318</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0</v>
      </c>
      <c r="Z753" s="380">
        <f t="shared" si="2277"/>
        <v>0</v>
      </c>
      <c r="AA753" s="380">
        <f t="shared" si="2277"/>
        <v>0</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0</v>
      </c>
      <c r="AN753" s="445"/>
    </row>
    <row r="754" spans="1:40">
      <c r="B754" s="326" t="s">
        <v>319</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320</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321</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0</v>
      </c>
      <c r="Z756" s="348">
        <f t="shared" ref="Z756:AE756" si="2280">SUM(Z748:Z755)</f>
        <v>0</v>
      </c>
      <c r="AA756" s="348">
        <f t="shared" si="2280"/>
        <v>0</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0</v>
      </c>
      <c r="AN756" s="445"/>
    </row>
    <row r="757" spans="1:40" ht="15.75">
      <c r="B757" s="351" t="s">
        <v>322</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323</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0</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324</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325</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585</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326</v>
      </c>
      <c r="C765" s="283"/>
      <c r="D765" s="592" t="s">
        <v>521</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97" t="s">
        <v>210</v>
      </c>
      <c r="C766" s="899" t="s">
        <v>33</v>
      </c>
      <c r="D766" s="286" t="s">
        <v>421</v>
      </c>
      <c r="E766" s="901" t="s">
        <v>208</v>
      </c>
      <c r="F766" s="902"/>
      <c r="G766" s="902"/>
      <c r="H766" s="902"/>
      <c r="I766" s="902"/>
      <c r="J766" s="902"/>
      <c r="K766" s="902"/>
      <c r="L766" s="902"/>
      <c r="M766" s="903"/>
      <c r="N766" s="907" t="s">
        <v>212</v>
      </c>
      <c r="O766" s="286" t="s">
        <v>422</v>
      </c>
      <c r="P766" s="901" t="s">
        <v>211</v>
      </c>
      <c r="Q766" s="902"/>
      <c r="R766" s="902"/>
      <c r="S766" s="902"/>
      <c r="T766" s="902"/>
      <c r="U766" s="902"/>
      <c r="V766" s="902"/>
      <c r="W766" s="902"/>
      <c r="X766" s="903"/>
      <c r="Y766" s="904" t="s">
        <v>242</v>
      </c>
      <c r="Z766" s="905"/>
      <c r="AA766" s="905"/>
      <c r="AB766" s="905"/>
      <c r="AC766" s="905"/>
      <c r="AD766" s="905"/>
      <c r="AE766" s="905"/>
      <c r="AF766" s="905"/>
      <c r="AG766" s="905"/>
      <c r="AH766" s="905"/>
      <c r="AI766" s="905"/>
      <c r="AJ766" s="905"/>
      <c r="AK766" s="905"/>
      <c r="AL766" s="905"/>
      <c r="AM766" s="906"/>
    </row>
    <row r="767" spans="1:40" ht="65.25" customHeight="1">
      <c r="B767" s="898"/>
      <c r="C767" s="900"/>
      <c r="D767" s="287">
        <v>2019</v>
      </c>
      <c r="E767" s="287">
        <v>2020</v>
      </c>
      <c r="F767" s="287">
        <v>2021</v>
      </c>
      <c r="G767" s="287">
        <v>2022</v>
      </c>
      <c r="H767" s="287">
        <v>2023</v>
      </c>
      <c r="I767" s="287">
        <v>2024</v>
      </c>
      <c r="J767" s="287">
        <v>2025</v>
      </c>
      <c r="K767" s="287">
        <v>2026</v>
      </c>
      <c r="L767" s="287">
        <v>2027</v>
      </c>
      <c r="M767" s="287">
        <v>2028</v>
      </c>
      <c r="N767" s="908"/>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GS&gt;50 kW</v>
      </c>
      <c r="AB767" s="287" t="str">
        <f>'1.  LRAMVA Summary'!G50</f>
        <v>Streetlighting</v>
      </c>
      <c r="AC767" s="287" t="str">
        <f>'1.  LRAMVA Summary'!H50</f>
        <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499</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v>
      </c>
      <c r="AC768" s="293">
        <f>'1.  LRAMVA Summary'!H51</f>
        <v>0</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492</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341</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341</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341</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341</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341</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493</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341</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341</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341</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341</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341</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341</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341</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341</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341</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485</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490</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341</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486</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341</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491</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341</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341</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341</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341</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498</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494</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341</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341</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341</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341</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495</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341</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341</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341</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341</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341</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341</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341</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341</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496</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341</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341</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341</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497</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341</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341</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341</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341</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341</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341</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341</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341</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341</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341</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341</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341</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341</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341</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327</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328</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329</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330</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331</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332</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333</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334</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335</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336</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337</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338</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342</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343</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344</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339</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585</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340</v>
      </c>
      <c r="C948" s="283"/>
      <c r="D948" s="592" t="s">
        <v>521</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97" t="s">
        <v>210</v>
      </c>
      <c r="C949" s="899" t="s">
        <v>33</v>
      </c>
      <c r="D949" s="286" t="s">
        <v>421</v>
      </c>
      <c r="E949" s="901" t="s">
        <v>208</v>
      </c>
      <c r="F949" s="902"/>
      <c r="G949" s="902"/>
      <c r="H949" s="902"/>
      <c r="I949" s="902"/>
      <c r="J949" s="902"/>
      <c r="K949" s="902"/>
      <c r="L949" s="902"/>
      <c r="M949" s="903"/>
      <c r="N949" s="907" t="s">
        <v>212</v>
      </c>
      <c r="O949" s="286" t="s">
        <v>422</v>
      </c>
      <c r="P949" s="901" t="s">
        <v>211</v>
      </c>
      <c r="Q949" s="902"/>
      <c r="R949" s="902"/>
      <c r="S949" s="902"/>
      <c r="T949" s="902"/>
      <c r="U949" s="902"/>
      <c r="V949" s="902"/>
      <c r="W949" s="902"/>
      <c r="X949" s="903"/>
      <c r="Y949" s="904" t="s">
        <v>242</v>
      </c>
      <c r="Z949" s="905"/>
      <c r="AA949" s="905"/>
      <c r="AB949" s="905"/>
      <c r="AC949" s="905"/>
      <c r="AD949" s="905"/>
      <c r="AE949" s="905"/>
      <c r="AF949" s="905"/>
      <c r="AG949" s="905"/>
      <c r="AH949" s="905"/>
      <c r="AI949" s="905"/>
      <c r="AJ949" s="905"/>
      <c r="AK949" s="905"/>
      <c r="AL949" s="905"/>
      <c r="AM949" s="906"/>
    </row>
    <row r="950" spans="1:39" ht="65.25" customHeight="1">
      <c r="B950" s="898"/>
      <c r="C950" s="900"/>
      <c r="D950" s="287">
        <v>2020</v>
      </c>
      <c r="E950" s="287">
        <v>2021</v>
      </c>
      <c r="F950" s="287">
        <v>2022</v>
      </c>
      <c r="G950" s="287">
        <v>2023</v>
      </c>
      <c r="H950" s="287">
        <v>2024</v>
      </c>
      <c r="I950" s="287">
        <v>2025</v>
      </c>
      <c r="J950" s="287">
        <v>2026</v>
      </c>
      <c r="K950" s="287">
        <v>2027</v>
      </c>
      <c r="L950" s="287">
        <v>2028</v>
      </c>
      <c r="M950" s="287">
        <v>2029</v>
      </c>
      <c r="N950" s="908"/>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GS&gt;50 kW</v>
      </c>
      <c r="AB950" s="287" t="str">
        <f>'1.  LRAMVA Summary'!G50</f>
        <v>Streetlighting</v>
      </c>
      <c r="AC950" s="287" t="str">
        <f>'1.  LRAMVA Summary'!H50</f>
        <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499</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v>
      </c>
      <c r="AC951" s="293">
        <f>'1.  LRAMVA Summary'!H51</f>
        <v>0</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492</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345</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345</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345</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345</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345</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493</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345</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345</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345</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345</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345</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345</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345</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345</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345</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485</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490</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341</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486</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341</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491</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341</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341</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341</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341</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498</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494</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345</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345</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345</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345</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495</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345</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345</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345</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345</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345</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345</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345</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345</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496</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345</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345</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345</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497</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345</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345</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345</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345</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345</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345</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345</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345</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345</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345</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345</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345</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345</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345</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346</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347</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348</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352</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353</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354</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355</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356</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357</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358</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359</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360</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361</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351</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350</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349</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585</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521</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25" right="0.25" top="0.75" bottom="0.75" header="0.3" footer="0.3"/>
  <pageSetup scale="25"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35"/>
  <sheetViews>
    <sheetView zoomScale="90" zoomScaleNormal="90" workbookViewId="0">
      <selection activeCell="A58" sqref="A58:XFD5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546</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500</v>
      </c>
      <c r="C8" s="910" t="s">
        <v>670</v>
      </c>
      <c r="D8" s="910"/>
      <c r="E8" s="910"/>
      <c r="F8" s="910"/>
      <c r="G8" s="910"/>
      <c r="H8" s="910"/>
      <c r="I8" s="910"/>
      <c r="J8" s="910"/>
      <c r="K8" s="910"/>
      <c r="L8" s="910"/>
      <c r="M8" s="910"/>
      <c r="N8" s="910"/>
      <c r="O8" s="910"/>
      <c r="P8" s="910"/>
      <c r="Q8" s="910"/>
      <c r="R8" s="910"/>
      <c r="S8" s="910"/>
      <c r="T8" s="107"/>
      <c r="U8" s="107"/>
      <c r="V8" s="107"/>
      <c r="W8" s="107"/>
    </row>
    <row r="9" spans="1:28" s="9" customFormat="1" ht="45" customHeight="1">
      <c r="B9" s="57"/>
      <c r="C9" s="910" t="s">
        <v>559</v>
      </c>
      <c r="D9" s="910"/>
      <c r="E9" s="910"/>
      <c r="F9" s="910"/>
      <c r="G9" s="910"/>
      <c r="H9" s="910"/>
      <c r="I9" s="910"/>
      <c r="J9" s="910"/>
      <c r="K9" s="910"/>
      <c r="L9" s="910"/>
      <c r="M9" s="910"/>
      <c r="N9" s="910"/>
      <c r="O9" s="910"/>
      <c r="P9" s="910"/>
      <c r="Q9" s="910"/>
      <c r="R9" s="910"/>
      <c r="S9" s="910"/>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909" t="s">
        <v>234</v>
      </c>
      <c r="C12" s="909"/>
      <c r="D12" s="183"/>
      <c r="E12" s="184" t="s">
        <v>235</v>
      </c>
      <c r="F12" s="52"/>
      <c r="G12" s="52"/>
      <c r="H12" s="45"/>
      <c r="I12" s="52"/>
      <c r="K12" s="594" t="s">
        <v>530</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467</v>
      </c>
      <c r="D14" s="205"/>
      <c r="E14" s="206" t="s">
        <v>62</v>
      </c>
      <c r="F14" s="206" t="s">
        <v>489</v>
      </c>
      <c r="G14" s="206" t="s">
        <v>63</v>
      </c>
      <c r="H14" s="206" t="s">
        <v>64</v>
      </c>
      <c r="I14" s="206" t="str">
        <f>'1.  LRAMVA Summary'!D50</f>
        <v>Residential</v>
      </c>
      <c r="J14" s="206" t="str">
        <f>'1.  LRAMVA Summary'!E50</f>
        <v>GS&lt;50 kW</v>
      </c>
      <c r="K14" s="206" t="str">
        <f>'1.  LRAMVA Summary'!F50</f>
        <v>GS&gt;50 kW</v>
      </c>
      <c r="L14" s="206" t="str">
        <f>'1.  LRAMVA Summary'!G50</f>
        <v>Streetlighting</v>
      </c>
      <c r="M14" s="206" t="str">
        <f>'1.  LRAMVA Summary'!H50</f>
        <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458</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424</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c r="D42" s="208"/>
      <c r="E42" s="218" t="s">
        <v>459</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425</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460</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426</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461</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427</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19"/>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v>
      </c>
    </row>
    <row r="79" spans="2:23" s="9" customFormat="1">
      <c r="B79" s="68"/>
      <c r="E79" s="216">
        <v>42125</v>
      </c>
      <c r="F79" s="216" t="s">
        <v>182</v>
      </c>
      <c r="G79" s="217" t="s">
        <v>66</v>
      </c>
      <c r="H79" s="231">
        <f t="shared" ref="H79:H80" si="21">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v>
      </c>
    </row>
    <row r="80" spans="2:23" s="9" customFormat="1">
      <c r="B80" s="68"/>
      <c r="E80" s="216">
        <v>42156</v>
      </c>
      <c r="F80" s="216" t="s">
        <v>182</v>
      </c>
      <c r="G80" s="217" t="s">
        <v>66</v>
      </c>
      <c r="H80" s="231">
        <f t="shared" si="21"/>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v>
      </c>
    </row>
    <row r="82" spans="2:23" s="9" customFormat="1">
      <c r="B82" s="68"/>
      <c r="E82" s="216">
        <v>42217</v>
      </c>
      <c r="F82" s="216" t="s">
        <v>182</v>
      </c>
      <c r="G82" s="217" t="s">
        <v>68</v>
      </c>
      <c r="H82" s="231">
        <f t="shared" ref="H82:H83" si="22">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v>
      </c>
    </row>
    <row r="83" spans="2:23" s="9" customFormat="1">
      <c r="B83" s="68"/>
      <c r="E83" s="216">
        <v>42248</v>
      </c>
      <c r="F83" s="216" t="s">
        <v>182</v>
      </c>
      <c r="G83" s="217" t="s">
        <v>68</v>
      </c>
      <c r="H83" s="231">
        <f t="shared" si="22"/>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v>
      </c>
    </row>
    <row r="85" spans="2:23" s="9" customFormat="1">
      <c r="B85" s="68"/>
      <c r="E85" s="216">
        <v>42309</v>
      </c>
      <c r="F85" s="216" t="s">
        <v>182</v>
      </c>
      <c r="G85" s="217" t="s">
        <v>69</v>
      </c>
      <c r="H85" s="231">
        <f t="shared" ref="H85:H86" si="23">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v>
      </c>
    </row>
    <row r="86" spans="2:23" s="9" customFormat="1">
      <c r="B86" s="68"/>
      <c r="E86" s="216">
        <v>42339</v>
      </c>
      <c r="F86" s="216" t="s">
        <v>182</v>
      </c>
      <c r="G86" s="217" t="s">
        <v>69</v>
      </c>
      <c r="H86" s="231">
        <f t="shared" si="23"/>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v>
      </c>
    </row>
    <row r="87" spans="2:23" s="9" customFormat="1" ht="15.75" thickBot="1">
      <c r="B87" s="68"/>
      <c r="E87" s="218" t="s">
        <v>462</v>
      </c>
      <c r="F87" s="218"/>
      <c r="G87" s="219"/>
      <c r="H87" s="220"/>
      <c r="I87" s="221">
        <f>SUM(I74:I86)</f>
        <v>0</v>
      </c>
      <c r="J87" s="221">
        <f>SUM(J74:J86)</f>
        <v>0</v>
      </c>
      <c r="K87" s="221">
        <f t="shared" ref="K87:O87" si="24">SUM(K74:K86)</f>
        <v>0</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0</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428</v>
      </c>
      <c r="F89" s="227"/>
      <c r="G89" s="228"/>
      <c r="H89" s="229"/>
      <c r="I89" s="230">
        <f>I87+I88</f>
        <v>0</v>
      </c>
      <c r="J89" s="230">
        <f t="shared" ref="J89" si="26">J87+J88</f>
        <v>0</v>
      </c>
      <c r="K89" s="230">
        <f t="shared" ref="K89" si="27">K87+K88</f>
        <v>0</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0</v>
      </c>
    </row>
    <row r="90" spans="2:23" s="9" customFormat="1">
      <c r="B90" s="68"/>
      <c r="E90" s="216">
        <v>42370</v>
      </c>
      <c r="F90" s="216" t="s">
        <v>184</v>
      </c>
      <c r="G90" s="217" t="s">
        <v>65</v>
      </c>
      <c r="H90" s="231">
        <f>$C$35/12</f>
        <v>9.1666666666666665E-4</v>
      </c>
      <c r="I90" s="232">
        <f>'6-b Carrying Charges'!J6</f>
        <v>0</v>
      </c>
      <c r="J90" s="232">
        <f>'6-b Carrying Charges'!K6</f>
        <v>0</v>
      </c>
      <c r="K90" s="232">
        <f>'6-b Carrying Charges'!L6</f>
        <v>0</v>
      </c>
      <c r="L90" s="232">
        <f>'6-b Carrying Charges'!M6</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34">$C$35/12</f>
        <v>9.1666666666666665E-4</v>
      </c>
      <c r="I91" s="232">
        <f>'6-b Carrying Charges'!J7</f>
        <v>5.5029120000000002</v>
      </c>
      <c r="J91" s="232">
        <f>'6-b Carrying Charges'!K7</f>
        <v>1.150212</v>
      </c>
      <c r="K91" s="232">
        <f>'6-b Carrying Charges'!L7</f>
        <v>3.7587959999999998</v>
      </c>
      <c r="L91" s="232">
        <f>'6-b Carrying Charges'!M7</f>
        <v>1.5880800000000002</v>
      </c>
      <c r="M91" s="232">
        <f>(SUM('1.  LRAMVA Summary'!H$52:H$66)+SUM('1.  LRAMVA Summary'!H$67:H$68)*(MONTH($E91)-1)/12)*$H91</f>
        <v>0</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12</v>
      </c>
    </row>
    <row r="92" spans="2:23" s="9" customFormat="1" ht="14.25" customHeight="1">
      <c r="B92" s="68"/>
      <c r="E92" s="216">
        <v>42430</v>
      </c>
      <c r="F92" s="216" t="s">
        <v>184</v>
      </c>
      <c r="G92" s="217" t="s">
        <v>65</v>
      </c>
      <c r="H92" s="231">
        <f t="shared" si="34"/>
        <v>9.1666666666666665E-4</v>
      </c>
      <c r="I92" s="232">
        <f>'6-b Carrying Charges'!J8</f>
        <v>10.547248</v>
      </c>
      <c r="J92" s="232">
        <f>'6-b Carrying Charges'!K8</f>
        <v>2.2045730000000003</v>
      </c>
      <c r="K92" s="232">
        <f>'6-b Carrying Charges'!L8</f>
        <v>7.2043589999999993</v>
      </c>
      <c r="L92" s="232">
        <f>'6-b Carrying Charges'!M8</f>
        <v>3.0438200000000002</v>
      </c>
      <c r="M92" s="232">
        <f>(SUM('1.  LRAMVA Summary'!H$52:H$66)+SUM('1.  LRAMVA Summary'!H$67:H$68)*(MONTH($E92)-1)/12)*$H92</f>
        <v>0</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23</v>
      </c>
    </row>
    <row r="93" spans="2:23" s="8" customFormat="1">
      <c r="B93" s="241"/>
      <c r="D93" s="9"/>
      <c r="E93" s="216">
        <v>42461</v>
      </c>
      <c r="F93" s="216" t="s">
        <v>184</v>
      </c>
      <c r="G93" s="217" t="s">
        <v>66</v>
      </c>
      <c r="H93" s="231">
        <f>$C$36/12</f>
        <v>9.1666666666666665E-4</v>
      </c>
      <c r="I93" s="232">
        <f>'6-b Carrying Charges'!J9</f>
        <v>16.050159999999998</v>
      </c>
      <c r="J93" s="232">
        <f>'6-b Carrying Charges'!K9</f>
        <v>3.3547850000000001</v>
      </c>
      <c r="K93" s="232">
        <f>'6-b Carrying Charges'!L9</f>
        <v>10.963154999999999</v>
      </c>
      <c r="L93" s="232">
        <f>'6-b Carrying Charges'!M9</f>
        <v>4.6319000000000008</v>
      </c>
      <c r="M93" s="232">
        <f>(SUM('1.  LRAMVA Summary'!H$52:H$66)+SUM('1.  LRAMVA Summary'!H$67:H$68)*(MONTH($E93)-1)/12)*$H93</f>
        <v>0</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35</v>
      </c>
    </row>
    <row r="94" spans="2:23" s="9" customFormat="1">
      <c r="B94" s="68"/>
      <c r="E94" s="216">
        <v>42491</v>
      </c>
      <c r="F94" s="216" t="s">
        <v>184</v>
      </c>
      <c r="G94" s="217" t="s">
        <v>66</v>
      </c>
      <c r="H94" s="231">
        <f t="shared" ref="H94:H95" si="36">$C$36/12</f>
        <v>9.1666666666666665E-4</v>
      </c>
      <c r="I94" s="232">
        <f>'6-b Carrying Charges'!J10</f>
        <v>21.094495999999999</v>
      </c>
      <c r="J94" s="232">
        <f>'6-b Carrying Charges'!K10</f>
        <v>4.4091460000000007</v>
      </c>
      <c r="K94" s="232">
        <f>'6-b Carrying Charges'!L10</f>
        <v>14.408717999999999</v>
      </c>
      <c r="L94" s="232">
        <f>'6-b Carrying Charges'!M10</f>
        <v>6.0876400000000004</v>
      </c>
      <c r="M94" s="232">
        <f>(SUM('1.  LRAMVA Summary'!H$52:H$66)+SUM('1.  LRAMVA Summary'!H$67:H$68)*(MONTH($E94)-1)/12)*$H94</f>
        <v>0</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46</v>
      </c>
    </row>
    <row r="95" spans="2:23" s="240" customFormat="1">
      <c r="B95" s="239"/>
      <c r="D95" s="9"/>
      <c r="E95" s="216">
        <v>42522</v>
      </c>
      <c r="F95" s="216" t="s">
        <v>184</v>
      </c>
      <c r="G95" s="217" t="s">
        <v>66</v>
      </c>
      <c r="H95" s="231">
        <f t="shared" si="36"/>
        <v>9.1666666666666665E-4</v>
      </c>
      <c r="I95" s="232">
        <f>'6-b Carrying Charges'!J11</f>
        <v>26.597407999999998</v>
      </c>
      <c r="J95" s="232">
        <f>'6-b Carrying Charges'!K11</f>
        <v>5.5593580000000005</v>
      </c>
      <c r="K95" s="232">
        <f>'6-b Carrying Charges'!L11</f>
        <v>18.167514000000001</v>
      </c>
      <c r="L95" s="232">
        <f>'6-b Carrying Charges'!M11</f>
        <v>7.675720000000001</v>
      </c>
      <c r="M95" s="232">
        <f>(SUM('1.  LRAMVA Summary'!H$52:H$66)+SUM('1.  LRAMVA Summary'!H$67:H$68)*(MONTH($E95)-1)/12)*$H95</f>
        <v>0</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58</v>
      </c>
    </row>
    <row r="96" spans="2:23" s="9" customFormat="1">
      <c r="B96" s="68"/>
      <c r="E96" s="216">
        <v>42552</v>
      </c>
      <c r="F96" s="216" t="s">
        <v>184</v>
      </c>
      <c r="G96" s="217" t="s">
        <v>68</v>
      </c>
      <c r="H96" s="231">
        <f>$C$37/12</f>
        <v>9.1666666666666665E-4</v>
      </c>
      <c r="I96" s="232">
        <f>'6-b Carrying Charges'!J12</f>
        <v>41.271839999999997</v>
      </c>
      <c r="J96" s="232">
        <f>'6-b Carrying Charges'!K12</f>
        <v>8.6265900000000002</v>
      </c>
      <c r="K96" s="232">
        <f>'6-b Carrying Charges'!L12</f>
        <v>28.19097</v>
      </c>
      <c r="L96" s="232">
        <f>'6-b Carrying Charges'!M12</f>
        <v>11.910600000000001</v>
      </c>
      <c r="M96" s="232">
        <f>(SUM('1.  LRAMVA Summary'!H$52:H$66)+SUM('1.  LRAMVA Summary'!H$67:H$68)*(MONTH($E96)-1)/12)*$H96</f>
        <v>0</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90</v>
      </c>
    </row>
    <row r="97" spans="2:23" s="9" customFormat="1">
      <c r="B97" s="68"/>
      <c r="E97" s="216">
        <v>42583</v>
      </c>
      <c r="F97" s="216" t="s">
        <v>184</v>
      </c>
      <c r="G97" s="217" t="s">
        <v>68</v>
      </c>
      <c r="H97" s="231">
        <f t="shared" ref="H97:H98" si="37">$C$37/12</f>
        <v>9.1666666666666665E-4</v>
      </c>
      <c r="I97" s="232">
        <f>'6-b Carrying Charges'!J13</f>
        <v>47.691904000000001</v>
      </c>
      <c r="J97" s="232">
        <f>'6-b Carrying Charges'!K13</f>
        <v>9.9685040000000011</v>
      </c>
      <c r="K97" s="232">
        <f>'6-b Carrying Charges'!L13</f>
        <v>32.576231999999997</v>
      </c>
      <c r="L97" s="232">
        <f>'6-b Carrying Charges'!M13</f>
        <v>13.763360000000002</v>
      </c>
      <c r="M97" s="232">
        <f>(SUM('1.  LRAMVA Summary'!H$52:H$66)+SUM('1.  LRAMVA Summary'!H$67:H$68)*(MONTH($E97)-1)/12)*$H97</f>
        <v>0</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104</v>
      </c>
    </row>
    <row r="98" spans="2:23" s="9" customFormat="1">
      <c r="B98" s="68"/>
      <c r="E98" s="216">
        <v>42614</v>
      </c>
      <c r="F98" s="216" t="s">
        <v>184</v>
      </c>
      <c r="G98" s="217" t="s">
        <v>68</v>
      </c>
      <c r="H98" s="231">
        <f t="shared" si="37"/>
        <v>9.1666666666666665E-4</v>
      </c>
      <c r="I98" s="232">
        <f>'6-b Carrying Charges'!J14</f>
        <v>54.570543999999998</v>
      </c>
      <c r="J98" s="232">
        <f>'6-b Carrying Charges'!K14</f>
        <v>11.406269</v>
      </c>
      <c r="K98" s="232">
        <f>'6-b Carrying Charges'!L14</f>
        <v>37.274726999999999</v>
      </c>
      <c r="L98" s="232">
        <f>'6-b Carrying Charges'!M14</f>
        <v>15.748460000000001</v>
      </c>
      <c r="M98" s="232">
        <f>(SUM('1.  LRAMVA Summary'!H$52:H$66)+SUM('1.  LRAMVA Summary'!H$67:H$68)*(MONTH($E98)-1)/12)*$H98</f>
        <v>0</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119</v>
      </c>
    </row>
    <row r="99" spans="2:23" s="9" customFormat="1">
      <c r="B99" s="68"/>
      <c r="E99" s="216">
        <v>42644</v>
      </c>
      <c r="F99" s="216" t="s">
        <v>184</v>
      </c>
      <c r="G99" s="217" t="s">
        <v>69</v>
      </c>
      <c r="H99" s="212">
        <f>$C$38/12</f>
        <v>9.1666666666666665E-4</v>
      </c>
      <c r="I99" s="232">
        <f>'6-b Carrying Charges'!J15</f>
        <v>61.449183999999995</v>
      </c>
      <c r="J99" s="232">
        <f>'6-b Carrying Charges'!K15</f>
        <v>12.844034000000001</v>
      </c>
      <c r="K99" s="232">
        <f>'6-b Carrying Charges'!L15</f>
        <v>41.973222</v>
      </c>
      <c r="L99" s="232">
        <f>'6-b Carrying Charges'!M15</f>
        <v>17.733560000000001</v>
      </c>
      <c r="M99" s="232">
        <f>(SUM('1.  LRAMVA Summary'!H$52:H$66)+SUM('1.  LRAMVA Summary'!H$67:H$68)*(MONTH($E99)-1)/12)*$H99</f>
        <v>0</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134</v>
      </c>
    </row>
    <row r="100" spans="2:23" s="9" customFormat="1">
      <c r="B100" s="68"/>
      <c r="E100" s="216">
        <v>42675</v>
      </c>
      <c r="F100" s="216" t="s">
        <v>184</v>
      </c>
      <c r="G100" s="217" t="s">
        <v>69</v>
      </c>
      <c r="H100" s="212">
        <f t="shared" ref="H100:H101" si="38">$C$38/12</f>
        <v>9.1666666666666665E-4</v>
      </c>
      <c r="I100" s="232">
        <f>'6-b Carrying Charges'!J16</f>
        <v>68.327823999999993</v>
      </c>
      <c r="J100" s="232">
        <f>'6-b Carrying Charges'!K16</f>
        <v>14.281799000000001</v>
      </c>
      <c r="K100" s="232">
        <f>'6-b Carrying Charges'!L16</f>
        <v>46.671717000000001</v>
      </c>
      <c r="L100" s="232">
        <f>'6-b Carrying Charges'!M16</f>
        <v>19.718660000000003</v>
      </c>
      <c r="M100" s="232">
        <f>(SUM('1.  LRAMVA Summary'!H$52:H$66)+SUM('1.  LRAMVA Summary'!H$67:H$68)*(MONTH($E100)-1)/12)*$H100</f>
        <v>0</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149</v>
      </c>
    </row>
    <row r="101" spans="2:23" s="9" customFormat="1">
      <c r="B101" s="68"/>
      <c r="E101" s="216">
        <v>42705</v>
      </c>
      <c r="F101" s="216" t="s">
        <v>184</v>
      </c>
      <c r="G101" s="217" t="s">
        <v>69</v>
      </c>
      <c r="H101" s="212">
        <f t="shared" si="38"/>
        <v>9.1666666666666665E-4</v>
      </c>
      <c r="I101" s="232">
        <f>'6-b Carrying Charges'!J17</f>
        <v>75.206463999999997</v>
      </c>
      <c r="J101" s="232">
        <f>'6-b Carrying Charges'!K17</f>
        <v>15.719564</v>
      </c>
      <c r="K101" s="232">
        <f>'6-b Carrying Charges'!L17</f>
        <v>51.370211999999995</v>
      </c>
      <c r="L101" s="232">
        <f>'6-b Carrying Charges'!M17</f>
        <v>21.703760000000003</v>
      </c>
      <c r="M101" s="232">
        <f>(SUM('1.  LRAMVA Summary'!H$52:H$66)+SUM('1.  LRAMVA Summary'!H$67:H$68)*(MONTH($E101)-1)/12)*$H101</f>
        <v>0</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164</v>
      </c>
    </row>
    <row r="102" spans="2:23" s="9" customFormat="1" ht="15.75" thickBot="1">
      <c r="B102" s="68"/>
      <c r="E102" s="218" t="s">
        <v>463</v>
      </c>
      <c r="F102" s="218"/>
      <c r="G102" s="219"/>
      <c r="H102" s="220"/>
      <c r="I102" s="221">
        <f>SUM(I89:I101)</f>
        <v>428.30998399999999</v>
      </c>
      <c r="J102" s="221">
        <f>SUM(J89:J101)</f>
        <v>89.524834000000013</v>
      </c>
      <c r="K102" s="221">
        <f t="shared" ref="K102:O102" si="39">SUM(K89:K101)</f>
        <v>292.55962199999999</v>
      </c>
      <c r="L102" s="221">
        <f t="shared" si="39"/>
        <v>123.60556</v>
      </c>
      <c r="M102" s="221">
        <f t="shared" si="39"/>
        <v>0</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934</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429</v>
      </c>
      <c r="F104" s="227"/>
      <c r="G104" s="228"/>
      <c r="H104" s="229"/>
      <c r="I104" s="230">
        <f>I102+I103</f>
        <v>428.30998399999999</v>
      </c>
      <c r="J104" s="230">
        <f t="shared" ref="J104" si="41">J102+J103</f>
        <v>89.524834000000013</v>
      </c>
      <c r="K104" s="230">
        <f t="shared" ref="K104" si="42">K102+K103</f>
        <v>292.55962199999999</v>
      </c>
      <c r="L104" s="230">
        <f t="shared" ref="L104" si="43">L102+L103</f>
        <v>123.60556</v>
      </c>
      <c r="M104" s="230">
        <f t="shared" ref="M104" si="44">M102+M103</f>
        <v>0</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934</v>
      </c>
    </row>
    <row r="105" spans="2:23" s="9" customFormat="1">
      <c r="B105" s="68"/>
      <c r="E105" s="216">
        <v>42736</v>
      </c>
      <c r="F105" s="216" t="s">
        <v>185</v>
      </c>
      <c r="G105" s="217" t="s">
        <v>65</v>
      </c>
      <c r="H105" s="242">
        <f>$C$39/12</f>
        <v>0</v>
      </c>
      <c r="I105" s="232">
        <f>'6-b Carrying Charges'!J20</f>
        <v>99.969567999999995</v>
      </c>
      <c r="J105" s="232">
        <f>'6-b Carrying Charges'!K20</f>
        <v>20.895518000000003</v>
      </c>
      <c r="K105" s="232">
        <f>'6-b Carrying Charges'!L20</f>
        <v>68.284793999999991</v>
      </c>
      <c r="L105" s="232">
        <f>'6-b Carrying Charges'!M20</f>
        <v>28.850120000000004</v>
      </c>
      <c r="M105" s="232">
        <f>(SUM('1.  LRAMVA Summary'!H$52:H$69)+SUM('1.  LRAMVA Summary'!H$70:H$71)*(MONTH($E105)-1)/12)*$H105</f>
        <v>0</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218</v>
      </c>
    </row>
    <row r="106" spans="2:23" s="9" customFormat="1">
      <c r="B106" s="68"/>
      <c r="E106" s="216">
        <v>42767</v>
      </c>
      <c r="F106" s="216" t="s">
        <v>185</v>
      </c>
      <c r="G106" s="217" t="s">
        <v>65</v>
      </c>
      <c r="H106" s="242">
        <f t="shared" ref="H106:H107" si="48">$C$39/12</f>
        <v>0</v>
      </c>
      <c r="I106" s="232">
        <f>'6-b Carrying Charges'!J21</f>
        <v>99.969567999999995</v>
      </c>
      <c r="J106" s="232">
        <f>'6-b Carrying Charges'!K21</f>
        <v>20.895518000000003</v>
      </c>
      <c r="K106" s="232">
        <f>'6-b Carrying Charges'!L21</f>
        <v>68.284793999999991</v>
      </c>
      <c r="L106" s="232">
        <f>'6-b Carrying Charges'!M21</f>
        <v>28.850120000000004</v>
      </c>
      <c r="M106" s="232">
        <f>(SUM('1.  LRAMVA Summary'!H$52:H$69)+SUM('1.  LRAMVA Summary'!H$70:H$71)*(MONTH($E106)-1)/12)*$H106</f>
        <v>0</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218</v>
      </c>
    </row>
    <row r="107" spans="2:23" s="9" customFormat="1">
      <c r="B107" s="68"/>
      <c r="E107" s="216">
        <v>42795</v>
      </c>
      <c r="F107" s="216" t="s">
        <v>185</v>
      </c>
      <c r="G107" s="217" t="s">
        <v>65</v>
      </c>
      <c r="H107" s="242">
        <f t="shared" si="48"/>
        <v>0</v>
      </c>
      <c r="I107" s="232">
        <f>'6-b Carrying Charges'!J22</f>
        <v>99.969567999999995</v>
      </c>
      <c r="J107" s="232">
        <f>'6-b Carrying Charges'!K22</f>
        <v>20.895518000000003</v>
      </c>
      <c r="K107" s="232">
        <f>'6-b Carrying Charges'!L22</f>
        <v>68.284793999999991</v>
      </c>
      <c r="L107" s="232">
        <f>'6-b Carrying Charges'!M22</f>
        <v>28.850120000000004</v>
      </c>
      <c r="M107" s="232">
        <f>(SUM('1.  LRAMVA Summary'!H$52:H$69)+SUM('1.  LRAMVA Summary'!H$70:H$71)*(MONTH($E107)-1)/12)*$H107</f>
        <v>0</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218</v>
      </c>
    </row>
    <row r="108" spans="2:23" s="8" customFormat="1">
      <c r="B108" s="241"/>
      <c r="E108" s="216">
        <v>42826</v>
      </c>
      <c r="F108" s="216" t="s">
        <v>185</v>
      </c>
      <c r="G108" s="217" t="s">
        <v>66</v>
      </c>
      <c r="H108" s="242">
        <f>$C$40/12</f>
        <v>0</v>
      </c>
      <c r="I108" s="232">
        <f>'6-b Carrying Charges'!J23</f>
        <v>99.969567999999995</v>
      </c>
      <c r="J108" s="232">
        <f>'6-b Carrying Charges'!K23</f>
        <v>20.895518000000003</v>
      </c>
      <c r="K108" s="232">
        <f>'6-b Carrying Charges'!L23</f>
        <v>68.284793999999991</v>
      </c>
      <c r="L108" s="232">
        <f>'6-b Carrying Charges'!M23</f>
        <v>28.850120000000004</v>
      </c>
      <c r="M108" s="232">
        <f>(SUM('1.  LRAMVA Summary'!H$52:H$69)+SUM('1.  LRAMVA Summary'!H$70:H$71)*(MONTH($E108)-1)/12)*$H108</f>
        <v>0</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218</v>
      </c>
    </row>
    <row r="109" spans="2:23" s="9" customFormat="1">
      <c r="B109" s="68"/>
      <c r="E109" s="216">
        <v>42856</v>
      </c>
      <c r="F109" s="216" t="s">
        <v>185</v>
      </c>
      <c r="G109" s="217" t="s">
        <v>66</v>
      </c>
      <c r="H109" s="242">
        <f t="shared" ref="H109:H110" si="50">$C$40/12</f>
        <v>0</v>
      </c>
      <c r="I109" s="232">
        <f>'6-b Carrying Charges'!J24</f>
        <v>99.969567999999995</v>
      </c>
      <c r="J109" s="232">
        <f>'6-b Carrying Charges'!K24</f>
        <v>20.895518000000003</v>
      </c>
      <c r="K109" s="232">
        <f>'6-b Carrying Charges'!L24</f>
        <v>68.284793999999991</v>
      </c>
      <c r="L109" s="232">
        <f>'6-b Carrying Charges'!M24</f>
        <v>28.850120000000004</v>
      </c>
      <c r="M109" s="232">
        <f>(SUM('1.  LRAMVA Summary'!H$52:H$69)+SUM('1.  LRAMVA Summary'!H$70:H$71)*(MONTH($E109)-1)/12)*$H109</f>
        <v>0</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218</v>
      </c>
    </row>
    <row r="110" spans="2:23" s="240" customFormat="1">
      <c r="B110" s="239"/>
      <c r="E110" s="216">
        <v>42887</v>
      </c>
      <c r="F110" s="216" t="s">
        <v>185</v>
      </c>
      <c r="G110" s="217" t="s">
        <v>66</v>
      </c>
      <c r="H110" s="242">
        <f t="shared" si="50"/>
        <v>0</v>
      </c>
      <c r="I110" s="232">
        <f>'6-b Carrying Charges'!J25</f>
        <v>99.969567999999995</v>
      </c>
      <c r="J110" s="232">
        <f>'6-b Carrying Charges'!K25</f>
        <v>20.895518000000003</v>
      </c>
      <c r="K110" s="232">
        <f>'6-b Carrying Charges'!L25</f>
        <v>68.284793999999991</v>
      </c>
      <c r="L110" s="232">
        <f>'6-b Carrying Charges'!M25</f>
        <v>28.850120000000004</v>
      </c>
      <c r="M110" s="232">
        <f>(SUM('1.  LRAMVA Summary'!H$52:H$69)+SUM('1.  LRAMVA Summary'!H$70:H$71)*(MONTH($E110)-1)/12)*$H110</f>
        <v>0</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218</v>
      </c>
    </row>
    <row r="111" spans="2:23" s="9" customFormat="1">
      <c r="B111" s="68"/>
      <c r="E111" s="216">
        <v>42917</v>
      </c>
      <c r="F111" s="216" t="s">
        <v>185</v>
      </c>
      <c r="G111" s="217" t="s">
        <v>68</v>
      </c>
      <c r="H111" s="242">
        <f>$C$41/12</f>
        <v>0</v>
      </c>
      <c r="I111" s="232">
        <f>'6-b Carrying Charges'!J26</f>
        <v>118.77118399999999</v>
      </c>
      <c r="J111" s="232">
        <f>'6-b Carrying Charges'!K26</f>
        <v>24.825409000000001</v>
      </c>
      <c r="K111" s="232">
        <f>'6-b Carrying Charges'!L26</f>
        <v>81.127347</v>
      </c>
      <c r="L111" s="232">
        <f>'6-b Carrying Charges'!M26</f>
        <v>34.276060000000001</v>
      </c>
      <c r="M111" s="232">
        <f>(SUM('1.  LRAMVA Summary'!H$52:H$69)+SUM('1.  LRAMVA Summary'!H$70:H$71)*(MONTH($E111)-1)/12)*$H111</f>
        <v>0</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259</v>
      </c>
    </row>
    <row r="112" spans="2:23" s="9" customFormat="1">
      <c r="B112" s="68"/>
      <c r="E112" s="216">
        <v>42948</v>
      </c>
      <c r="F112" s="216" t="s">
        <v>185</v>
      </c>
      <c r="G112" s="217" t="s">
        <v>68</v>
      </c>
      <c r="H112" s="242">
        <f t="shared" ref="H112:H113" si="51">$C$41/12</f>
        <v>0</v>
      </c>
      <c r="I112" s="232">
        <f>'6-b Carrying Charges'!J27</f>
        <v>120.60548799999999</v>
      </c>
      <c r="J112" s="232">
        <f>'6-b Carrying Charges'!K27</f>
        <v>25.208813000000003</v>
      </c>
      <c r="K112" s="232">
        <f>'6-b Carrying Charges'!L27</f>
        <v>82.380279000000002</v>
      </c>
      <c r="L112" s="232">
        <f>'6-b Carrying Charges'!M27</f>
        <v>34.805420000000005</v>
      </c>
      <c r="M112" s="232">
        <f>(SUM('1.  LRAMVA Summary'!H$52:H$69)+SUM('1.  LRAMVA Summary'!H$70:H$71)*(MONTH($E112)-1)/12)*$H112</f>
        <v>0</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263</v>
      </c>
    </row>
    <row r="113" spans="2:23" s="9" customFormat="1">
      <c r="B113" s="68"/>
      <c r="E113" s="216">
        <v>42979</v>
      </c>
      <c r="F113" s="216" t="s">
        <v>185</v>
      </c>
      <c r="G113" s="217" t="s">
        <v>68</v>
      </c>
      <c r="H113" s="242">
        <f t="shared" si="51"/>
        <v>0</v>
      </c>
      <c r="I113" s="232">
        <f>'6-b Carrying Charges'!J28</f>
        <v>120.60548799999999</v>
      </c>
      <c r="J113" s="232">
        <f>'6-b Carrying Charges'!K28</f>
        <v>25.208813000000003</v>
      </c>
      <c r="K113" s="232">
        <f>'6-b Carrying Charges'!L28</f>
        <v>82.380279000000002</v>
      </c>
      <c r="L113" s="232">
        <f>'6-b Carrying Charges'!M28</f>
        <v>34.805420000000005</v>
      </c>
      <c r="M113" s="232">
        <f>(SUM('1.  LRAMVA Summary'!H$52:H$69)+SUM('1.  LRAMVA Summary'!H$70:H$71)*(MONTH($E113)-1)/12)*$H113</f>
        <v>0</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263</v>
      </c>
    </row>
    <row r="114" spans="2:23" s="9" customFormat="1">
      <c r="B114" s="68"/>
      <c r="E114" s="216">
        <v>43009</v>
      </c>
      <c r="F114" s="216" t="s">
        <v>185</v>
      </c>
      <c r="G114" s="217" t="s">
        <v>69</v>
      </c>
      <c r="H114" s="242">
        <f>$C$42/12</f>
        <v>0</v>
      </c>
      <c r="I114" s="232">
        <f>'6-b Carrying Charges'!J29</f>
        <v>164.628784</v>
      </c>
      <c r="J114" s="232">
        <f>'6-b Carrying Charges'!K29</f>
        <v>34.410509000000005</v>
      </c>
      <c r="K114" s="232">
        <f>'6-b Carrying Charges'!L29</f>
        <v>112.45064699999999</v>
      </c>
      <c r="L114" s="232">
        <f>'6-b Carrying Charges'!M29</f>
        <v>47.510060000000003</v>
      </c>
      <c r="M114" s="232">
        <f>(SUM('1.  LRAMVA Summary'!H$52:H$69)+SUM('1.  LRAMVA Summary'!H$70:H$71)*(MONTH($E114)-1)/12)*$H114</f>
        <v>0</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359</v>
      </c>
    </row>
    <row r="115" spans="2:23" s="9" customFormat="1">
      <c r="B115" s="68"/>
      <c r="E115" s="216">
        <v>43040</v>
      </c>
      <c r="F115" s="216" t="s">
        <v>185</v>
      </c>
      <c r="G115" s="217" t="s">
        <v>69</v>
      </c>
      <c r="H115" s="242">
        <f t="shared" ref="H115:H116" si="52">$C$42/12</f>
        <v>0</v>
      </c>
      <c r="I115" s="232">
        <f>'6-b Carrying Charges'!J30</f>
        <v>164.628784</v>
      </c>
      <c r="J115" s="232">
        <f>'6-b Carrying Charges'!K30</f>
        <v>34.410509000000005</v>
      </c>
      <c r="K115" s="232">
        <f>'6-b Carrying Charges'!L30</f>
        <v>112.45064699999999</v>
      </c>
      <c r="L115" s="232">
        <f>'6-b Carrying Charges'!M30</f>
        <v>47.510060000000003</v>
      </c>
      <c r="M115" s="232">
        <f>(SUM('1.  LRAMVA Summary'!H$52:H$69)+SUM('1.  LRAMVA Summary'!H$70:H$71)*(MONTH($E115)-1)/12)*$H115</f>
        <v>0</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359</v>
      </c>
    </row>
    <row r="116" spans="2:23" s="9" customFormat="1">
      <c r="B116" s="68"/>
      <c r="E116" s="216">
        <v>43070</v>
      </c>
      <c r="F116" s="216" t="s">
        <v>185</v>
      </c>
      <c r="G116" s="217" t="s">
        <v>69</v>
      </c>
      <c r="H116" s="242">
        <f t="shared" si="52"/>
        <v>0</v>
      </c>
      <c r="I116" s="232">
        <f>'6-b Carrying Charges'!J31</f>
        <v>164.628784</v>
      </c>
      <c r="J116" s="232">
        <f>'6-b Carrying Charges'!K31</f>
        <v>34.410509000000005</v>
      </c>
      <c r="K116" s="232">
        <f>'6-b Carrying Charges'!L31</f>
        <v>112.45064699999999</v>
      </c>
      <c r="L116" s="232">
        <f>'6-b Carrying Charges'!M31</f>
        <v>47.510060000000003</v>
      </c>
      <c r="M116" s="232">
        <f>(SUM('1.  LRAMVA Summary'!H$52:H$69)+SUM('1.  LRAMVA Summary'!H$70:H$71)*(MONTH($E116)-1)/12)*$H116</f>
        <v>0</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359</v>
      </c>
    </row>
    <row r="117" spans="2:23" s="9" customFormat="1" ht="15.75" thickBot="1">
      <c r="B117" s="68"/>
      <c r="E117" s="218" t="s">
        <v>464</v>
      </c>
      <c r="F117" s="218"/>
      <c r="G117" s="219"/>
      <c r="H117" s="220"/>
      <c r="I117" s="221">
        <f>SUM(I104:I116)</f>
        <v>1881.9959039999997</v>
      </c>
      <c r="J117" s="221">
        <f>SUM(J104:J116)</f>
        <v>393.37250400000005</v>
      </c>
      <c r="K117" s="221">
        <f t="shared" ref="K117:O117" si="53">SUM(K104:K116)</f>
        <v>1285.5082319999997</v>
      </c>
      <c r="L117" s="221">
        <f t="shared" si="53"/>
        <v>543.12336000000005</v>
      </c>
      <c r="M117" s="221">
        <f t="shared" si="53"/>
        <v>0</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4104</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430</v>
      </c>
      <c r="F119" s="227"/>
      <c r="G119" s="228"/>
      <c r="H119" s="229"/>
      <c r="I119" s="230">
        <f>I117+I118</f>
        <v>1881.9959039999997</v>
      </c>
      <c r="J119" s="230">
        <f t="shared" ref="J119" si="55">J117+J118</f>
        <v>393.37250400000005</v>
      </c>
      <c r="K119" s="230">
        <f t="shared" ref="K119" si="56">K117+K118</f>
        <v>1285.5082319999997</v>
      </c>
      <c r="L119" s="230">
        <f t="shared" ref="L119" si="57">L117+L118</f>
        <v>543.12336000000005</v>
      </c>
      <c r="M119" s="230">
        <f t="shared" ref="M119" si="58">M117+M118</f>
        <v>0</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4104</v>
      </c>
    </row>
    <row r="120" spans="2:23" s="9" customFormat="1">
      <c r="B120" s="68"/>
      <c r="E120" s="216">
        <v>43101</v>
      </c>
      <c r="F120" s="216" t="s">
        <v>186</v>
      </c>
      <c r="G120" s="217" t="s">
        <v>65</v>
      </c>
      <c r="H120" s="242">
        <f>$C$43/12</f>
        <v>0</v>
      </c>
      <c r="I120" s="232">
        <f>'6-b Carrying Charges'!J34</f>
        <v>164.628784</v>
      </c>
      <c r="J120" s="232">
        <f>'6-b Carrying Charges'!K34</f>
        <v>34.410509000000005</v>
      </c>
      <c r="K120" s="232">
        <f>'6-b Carrying Charges'!L34</f>
        <v>112.45064699999999</v>
      </c>
      <c r="L120" s="232">
        <f>'6-b Carrying Charges'!M34</f>
        <v>47.510060000000003</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359</v>
      </c>
    </row>
    <row r="121" spans="2:23" s="9" customFormat="1">
      <c r="B121" s="68"/>
      <c r="E121" s="216">
        <v>43132</v>
      </c>
      <c r="F121" s="216" t="s">
        <v>186</v>
      </c>
      <c r="G121" s="217" t="s">
        <v>65</v>
      </c>
      <c r="H121" s="242">
        <f t="shared" ref="H121:H122" si="62">$C$43/12</f>
        <v>0</v>
      </c>
      <c r="I121" s="232">
        <f>'6-b Carrying Charges'!J35</f>
        <v>164.628784</v>
      </c>
      <c r="J121" s="232">
        <f>'6-b Carrying Charges'!K35</f>
        <v>34.410509000000005</v>
      </c>
      <c r="K121" s="232">
        <f>'6-b Carrying Charges'!L35</f>
        <v>112.45064699999999</v>
      </c>
      <c r="L121" s="232">
        <f>'6-b Carrying Charges'!M35</f>
        <v>47.510060000000003</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359</v>
      </c>
    </row>
    <row r="122" spans="2:23" s="9" customFormat="1">
      <c r="B122" s="68"/>
      <c r="E122" s="216">
        <v>43160</v>
      </c>
      <c r="F122" s="216" t="s">
        <v>186</v>
      </c>
      <c r="G122" s="217" t="s">
        <v>65</v>
      </c>
      <c r="H122" s="242">
        <f t="shared" si="62"/>
        <v>0</v>
      </c>
      <c r="I122" s="232">
        <f>'6-b Carrying Charges'!J36</f>
        <v>164.628784</v>
      </c>
      <c r="J122" s="232">
        <f>'6-b Carrying Charges'!K36</f>
        <v>34.410509000000005</v>
      </c>
      <c r="K122" s="232">
        <f>'6-b Carrying Charges'!L36</f>
        <v>112.45064699999999</v>
      </c>
      <c r="L122" s="232">
        <f>'6-b Carrying Charges'!M36</f>
        <v>47.510060000000003</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359</v>
      </c>
    </row>
    <row r="123" spans="2:23" s="8" customFormat="1">
      <c r="B123" s="241"/>
      <c r="E123" s="216">
        <v>43191</v>
      </c>
      <c r="F123" s="216" t="s">
        <v>186</v>
      </c>
      <c r="G123" s="217" t="s">
        <v>66</v>
      </c>
      <c r="H123" s="242">
        <f>$C$44/12</f>
        <v>0</v>
      </c>
      <c r="I123" s="232">
        <f>'6-b Carrying Charges'!J37</f>
        <v>207.734928</v>
      </c>
      <c r="J123" s="232">
        <f>'6-b Carrying Charges'!K37</f>
        <v>43.420503000000004</v>
      </c>
      <c r="K123" s="232">
        <f>'6-b Carrying Charges'!L37</f>
        <v>141.89454899999998</v>
      </c>
      <c r="L123" s="232">
        <f>'6-b Carrying Charges'!M37</f>
        <v>59.950020000000009</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453</v>
      </c>
    </row>
    <row r="124" spans="2:23" s="9" customFormat="1">
      <c r="B124" s="68"/>
      <c r="E124" s="216">
        <v>43221</v>
      </c>
      <c r="F124" s="216" t="s">
        <v>186</v>
      </c>
      <c r="G124" s="217" t="s">
        <v>66</v>
      </c>
      <c r="H124" s="242">
        <f t="shared" ref="H124:H125" si="64">$C$44/12</f>
        <v>0</v>
      </c>
      <c r="I124" s="232">
        <f>'6-b Carrying Charges'!J38</f>
        <v>207.734928</v>
      </c>
      <c r="J124" s="232">
        <f>'6-b Carrying Charges'!K38</f>
        <v>43.420503000000004</v>
      </c>
      <c r="K124" s="232">
        <f>'6-b Carrying Charges'!L38</f>
        <v>141.89454899999998</v>
      </c>
      <c r="L124" s="232">
        <f>'6-b Carrying Charges'!M38</f>
        <v>59.950020000000009</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453</v>
      </c>
    </row>
    <row r="125" spans="2:23" s="240" customFormat="1">
      <c r="B125" s="239"/>
      <c r="E125" s="216">
        <v>43252</v>
      </c>
      <c r="F125" s="216" t="s">
        <v>186</v>
      </c>
      <c r="G125" s="217" t="s">
        <v>66</v>
      </c>
      <c r="H125" s="242">
        <f t="shared" si="64"/>
        <v>0</v>
      </c>
      <c r="I125" s="232">
        <f>'6-b Carrying Charges'!J39</f>
        <v>207.734928</v>
      </c>
      <c r="J125" s="232">
        <f>'6-b Carrying Charges'!K39</f>
        <v>43.420503000000004</v>
      </c>
      <c r="K125" s="232">
        <f>'6-b Carrying Charges'!L39</f>
        <v>141.89454899999998</v>
      </c>
      <c r="L125" s="232">
        <f>'6-b Carrying Charges'!M39</f>
        <v>59.950020000000009</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453</v>
      </c>
    </row>
    <row r="126" spans="2:23" s="9" customFormat="1">
      <c r="B126" s="68"/>
      <c r="E126" s="216">
        <v>43282</v>
      </c>
      <c r="F126" s="216" t="s">
        <v>186</v>
      </c>
      <c r="G126" s="217" t="s">
        <v>68</v>
      </c>
      <c r="H126" s="242">
        <f>$C$45/12</f>
        <v>0</v>
      </c>
      <c r="I126" s="232">
        <f>'6-b Carrying Charges'!J40</f>
        <v>243.04527999999999</v>
      </c>
      <c r="J126" s="232">
        <f>'6-b Carrying Charges'!K40</f>
        <v>50.801030000000004</v>
      </c>
      <c r="K126" s="232">
        <f>'6-b Carrying Charges'!L40</f>
        <v>166.01348999999999</v>
      </c>
      <c r="L126" s="232">
        <f>'6-b Carrying Charges'!M40</f>
        <v>70.140200000000007</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530</v>
      </c>
    </row>
    <row r="127" spans="2:23" s="9" customFormat="1">
      <c r="B127" s="68"/>
      <c r="E127" s="216">
        <v>43313</v>
      </c>
      <c r="F127" s="216" t="s">
        <v>186</v>
      </c>
      <c r="G127" s="217" t="s">
        <v>68</v>
      </c>
      <c r="H127" s="242">
        <f t="shared" ref="H127:H128" si="65">$C$45/12</f>
        <v>0</v>
      </c>
      <c r="I127" s="232">
        <f>'6-b Carrying Charges'!J41</f>
        <v>243.04527999999999</v>
      </c>
      <c r="J127" s="232">
        <f>'6-b Carrying Charges'!K41</f>
        <v>50.801030000000004</v>
      </c>
      <c r="K127" s="232">
        <f>'6-b Carrying Charges'!L41</f>
        <v>166.01348999999999</v>
      </c>
      <c r="L127" s="232">
        <f>'6-b Carrying Charges'!M41</f>
        <v>70.140200000000007</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530</v>
      </c>
    </row>
    <row r="128" spans="2:23" s="9" customFormat="1">
      <c r="B128" s="68"/>
      <c r="E128" s="216">
        <v>43344</v>
      </c>
      <c r="F128" s="216" t="s">
        <v>186</v>
      </c>
      <c r="G128" s="217" t="s">
        <v>68</v>
      </c>
      <c r="H128" s="242">
        <f t="shared" si="65"/>
        <v>0</v>
      </c>
      <c r="I128" s="232">
        <f>'6-b Carrying Charges'!J42</f>
        <v>243.04527999999999</v>
      </c>
      <c r="J128" s="232">
        <f>'6-b Carrying Charges'!K42</f>
        <v>50.801030000000004</v>
      </c>
      <c r="K128" s="232">
        <f>'6-b Carrying Charges'!L42</f>
        <v>166.01348999999999</v>
      </c>
      <c r="L128" s="232">
        <f>'6-b Carrying Charges'!M42</f>
        <v>70.140200000000007</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530</v>
      </c>
    </row>
    <row r="129" spans="2:23" s="9" customFormat="1">
      <c r="B129" s="68"/>
      <c r="E129" s="216">
        <v>43374</v>
      </c>
      <c r="F129" s="216" t="s">
        <v>186</v>
      </c>
      <c r="G129" s="217" t="s">
        <v>69</v>
      </c>
      <c r="H129" s="242">
        <f>$C$46/12</f>
        <v>0</v>
      </c>
      <c r="I129" s="232">
        <f>'6-b Carrying Charges'!J43</f>
        <v>243.04527999999999</v>
      </c>
      <c r="J129" s="232">
        <f>'6-b Carrying Charges'!K43</f>
        <v>50.801030000000004</v>
      </c>
      <c r="K129" s="232">
        <f>'6-b Carrying Charges'!L43</f>
        <v>166.01348999999999</v>
      </c>
      <c r="L129" s="232">
        <f>'6-b Carrying Charges'!M43</f>
        <v>70.140200000000007</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530</v>
      </c>
    </row>
    <row r="130" spans="2:23" s="9" customFormat="1">
      <c r="B130" s="68"/>
      <c r="E130" s="216">
        <v>43405</v>
      </c>
      <c r="F130" s="216" t="s">
        <v>186</v>
      </c>
      <c r="G130" s="217" t="s">
        <v>69</v>
      </c>
      <c r="H130" s="242">
        <f t="shared" ref="H130:H131" si="66">$C$46/12</f>
        <v>0</v>
      </c>
      <c r="I130" s="232">
        <f>'6-b Carrying Charges'!J44</f>
        <v>243.04527999999999</v>
      </c>
      <c r="J130" s="232">
        <f>'6-b Carrying Charges'!K44</f>
        <v>50.801030000000004</v>
      </c>
      <c r="K130" s="232">
        <f>'6-b Carrying Charges'!L44</f>
        <v>166.01348999999999</v>
      </c>
      <c r="L130" s="232">
        <f>'6-b Carrying Charges'!M44</f>
        <v>70.140200000000007</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530</v>
      </c>
    </row>
    <row r="131" spans="2:23" s="9" customFormat="1">
      <c r="B131" s="68"/>
      <c r="E131" s="216">
        <v>43435</v>
      </c>
      <c r="F131" s="216" t="s">
        <v>186</v>
      </c>
      <c r="G131" s="217" t="s">
        <v>69</v>
      </c>
      <c r="H131" s="242">
        <f t="shared" si="66"/>
        <v>0</v>
      </c>
      <c r="I131" s="232">
        <f>'6-b Carrying Charges'!J45</f>
        <v>243.04527999999999</v>
      </c>
      <c r="J131" s="232">
        <f>'6-b Carrying Charges'!K45</f>
        <v>50.801030000000004</v>
      </c>
      <c r="K131" s="232">
        <f>'6-b Carrying Charges'!L45</f>
        <v>166.01348999999999</v>
      </c>
      <c r="L131" s="232">
        <f>'6-b Carrying Charges'!M45</f>
        <v>70.140200000000007</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530</v>
      </c>
    </row>
    <row r="132" spans="2:23" s="9" customFormat="1" ht="15.75" thickBot="1">
      <c r="B132" s="68"/>
      <c r="E132" s="218" t="s">
        <v>465</v>
      </c>
      <c r="F132" s="218"/>
      <c r="G132" s="219"/>
      <c r="H132" s="220"/>
      <c r="I132" s="221">
        <f>SUM(I119:I131)</f>
        <v>4457.3587199999984</v>
      </c>
      <c r="J132" s="221">
        <f>SUM(J119:J131)</f>
        <v>931.67171999999994</v>
      </c>
      <c r="K132" s="221">
        <f t="shared" ref="K132:O132" si="67">SUM(K119:K131)</f>
        <v>3044.6247599999983</v>
      </c>
      <c r="L132" s="221">
        <f t="shared" si="67"/>
        <v>1286.3448000000001</v>
      </c>
      <c r="M132" s="221">
        <f t="shared" si="67"/>
        <v>0</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9720</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H134" s="18"/>
    </row>
    <row r="135" spans="2:23">
      <c r="E135" s="591" t="s">
        <v>521</v>
      </c>
    </row>
  </sheetData>
  <mergeCells count="3">
    <mergeCell ref="B12:C12"/>
    <mergeCell ref="C8:S8"/>
    <mergeCell ref="C9:S9"/>
  </mergeCells>
  <hyperlinks>
    <hyperlink ref="B56" r:id="rId1"/>
    <hyperlink ref="E135" location="'6.  Carrying Charges'!A1" display="Return to top"/>
    <hyperlink ref="K12" location="Table_1_b.__Annual_LRAMVA_Breakdown_by_Year_and_Rate_Class" display="Go to Tab 1: Summary"/>
  </hyperlinks>
  <pageMargins left="0.25" right="0.25" top="0.75" bottom="0.75" header="0.3" footer="0.3"/>
  <pageSetup scale="39" fitToHeight="0" orientation="landscape" r:id="rId2"/>
  <rowBreaks count="1" manualBreakCount="1">
    <brk id="57" max="16383"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7"/>
  <sheetViews>
    <sheetView showGridLines="0" workbookViewId="0">
      <selection activeCell="B45" sqref="B45"/>
    </sheetView>
  </sheetViews>
  <sheetFormatPr defaultColWidth="11.5703125" defaultRowHeight="12.75"/>
  <cols>
    <col min="1" max="1" width="23.28515625" style="771" customWidth="1"/>
    <col min="2" max="2" width="12.7109375" style="771" customWidth="1"/>
    <col min="3" max="5" width="12.7109375" style="770" customWidth="1"/>
    <col min="6" max="6" width="3.7109375" style="771" customWidth="1"/>
    <col min="7" max="7" width="11.5703125" style="771"/>
    <col min="8" max="8" width="14.7109375" style="771" customWidth="1"/>
    <col min="9" max="9" width="3.7109375" style="771" customWidth="1"/>
    <col min="10" max="14" width="11.7109375" style="770" customWidth="1"/>
    <col min="15" max="16384" width="11.5703125" style="771"/>
  </cols>
  <sheetData>
    <row r="2" spans="1:14" ht="15">
      <c r="A2" s="783" t="s">
        <v>727</v>
      </c>
      <c r="B2" s="770"/>
    </row>
    <row r="3" spans="1:14" ht="15">
      <c r="A3" s="772"/>
      <c r="B3" s="770"/>
      <c r="G3" s="911" t="s">
        <v>728</v>
      </c>
      <c r="H3" s="912"/>
      <c r="K3" s="795"/>
      <c r="L3" s="795"/>
      <c r="M3" s="795"/>
    </row>
    <row r="4" spans="1:14" ht="51">
      <c r="A4" s="773" t="s">
        <v>62</v>
      </c>
      <c r="B4" s="773" t="s">
        <v>719</v>
      </c>
      <c r="C4" s="773" t="s">
        <v>43</v>
      </c>
      <c r="D4" s="773" t="s">
        <v>760</v>
      </c>
      <c r="E4" s="773" t="s">
        <v>720</v>
      </c>
      <c r="G4" s="774" t="s">
        <v>63</v>
      </c>
      <c r="H4" s="773" t="s">
        <v>467</v>
      </c>
      <c r="J4" s="773" t="str">
        <f>'6.  Carrying Charges'!I14</f>
        <v>Residential</v>
      </c>
      <c r="K4" s="773" t="str">
        <f>'6.  Carrying Charges'!J14</f>
        <v>GS&lt;50 kW</v>
      </c>
      <c r="L4" s="773" t="str">
        <f>'6.  Carrying Charges'!K14</f>
        <v>GS&gt;50 kW</v>
      </c>
      <c r="M4" s="798" t="str">
        <f>'6.  Carrying Charges'!L14</f>
        <v>Streetlighting</v>
      </c>
      <c r="N4" s="773" t="str">
        <f>'6.  Carrying Charges'!W14</f>
        <v>Total</v>
      </c>
    </row>
    <row r="5" spans="1:14">
      <c r="A5" s="768" t="s">
        <v>428</v>
      </c>
      <c r="B5" s="775"/>
      <c r="C5" s="775"/>
      <c r="D5" s="775"/>
      <c r="E5" s="775"/>
      <c r="I5" s="776"/>
      <c r="J5" s="777">
        <v>0.45857599999999998</v>
      </c>
      <c r="K5" s="777">
        <v>9.5851000000000006E-2</v>
      </c>
      <c r="L5" s="777">
        <v>0.31323299999999998</v>
      </c>
      <c r="M5" s="777">
        <v>0.13234000000000001</v>
      </c>
      <c r="N5" s="777">
        <f>SUM(J5:M5)</f>
        <v>1</v>
      </c>
    </row>
    <row r="6" spans="1:14">
      <c r="A6" s="769">
        <v>42370</v>
      </c>
      <c r="B6" s="799">
        <v>12637.478404833333</v>
      </c>
      <c r="C6" s="799">
        <v>0</v>
      </c>
      <c r="D6" s="799">
        <f>+C6</f>
        <v>0</v>
      </c>
      <c r="E6" s="799">
        <f>+B6+C6</f>
        <v>12637.478404833333</v>
      </c>
      <c r="F6" s="778"/>
      <c r="G6" s="779" t="s">
        <v>73</v>
      </c>
      <c r="H6" s="779">
        <v>1.0999999999999999E-2</v>
      </c>
      <c r="I6" s="776"/>
      <c r="J6" s="775">
        <f>$C$6*J5</f>
        <v>0</v>
      </c>
      <c r="K6" s="775">
        <f t="shared" ref="K6:M6" si="0">$C$6*K5</f>
        <v>0</v>
      </c>
      <c r="L6" s="775">
        <f t="shared" si="0"/>
        <v>0</v>
      </c>
      <c r="M6" s="775">
        <f t="shared" si="0"/>
        <v>0</v>
      </c>
      <c r="N6" s="796">
        <f>SUM(J6:M6)</f>
        <v>0</v>
      </c>
    </row>
    <row r="7" spans="1:14">
      <c r="A7" s="769">
        <v>42401</v>
      </c>
      <c r="B7" s="799">
        <v>25274.956809666666</v>
      </c>
      <c r="C7" s="799">
        <f t="shared" ref="C7:C17" si="1">ROUND(B6*H7/12,0)</f>
        <v>12</v>
      </c>
      <c r="D7" s="799">
        <f>+C7+D6</f>
        <v>12</v>
      </c>
      <c r="E7" s="799">
        <f>+B7+C6+C7</f>
        <v>25286.956809666666</v>
      </c>
      <c r="F7" s="778"/>
      <c r="G7" s="779" t="s">
        <v>73</v>
      </c>
      <c r="H7" s="779">
        <v>1.0999999999999999E-2</v>
      </c>
      <c r="I7" s="776"/>
      <c r="J7" s="799">
        <f>C7*$J$5</f>
        <v>5.5029120000000002</v>
      </c>
      <c r="K7" s="799">
        <f>C7*$K$5</f>
        <v>1.150212</v>
      </c>
      <c r="L7" s="799">
        <f>C7*$L$5</f>
        <v>3.7587959999999998</v>
      </c>
      <c r="M7" s="799">
        <f>C7*$M$5</f>
        <v>1.5880800000000002</v>
      </c>
      <c r="N7" s="799">
        <f t="shared" ref="N7:N17" si="2">SUM(J7:M7)</f>
        <v>12</v>
      </c>
    </row>
    <row r="8" spans="1:14">
      <c r="A8" s="769">
        <v>42430</v>
      </c>
      <c r="B8" s="799">
        <v>37912.435214500001</v>
      </c>
      <c r="C8" s="799">
        <f t="shared" si="1"/>
        <v>23</v>
      </c>
      <c r="D8" s="799">
        <f t="shared" ref="D8:D17" si="3">+C8+D7</f>
        <v>35</v>
      </c>
      <c r="E8" s="799">
        <f>+B8+SUM(C6:C8)</f>
        <v>37947.435214500001</v>
      </c>
      <c r="F8" s="778"/>
      <c r="G8" s="779" t="s">
        <v>73</v>
      </c>
      <c r="H8" s="779">
        <v>1.0999999999999999E-2</v>
      </c>
      <c r="I8" s="776"/>
      <c r="J8" s="799">
        <f t="shared" ref="J8:J17" si="4">C8*$J$5</f>
        <v>10.547248</v>
      </c>
      <c r="K8" s="799">
        <f t="shared" ref="K8:K17" si="5">C8*$K$5</f>
        <v>2.2045730000000003</v>
      </c>
      <c r="L8" s="799">
        <f t="shared" ref="L8:L17" si="6">C8*$L$5</f>
        <v>7.2043589999999993</v>
      </c>
      <c r="M8" s="799">
        <f t="shared" ref="M8:M17" si="7">C8*$M$5</f>
        <v>3.0438200000000002</v>
      </c>
      <c r="N8" s="799">
        <f t="shared" si="2"/>
        <v>23</v>
      </c>
    </row>
    <row r="9" spans="1:14">
      <c r="A9" s="769">
        <v>42461</v>
      </c>
      <c r="B9" s="799">
        <v>50549.913619333332</v>
      </c>
      <c r="C9" s="799">
        <f t="shared" si="1"/>
        <v>35</v>
      </c>
      <c r="D9" s="799">
        <f t="shared" si="3"/>
        <v>70</v>
      </c>
      <c r="E9" s="799">
        <f>+B9+SUM(C6:C9)</f>
        <v>50619.913619333332</v>
      </c>
      <c r="F9" s="778"/>
      <c r="G9" s="779" t="s">
        <v>74</v>
      </c>
      <c r="H9" s="779">
        <v>1.0999999999999999E-2</v>
      </c>
      <c r="I9" s="776"/>
      <c r="J9" s="799">
        <f t="shared" si="4"/>
        <v>16.050159999999998</v>
      </c>
      <c r="K9" s="799">
        <f t="shared" si="5"/>
        <v>3.3547850000000001</v>
      </c>
      <c r="L9" s="799">
        <f t="shared" si="6"/>
        <v>10.963154999999999</v>
      </c>
      <c r="M9" s="799">
        <f t="shared" si="7"/>
        <v>4.6319000000000008</v>
      </c>
      <c r="N9" s="799">
        <f t="shared" si="2"/>
        <v>35</v>
      </c>
    </row>
    <row r="10" spans="1:14">
      <c r="A10" s="769">
        <v>42491</v>
      </c>
      <c r="B10" s="799">
        <v>63187.392024166664</v>
      </c>
      <c r="C10" s="799">
        <f t="shared" si="1"/>
        <v>46</v>
      </c>
      <c r="D10" s="799">
        <f t="shared" si="3"/>
        <v>116</v>
      </c>
      <c r="E10" s="799">
        <f>+B10+SUM(C6:C10)</f>
        <v>63303.392024166664</v>
      </c>
      <c r="F10" s="778"/>
      <c r="G10" s="779" t="s">
        <v>74</v>
      </c>
      <c r="H10" s="779">
        <v>1.0999999999999999E-2</v>
      </c>
      <c r="I10" s="776"/>
      <c r="J10" s="799">
        <f t="shared" si="4"/>
        <v>21.094495999999999</v>
      </c>
      <c r="K10" s="799">
        <f t="shared" si="5"/>
        <v>4.4091460000000007</v>
      </c>
      <c r="L10" s="799">
        <f t="shared" si="6"/>
        <v>14.408717999999999</v>
      </c>
      <c r="M10" s="799">
        <f t="shared" si="7"/>
        <v>6.0876400000000004</v>
      </c>
      <c r="N10" s="799">
        <f t="shared" si="2"/>
        <v>46</v>
      </c>
    </row>
    <row r="11" spans="1:14">
      <c r="A11" s="769">
        <v>42522</v>
      </c>
      <c r="B11" s="799">
        <v>97815.380428999997</v>
      </c>
      <c r="C11" s="799">
        <f t="shared" si="1"/>
        <v>58</v>
      </c>
      <c r="D11" s="799">
        <f t="shared" si="3"/>
        <v>174</v>
      </c>
      <c r="E11" s="799">
        <f>+B11+SUM(C6:C11)</f>
        <v>97989.380428999997</v>
      </c>
      <c r="F11" s="778"/>
      <c r="G11" s="779" t="s">
        <v>74</v>
      </c>
      <c r="H11" s="779">
        <v>1.0999999999999999E-2</v>
      </c>
      <c r="J11" s="799">
        <f t="shared" si="4"/>
        <v>26.597407999999998</v>
      </c>
      <c r="K11" s="799">
        <f t="shared" si="5"/>
        <v>5.5593580000000005</v>
      </c>
      <c r="L11" s="799">
        <f t="shared" si="6"/>
        <v>18.167514000000001</v>
      </c>
      <c r="M11" s="799">
        <f t="shared" si="7"/>
        <v>7.675720000000001</v>
      </c>
      <c r="N11" s="799">
        <f t="shared" si="2"/>
        <v>58</v>
      </c>
    </row>
    <row r="12" spans="1:14">
      <c r="A12" s="769">
        <v>42552</v>
      </c>
      <c r="B12" s="799">
        <v>113985.16883383333</v>
      </c>
      <c r="C12" s="799">
        <f t="shared" si="1"/>
        <v>90</v>
      </c>
      <c r="D12" s="799">
        <f t="shared" si="3"/>
        <v>264</v>
      </c>
      <c r="E12" s="799">
        <f>+B12+SUM(C6:C12)</f>
        <v>114249.16883383333</v>
      </c>
      <c r="F12" s="778"/>
      <c r="G12" s="779" t="s">
        <v>75</v>
      </c>
      <c r="H12" s="784">
        <v>1.0999999999999999E-2</v>
      </c>
      <c r="J12" s="799">
        <f t="shared" si="4"/>
        <v>41.271839999999997</v>
      </c>
      <c r="K12" s="799">
        <f t="shared" si="5"/>
        <v>8.6265900000000002</v>
      </c>
      <c r="L12" s="799">
        <f t="shared" si="6"/>
        <v>28.19097</v>
      </c>
      <c r="M12" s="799">
        <f t="shared" si="7"/>
        <v>11.910600000000001</v>
      </c>
      <c r="N12" s="799">
        <f t="shared" si="2"/>
        <v>90</v>
      </c>
    </row>
    <row r="13" spans="1:14">
      <c r="A13" s="769">
        <v>42583</v>
      </c>
      <c r="B13" s="799">
        <v>130154.95723866667</v>
      </c>
      <c r="C13" s="799">
        <f t="shared" si="1"/>
        <v>104</v>
      </c>
      <c r="D13" s="799">
        <f t="shared" si="3"/>
        <v>368</v>
      </c>
      <c r="E13" s="799">
        <f>+B13+SUM(C6:C13)</f>
        <v>130522.95723866667</v>
      </c>
      <c r="F13" s="778"/>
      <c r="G13" s="779" t="s">
        <v>75</v>
      </c>
      <c r="H13" s="784">
        <v>1.0999999999999999E-2</v>
      </c>
      <c r="J13" s="799">
        <f t="shared" si="4"/>
        <v>47.691904000000001</v>
      </c>
      <c r="K13" s="799">
        <f t="shared" si="5"/>
        <v>9.9685040000000011</v>
      </c>
      <c r="L13" s="799">
        <f t="shared" si="6"/>
        <v>32.576231999999997</v>
      </c>
      <c r="M13" s="799">
        <f t="shared" si="7"/>
        <v>13.763360000000002</v>
      </c>
      <c r="N13" s="799">
        <f t="shared" si="2"/>
        <v>104</v>
      </c>
    </row>
    <row r="14" spans="1:14">
      <c r="A14" s="769">
        <v>42614</v>
      </c>
      <c r="B14" s="799">
        <v>146324.74564350001</v>
      </c>
      <c r="C14" s="799">
        <f t="shared" si="1"/>
        <v>119</v>
      </c>
      <c r="D14" s="799">
        <f t="shared" si="3"/>
        <v>487</v>
      </c>
      <c r="E14" s="799">
        <f>+B14+SUM(C6:C14)</f>
        <v>146811.74564350001</v>
      </c>
      <c r="F14" s="778"/>
      <c r="G14" s="779" t="s">
        <v>75</v>
      </c>
      <c r="H14" s="784">
        <v>1.0999999999999999E-2</v>
      </c>
      <c r="J14" s="799">
        <f t="shared" si="4"/>
        <v>54.570543999999998</v>
      </c>
      <c r="K14" s="799">
        <f t="shared" si="5"/>
        <v>11.406269</v>
      </c>
      <c r="L14" s="799">
        <f t="shared" si="6"/>
        <v>37.274726999999999</v>
      </c>
      <c r="M14" s="799">
        <f t="shared" si="7"/>
        <v>15.748460000000001</v>
      </c>
      <c r="N14" s="799">
        <f t="shared" si="2"/>
        <v>119</v>
      </c>
    </row>
    <row r="15" spans="1:14">
      <c r="A15" s="769">
        <v>42644</v>
      </c>
      <c r="B15" s="799">
        <v>162494.53404833333</v>
      </c>
      <c r="C15" s="799">
        <f t="shared" si="1"/>
        <v>134</v>
      </c>
      <c r="D15" s="799">
        <f t="shared" si="3"/>
        <v>621</v>
      </c>
      <c r="E15" s="799">
        <f>+B15+SUM(C6:C15)</f>
        <v>163115.53404833333</v>
      </c>
      <c r="F15" s="778"/>
      <c r="G15" s="779" t="s">
        <v>76</v>
      </c>
      <c r="H15" s="784">
        <v>1.0999999999999999E-2</v>
      </c>
      <c r="J15" s="799">
        <f t="shared" si="4"/>
        <v>61.449183999999995</v>
      </c>
      <c r="K15" s="799">
        <f t="shared" si="5"/>
        <v>12.844034000000001</v>
      </c>
      <c r="L15" s="799">
        <f t="shared" si="6"/>
        <v>41.973222</v>
      </c>
      <c r="M15" s="799">
        <f t="shared" si="7"/>
        <v>17.733560000000001</v>
      </c>
      <c r="N15" s="799">
        <f t="shared" si="2"/>
        <v>134</v>
      </c>
    </row>
    <row r="16" spans="1:14">
      <c r="A16" s="769">
        <v>42675</v>
      </c>
      <c r="B16" s="799">
        <v>178664.32245316665</v>
      </c>
      <c r="C16" s="799">
        <f t="shared" si="1"/>
        <v>149</v>
      </c>
      <c r="D16" s="799">
        <f t="shared" si="3"/>
        <v>770</v>
      </c>
      <c r="E16" s="799">
        <f>+B16+SUM(C6:C16)</f>
        <v>179434.32245316665</v>
      </c>
      <c r="F16" s="778"/>
      <c r="G16" s="779" t="s">
        <v>76</v>
      </c>
      <c r="H16" s="784">
        <v>1.0999999999999999E-2</v>
      </c>
      <c r="J16" s="799">
        <f t="shared" si="4"/>
        <v>68.327823999999993</v>
      </c>
      <c r="K16" s="799">
        <f t="shared" si="5"/>
        <v>14.281799000000001</v>
      </c>
      <c r="L16" s="799">
        <f t="shared" si="6"/>
        <v>46.671717000000001</v>
      </c>
      <c r="M16" s="799">
        <f t="shared" si="7"/>
        <v>19.718660000000003</v>
      </c>
      <c r="N16" s="799">
        <f t="shared" si="2"/>
        <v>149</v>
      </c>
    </row>
    <row r="17" spans="1:15">
      <c r="A17" s="769">
        <v>42705</v>
      </c>
      <c r="B17" s="799">
        <v>238312.89085799997</v>
      </c>
      <c r="C17" s="799">
        <f t="shared" si="1"/>
        <v>164</v>
      </c>
      <c r="D17" s="799">
        <f t="shared" si="3"/>
        <v>934</v>
      </c>
      <c r="E17" s="793">
        <f>+B17+SUM(C6:C17)</f>
        <v>239246.89085799997</v>
      </c>
      <c r="F17" s="778"/>
      <c r="G17" s="779" t="s">
        <v>76</v>
      </c>
      <c r="H17" s="784">
        <v>1.0999999999999999E-2</v>
      </c>
      <c r="J17" s="799">
        <f t="shared" si="4"/>
        <v>75.206463999999997</v>
      </c>
      <c r="K17" s="799">
        <f t="shared" si="5"/>
        <v>15.719564</v>
      </c>
      <c r="L17" s="799">
        <f t="shared" si="6"/>
        <v>51.370211999999995</v>
      </c>
      <c r="M17" s="799">
        <f t="shared" si="7"/>
        <v>21.703760000000003</v>
      </c>
      <c r="N17" s="799">
        <f t="shared" si="2"/>
        <v>164</v>
      </c>
    </row>
    <row r="18" spans="1:15" ht="15">
      <c r="F18"/>
    </row>
    <row r="19" spans="1:15" ht="15">
      <c r="A19" s="766" t="s">
        <v>429</v>
      </c>
      <c r="B19" s="801">
        <v>238312.89085799997</v>
      </c>
      <c r="C19" s="799"/>
      <c r="D19" s="799"/>
      <c r="E19" s="799"/>
      <c r="F19"/>
      <c r="G19"/>
      <c r="H19"/>
      <c r="I19"/>
      <c r="J19" s="797"/>
      <c r="K19" s="797"/>
      <c r="L19" s="797"/>
      <c r="M19" s="797"/>
      <c r="N19" s="797"/>
    </row>
    <row r="20" spans="1:15" ht="15">
      <c r="A20" s="767">
        <v>42736</v>
      </c>
      <c r="B20" s="802">
        <v>238312.89085799997</v>
      </c>
      <c r="C20" s="802">
        <f>ROUND(B19*H20/12,0)</f>
        <v>218</v>
      </c>
      <c r="D20" s="802">
        <f>+C20+D17</f>
        <v>1152</v>
      </c>
      <c r="E20" s="802">
        <f>+B20+SUM($C$6:C20)</f>
        <v>239464.89085799997</v>
      </c>
      <c r="F20"/>
      <c r="G20" s="787" t="s">
        <v>77</v>
      </c>
      <c r="H20" s="788">
        <v>1.0999999999999999E-2</v>
      </c>
      <c r="J20" s="799">
        <f t="shared" ref="J20:J31" si="8">C20*$J$5</f>
        <v>99.969567999999995</v>
      </c>
      <c r="K20" s="799">
        <f t="shared" ref="K20:K31" si="9">C20*$K$5</f>
        <v>20.895518000000003</v>
      </c>
      <c r="L20" s="799">
        <f t="shared" ref="L20:L31" si="10">C20*$L$5</f>
        <v>68.284793999999991</v>
      </c>
      <c r="M20" s="799">
        <f t="shared" ref="M20:M31" si="11">C20*$M$5</f>
        <v>28.850120000000004</v>
      </c>
      <c r="N20" s="799">
        <f t="shared" ref="N20:N31" si="12">SUM(J20:M20)</f>
        <v>218</v>
      </c>
    </row>
    <row r="21" spans="1:15">
      <c r="A21" s="767">
        <v>42767</v>
      </c>
      <c r="B21" s="799">
        <v>238312.89085799997</v>
      </c>
      <c r="C21" s="799">
        <f>ROUND(B20*H21/12,0)</f>
        <v>218</v>
      </c>
      <c r="D21" s="802">
        <f>+C21+D20</f>
        <v>1370</v>
      </c>
      <c r="E21" s="802">
        <f>+B21+SUM($C$6:C21)</f>
        <v>239682.89085799997</v>
      </c>
      <c r="F21" s="778"/>
      <c r="G21" s="780" t="s">
        <v>77</v>
      </c>
      <c r="H21" s="785">
        <v>1.0999999999999999E-2</v>
      </c>
      <c r="J21" s="799">
        <f t="shared" si="8"/>
        <v>99.969567999999995</v>
      </c>
      <c r="K21" s="799">
        <f t="shared" si="9"/>
        <v>20.895518000000003</v>
      </c>
      <c r="L21" s="799">
        <f t="shared" si="10"/>
        <v>68.284793999999991</v>
      </c>
      <c r="M21" s="799">
        <f t="shared" si="11"/>
        <v>28.850120000000004</v>
      </c>
      <c r="N21" s="799">
        <f t="shared" si="12"/>
        <v>218</v>
      </c>
    </row>
    <row r="22" spans="1:15">
      <c r="A22" s="767">
        <v>42795</v>
      </c>
      <c r="B22" s="799">
        <v>238312.89085799997</v>
      </c>
      <c r="C22" s="799">
        <f>ROUND(B21*H22/12,0)</f>
        <v>218</v>
      </c>
      <c r="D22" s="802">
        <f t="shared" ref="D22:D31" si="13">+C22+D21</f>
        <v>1588</v>
      </c>
      <c r="E22" s="802">
        <f>+B22+SUM($C$6:C22)</f>
        <v>239900.89085799997</v>
      </c>
      <c r="F22" s="778"/>
      <c r="G22" s="779" t="s">
        <v>77</v>
      </c>
      <c r="H22" s="784">
        <v>1.0999999999999999E-2</v>
      </c>
      <c r="J22" s="799">
        <f t="shared" si="8"/>
        <v>99.969567999999995</v>
      </c>
      <c r="K22" s="799">
        <f t="shared" si="9"/>
        <v>20.895518000000003</v>
      </c>
      <c r="L22" s="799">
        <f t="shared" si="10"/>
        <v>68.284793999999991</v>
      </c>
      <c r="M22" s="799">
        <f t="shared" si="11"/>
        <v>28.850120000000004</v>
      </c>
      <c r="N22" s="799">
        <f t="shared" si="12"/>
        <v>218</v>
      </c>
    </row>
    <row r="23" spans="1:15">
      <c r="A23" s="767">
        <v>42826</v>
      </c>
      <c r="B23" s="799">
        <v>238312.89085799997</v>
      </c>
      <c r="C23" s="799">
        <f>ROUND(B22*H23/12,0)</f>
        <v>218</v>
      </c>
      <c r="D23" s="802">
        <f t="shared" si="13"/>
        <v>1806</v>
      </c>
      <c r="E23" s="802">
        <f>+B23+SUM($C$6:C23)</f>
        <v>240118.89085799997</v>
      </c>
      <c r="F23" s="778"/>
      <c r="G23" s="779" t="s">
        <v>78</v>
      </c>
      <c r="H23" s="784">
        <v>1.0999999999999999E-2</v>
      </c>
      <c r="J23" s="799">
        <f t="shared" si="8"/>
        <v>99.969567999999995</v>
      </c>
      <c r="K23" s="799">
        <f t="shared" si="9"/>
        <v>20.895518000000003</v>
      </c>
      <c r="L23" s="799">
        <f t="shared" si="10"/>
        <v>68.284793999999991</v>
      </c>
      <c r="M23" s="799">
        <f t="shared" si="11"/>
        <v>28.850120000000004</v>
      </c>
      <c r="N23" s="799">
        <f t="shared" si="12"/>
        <v>218</v>
      </c>
    </row>
    <row r="24" spans="1:15">
      <c r="A24" s="767">
        <v>42856</v>
      </c>
      <c r="B24" s="799">
        <v>238312.89085799997</v>
      </c>
      <c r="C24" s="799">
        <f t="shared" ref="C24:C31" si="14">ROUND(B23*H24/12,0)</f>
        <v>218</v>
      </c>
      <c r="D24" s="802">
        <f t="shared" si="13"/>
        <v>2024</v>
      </c>
      <c r="E24" s="802">
        <f>+B24+SUM($C$6:C24)</f>
        <v>240336.89085799997</v>
      </c>
      <c r="F24" s="778"/>
      <c r="G24" s="779" t="s">
        <v>78</v>
      </c>
      <c r="H24" s="784">
        <v>1.0999999999999999E-2</v>
      </c>
      <c r="I24" s="781"/>
      <c r="J24" s="799">
        <f t="shared" si="8"/>
        <v>99.969567999999995</v>
      </c>
      <c r="K24" s="799">
        <f t="shared" si="9"/>
        <v>20.895518000000003</v>
      </c>
      <c r="L24" s="799">
        <f t="shared" si="10"/>
        <v>68.284793999999991</v>
      </c>
      <c r="M24" s="799">
        <f t="shared" si="11"/>
        <v>28.850120000000004</v>
      </c>
      <c r="N24" s="799">
        <f t="shared" si="12"/>
        <v>218</v>
      </c>
    </row>
    <row r="25" spans="1:15">
      <c r="A25" s="767">
        <v>42887</v>
      </c>
      <c r="B25" s="799">
        <v>282447.14085799997</v>
      </c>
      <c r="C25" s="799">
        <f t="shared" si="14"/>
        <v>218</v>
      </c>
      <c r="D25" s="802">
        <f t="shared" si="13"/>
        <v>2242</v>
      </c>
      <c r="E25" s="802">
        <f>+B25+SUM($C$6:C25)</f>
        <v>284689.14085799997</v>
      </c>
      <c r="F25" s="778"/>
      <c r="G25" s="779" t="s">
        <v>78</v>
      </c>
      <c r="H25" s="784">
        <v>1.0999999999999999E-2</v>
      </c>
      <c r="I25" s="781"/>
      <c r="J25" s="799">
        <f t="shared" si="8"/>
        <v>99.969567999999995</v>
      </c>
      <c r="K25" s="799">
        <f t="shared" si="9"/>
        <v>20.895518000000003</v>
      </c>
      <c r="L25" s="799">
        <f t="shared" si="10"/>
        <v>68.284793999999991</v>
      </c>
      <c r="M25" s="799">
        <f t="shared" si="11"/>
        <v>28.850120000000004</v>
      </c>
      <c r="N25" s="799">
        <f t="shared" si="12"/>
        <v>218</v>
      </c>
    </row>
    <row r="26" spans="1:15">
      <c r="A26" s="767">
        <v>42917</v>
      </c>
      <c r="B26" s="799">
        <v>287430.19085799996</v>
      </c>
      <c r="C26" s="799">
        <f t="shared" si="14"/>
        <v>259</v>
      </c>
      <c r="D26" s="802">
        <f t="shared" si="13"/>
        <v>2501</v>
      </c>
      <c r="E26" s="802">
        <f>+B26+SUM($C$6:C26)</f>
        <v>289931.19085799996</v>
      </c>
      <c r="F26" s="778"/>
      <c r="G26" s="782" t="s">
        <v>79</v>
      </c>
      <c r="H26" s="784">
        <v>1.0999999999999999E-2</v>
      </c>
      <c r="I26" s="781"/>
      <c r="J26" s="799">
        <f t="shared" si="8"/>
        <v>118.77118399999999</v>
      </c>
      <c r="K26" s="799">
        <f t="shared" si="9"/>
        <v>24.825409000000001</v>
      </c>
      <c r="L26" s="799">
        <f t="shared" si="10"/>
        <v>81.127347</v>
      </c>
      <c r="M26" s="799">
        <f t="shared" si="11"/>
        <v>34.276060000000001</v>
      </c>
      <c r="N26" s="799">
        <f t="shared" si="12"/>
        <v>259</v>
      </c>
    </row>
    <row r="27" spans="1:15">
      <c r="A27" s="767">
        <v>42948</v>
      </c>
      <c r="B27" s="800">
        <v>287430.19085799996</v>
      </c>
      <c r="C27" s="799">
        <f t="shared" si="14"/>
        <v>263</v>
      </c>
      <c r="D27" s="802">
        <f t="shared" si="13"/>
        <v>2764</v>
      </c>
      <c r="E27" s="802">
        <f>+B27+SUM($C$6:C27)</f>
        <v>290194.19085799996</v>
      </c>
      <c r="F27" s="778"/>
      <c r="G27" s="782" t="s">
        <v>79</v>
      </c>
      <c r="H27" s="784">
        <v>1.0999999999999999E-2</v>
      </c>
      <c r="I27" s="781"/>
      <c r="J27" s="799">
        <f t="shared" si="8"/>
        <v>120.60548799999999</v>
      </c>
      <c r="K27" s="799">
        <f t="shared" si="9"/>
        <v>25.208813000000003</v>
      </c>
      <c r="L27" s="799">
        <f t="shared" si="10"/>
        <v>82.380279000000002</v>
      </c>
      <c r="M27" s="799">
        <f t="shared" si="11"/>
        <v>34.805420000000005</v>
      </c>
      <c r="N27" s="799">
        <f t="shared" si="12"/>
        <v>263</v>
      </c>
    </row>
    <row r="28" spans="1:15">
      <c r="A28" s="767">
        <v>42979</v>
      </c>
      <c r="B28" s="800">
        <v>287430.19085799996</v>
      </c>
      <c r="C28" s="799">
        <f t="shared" si="14"/>
        <v>263</v>
      </c>
      <c r="D28" s="802">
        <f t="shared" si="13"/>
        <v>3027</v>
      </c>
      <c r="E28" s="802">
        <f>+B28+SUM($C$6:C28)</f>
        <v>290457.19085799996</v>
      </c>
      <c r="F28" s="778"/>
      <c r="G28" s="782" t="s">
        <v>79</v>
      </c>
      <c r="H28" s="784">
        <v>1.0999999999999999E-2</v>
      </c>
      <c r="I28" s="781"/>
      <c r="J28" s="799">
        <f t="shared" si="8"/>
        <v>120.60548799999999</v>
      </c>
      <c r="K28" s="799">
        <f t="shared" si="9"/>
        <v>25.208813000000003</v>
      </c>
      <c r="L28" s="799">
        <f t="shared" si="10"/>
        <v>82.380279000000002</v>
      </c>
      <c r="M28" s="799">
        <f t="shared" si="11"/>
        <v>34.805420000000005</v>
      </c>
      <c r="N28" s="799">
        <f t="shared" si="12"/>
        <v>263</v>
      </c>
    </row>
    <row r="29" spans="1:15">
      <c r="A29" s="767">
        <v>43009</v>
      </c>
      <c r="B29" s="800">
        <v>287430.19085799996</v>
      </c>
      <c r="C29" s="799">
        <f t="shared" si="14"/>
        <v>359</v>
      </c>
      <c r="D29" s="802">
        <f t="shared" si="13"/>
        <v>3386</v>
      </c>
      <c r="E29" s="802">
        <f>+B29+SUM($C$6:C29)</f>
        <v>290816.19085799996</v>
      </c>
      <c r="F29" s="778"/>
      <c r="G29" s="782" t="s">
        <v>80</v>
      </c>
      <c r="H29" s="786">
        <v>1.4999999999999999E-2</v>
      </c>
      <c r="I29" s="781"/>
      <c r="J29" s="799">
        <f t="shared" si="8"/>
        <v>164.628784</v>
      </c>
      <c r="K29" s="799">
        <f t="shared" si="9"/>
        <v>34.410509000000005</v>
      </c>
      <c r="L29" s="799">
        <f t="shared" si="10"/>
        <v>112.45064699999999</v>
      </c>
      <c r="M29" s="799">
        <f t="shared" si="11"/>
        <v>47.510060000000003</v>
      </c>
      <c r="N29" s="799">
        <f t="shared" si="12"/>
        <v>359</v>
      </c>
    </row>
    <row r="30" spans="1:15">
      <c r="A30" s="767">
        <v>43040</v>
      </c>
      <c r="B30" s="800">
        <v>287430.19085799996</v>
      </c>
      <c r="C30" s="799">
        <f t="shared" si="14"/>
        <v>359</v>
      </c>
      <c r="D30" s="802">
        <f t="shared" si="13"/>
        <v>3745</v>
      </c>
      <c r="E30" s="802">
        <f>+B30+SUM($C$6:C30)</f>
        <v>291175.19085799996</v>
      </c>
      <c r="F30" s="778"/>
      <c r="G30" s="782" t="s">
        <v>80</v>
      </c>
      <c r="H30" s="786">
        <v>1.4999999999999999E-2</v>
      </c>
      <c r="I30" s="781"/>
      <c r="J30" s="799">
        <f t="shared" si="8"/>
        <v>164.628784</v>
      </c>
      <c r="K30" s="799">
        <f t="shared" si="9"/>
        <v>34.410509000000005</v>
      </c>
      <c r="L30" s="799">
        <f t="shared" si="10"/>
        <v>112.45064699999999</v>
      </c>
      <c r="M30" s="799">
        <f t="shared" si="11"/>
        <v>47.510060000000003</v>
      </c>
      <c r="N30" s="799">
        <f t="shared" si="12"/>
        <v>359</v>
      </c>
    </row>
    <row r="31" spans="1:15">
      <c r="A31" s="767">
        <v>43070</v>
      </c>
      <c r="B31" s="800">
        <v>287430.19085799996</v>
      </c>
      <c r="C31" s="799">
        <f t="shared" si="14"/>
        <v>359</v>
      </c>
      <c r="D31" s="802">
        <f t="shared" si="13"/>
        <v>4104</v>
      </c>
      <c r="E31" s="794">
        <f>+B31+SUM($C$6:C31)</f>
        <v>291534.19085799996</v>
      </c>
      <c r="F31" s="778"/>
      <c r="G31" s="782" t="s">
        <v>80</v>
      </c>
      <c r="H31" s="786">
        <v>1.4999999999999999E-2</v>
      </c>
      <c r="I31" s="781"/>
      <c r="J31" s="799">
        <f t="shared" si="8"/>
        <v>164.628784</v>
      </c>
      <c r="K31" s="799">
        <f t="shared" si="9"/>
        <v>34.410509000000005</v>
      </c>
      <c r="L31" s="799">
        <f t="shared" si="10"/>
        <v>112.45064699999999</v>
      </c>
      <c r="M31" s="799">
        <f t="shared" si="11"/>
        <v>47.510060000000003</v>
      </c>
      <c r="N31" s="799">
        <f t="shared" si="12"/>
        <v>359</v>
      </c>
    </row>
    <row r="32" spans="1:15" ht="15">
      <c r="F32"/>
      <c r="H32"/>
      <c r="I32"/>
      <c r="J32" s="797"/>
      <c r="K32" s="797"/>
      <c r="L32" s="797"/>
      <c r="M32" s="797"/>
      <c r="N32" s="797"/>
      <c r="O32"/>
    </row>
    <row r="33" spans="1:14" ht="15">
      <c r="A33" s="766" t="s">
        <v>430</v>
      </c>
      <c r="B33" s="803">
        <v>287430.19085799996</v>
      </c>
      <c r="C33" s="799"/>
      <c r="D33" s="799"/>
      <c r="E33" s="799"/>
      <c r="F33"/>
      <c r="G33"/>
      <c r="H33"/>
      <c r="I33"/>
      <c r="J33" s="797"/>
      <c r="K33" s="797"/>
      <c r="L33" s="797"/>
      <c r="M33" s="797"/>
      <c r="N33" s="797"/>
    </row>
    <row r="34" spans="1:14" ht="15">
      <c r="A34" s="767">
        <v>43101</v>
      </c>
      <c r="B34" s="804">
        <v>287430.19085799996</v>
      </c>
      <c r="C34" s="802">
        <f>ROUND(B33*H34/12,0)</f>
        <v>359</v>
      </c>
      <c r="D34" s="802">
        <f>+C34+D31</f>
        <v>4463</v>
      </c>
      <c r="E34" s="802">
        <f>+B34+SUM($C$6:C34)</f>
        <v>291893.19085799996</v>
      </c>
      <c r="F34"/>
      <c r="G34" s="787" t="s">
        <v>81</v>
      </c>
      <c r="H34" s="788">
        <v>1.4999999999999999E-2</v>
      </c>
      <c r="I34" s="781"/>
      <c r="J34" s="799">
        <f t="shared" ref="J34:J45" si="15">C34*$J$5</f>
        <v>164.628784</v>
      </c>
      <c r="K34" s="799">
        <f t="shared" ref="K34:K45" si="16">C34*$K$5</f>
        <v>34.410509000000005</v>
      </c>
      <c r="L34" s="799">
        <f t="shared" ref="L34:L45" si="17">C34*$L$5</f>
        <v>112.45064699999999</v>
      </c>
      <c r="M34" s="799">
        <f t="shared" ref="M34:M45" si="18">C34*$M$5</f>
        <v>47.510060000000003</v>
      </c>
      <c r="N34" s="799">
        <f t="shared" ref="N34:N45" si="19">SUM(J34:M34)</f>
        <v>359</v>
      </c>
    </row>
    <row r="35" spans="1:14">
      <c r="A35" s="767">
        <v>43132</v>
      </c>
      <c r="B35" s="800">
        <v>287430.19085799996</v>
      </c>
      <c r="C35" s="799">
        <f t="shared" ref="C35:C45" si="20">ROUND(B34*H35/12,0)</f>
        <v>359</v>
      </c>
      <c r="D35" s="802">
        <f>+C35+D34</f>
        <v>4822</v>
      </c>
      <c r="E35" s="802">
        <f>+B35+SUM($C$6:C35)</f>
        <v>292252.19085799996</v>
      </c>
      <c r="F35" s="778"/>
      <c r="G35" s="782" t="s">
        <v>81</v>
      </c>
      <c r="H35" s="786">
        <v>1.4999999999999999E-2</v>
      </c>
      <c r="I35" s="781"/>
      <c r="J35" s="799">
        <f t="shared" si="15"/>
        <v>164.628784</v>
      </c>
      <c r="K35" s="799">
        <f t="shared" si="16"/>
        <v>34.410509000000005</v>
      </c>
      <c r="L35" s="799">
        <f t="shared" si="17"/>
        <v>112.45064699999999</v>
      </c>
      <c r="M35" s="799">
        <f t="shared" si="18"/>
        <v>47.510060000000003</v>
      </c>
      <c r="N35" s="799">
        <f t="shared" si="19"/>
        <v>359</v>
      </c>
    </row>
    <row r="36" spans="1:14">
      <c r="A36" s="767">
        <v>43160</v>
      </c>
      <c r="B36" s="800">
        <v>287430.19085799996</v>
      </c>
      <c r="C36" s="799">
        <f t="shared" si="20"/>
        <v>359</v>
      </c>
      <c r="D36" s="802">
        <f t="shared" ref="D36:D45" si="21">+C36+D35</f>
        <v>5181</v>
      </c>
      <c r="E36" s="802">
        <f>+B36+SUM($C$6:C36)</f>
        <v>292611.19085799996</v>
      </c>
      <c r="F36" s="778"/>
      <c r="G36" s="782" t="s">
        <v>81</v>
      </c>
      <c r="H36" s="786">
        <v>1.4999999999999999E-2</v>
      </c>
      <c r="I36" s="781"/>
      <c r="J36" s="799">
        <f t="shared" si="15"/>
        <v>164.628784</v>
      </c>
      <c r="K36" s="799">
        <f t="shared" si="16"/>
        <v>34.410509000000005</v>
      </c>
      <c r="L36" s="799">
        <f t="shared" si="17"/>
        <v>112.45064699999999</v>
      </c>
      <c r="M36" s="799">
        <f t="shared" si="18"/>
        <v>47.510060000000003</v>
      </c>
      <c r="N36" s="799">
        <f t="shared" si="19"/>
        <v>359</v>
      </c>
    </row>
    <row r="37" spans="1:14">
      <c r="A37" s="767">
        <v>43191</v>
      </c>
      <c r="B37" s="800">
        <v>287430.19085799996</v>
      </c>
      <c r="C37" s="799">
        <f t="shared" si="20"/>
        <v>453</v>
      </c>
      <c r="D37" s="802">
        <f t="shared" si="21"/>
        <v>5634</v>
      </c>
      <c r="E37" s="802">
        <f>+B37+SUM($C$6:C37)</f>
        <v>293064.19085799996</v>
      </c>
      <c r="F37" s="778"/>
      <c r="G37" s="782" t="s">
        <v>82</v>
      </c>
      <c r="H37" s="786">
        <v>1.89E-2</v>
      </c>
      <c r="I37" s="781"/>
      <c r="J37" s="799">
        <f t="shared" si="15"/>
        <v>207.734928</v>
      </c>
      <c r="K37" s="799">
        <f t="shared" si="16"/>
        <v>43.420503000000004</v>
      </c>
      <c r="L37" s="799">
        <f t="shared" si="17"/>
        <v>141.89454899999998</v>
      </c>
      <c r="M37" s="799">
        <f t="shared" si="18"/>
        <v>59.950020000000009</v>
      </c>
      <c r="N37" s="799">
        <f t="shared" si="19"/>
        <v>453</v>
      </c>
    </row>
    <row r="38" spans="1:14">
      <c r="A38" s="767">
        <v>43221</v>
      </c>
      <c r="B38" s="800">
        <v>287430.19085799996</v>
      </c>
      <c r="C38" s="799">
        <f t="shared" si="20"/>
        <v>453</v>
      </c>
      <c r="D38" s="802">
        <f t="shared" si="21"/>
        <v>6087</v>
      </c>
      <c r="E38" s="802">
        <f>+B38+SUM($C$6:C38)</f>
        <v>293517.19085799996</v>
      </c>
      <c r="F38" s="778"/>
      <c r="G38" s="782" t="s">
        <v>82</v>
      </c>
      <c r="H38" s="786">
        <v>1.89E-2</v>
      </c>
      <c r="I38" s="781"/>
      <c r="J38" s="799">
        <f t="shared" si="15"/>
        <v>207.734928</v>
      </c>
      <c r="K38" s="799">
        <f t="shared" si="16"/>
        <v>43.420503000000004</v>
      </c>
      <c r="L38" s="799">
        <f t="shared" si="17"/>
        <v>141.89454899999998</v>
      </c>
      <c r="M38" s="799">
        <f t="shared" si="18"/>
        <v>59.950020000000009</v>
      </c>
      <c r="N38" s="799">
        <f t="shared" si="19"/>
        <v>453</v>
      </c>
    </row>
    <row r="39" spans="1:14">
      <c r="A39" s="767">
        <v>43252</v>
      </c>
      <c r="B39" s="800">
        <v>336626.86085799994</v>
      </c>
      <c r="C39" s="799">
        <f t="shared" si="20"/>
        <v>453</v>
      </c>
      <c r="D39" s="802">
        <f t="shared" si="21"/>
        <v>6540</v>
      </c>
      <c r="E39" s="802">
        <f>+B39+SUM($C$6:C39)</f>
        <v>343166.86085799994</v>
      </c>
      <c r="F39" s="778"/>
      <c r="G39" s="782" t="s">
        <v>82</v>
      </c>
      <c r="H39" s="786">
        <v>1.89E-2</v>
      </c>
      <c r="I39" s="781"/>
      <c r="J39" s="799">
        <f t="shared" si="15"/>
        <v>207.734928</v>
      </c>
      <c r="K39" s="799">
        <f t="shared" si="16"/>
        <v>43.420503000000004</v>
      </c>
      <c r="L39" s="799">
        <f t="shared" si="17"/>
        <v>141.89454899999998</v>
      </c>
      <c r="M39" s="799">
        <f t="shared" si="18"/>
        <v>59.950020000000009</v>
      </c>
      <c r="N39" s="799">
        <f t="shared" si="19"/>
        <v>453</v>
      </c>
    </row>
    <row r="40" spans="1:14">
      <c r="A40" s="767">
        <v>43313</v>
      </c>
      <c r="B40" s="800">
        <v>336626.86085799994</v>
      </c>
      <c r="C40" s="799">
        <f t="shared" si="20"/>
        <v>530</v>
      </c>
      <c r="D40" s="802">
        <f t="shared" si="21"/>
        <v>7070</v>
      </c>
      <c r="E40" s="802">
        <f>+B40+SUM($C$6:C40)</f>
        <v>343696.86085799994</v>
      </c>
      <c r="F40" s="778"/>
      <c r="G40" s="782" t="s">
        <v>83</v>
      </c>
      <c r="H40" s="786">
        <v>1.89E-2</v>
      </c>
      <c r="I40" s="781"/>
      <c r="J40" s="799">
        <f t="shared" si="15"/>
        <v>243.04527999999999</v>
      </c>
      <c r="K40" s="799">
        <f t="shared" si="16"/>
        <v>50.801030000000004</v>
      </c>
      <c r="L40" s="799">
        <f t="shared" si="17"/>
        <v>166.01348999999999</v>
      </c>
      <c r="M40" s="799">
        <f t="shared" si="18"/>
        <v>70.140200000000007</v>
      </c>
      <c r="N40" s="799">
        <f t="shared" si="19"/>
        <v>530</v>
      </c>
    </row>
    <row r="41" spans="1:14">
      <c r="A41" s="767">
        <v>43313</v>
      </c>
      <c r="B41" s="800">
        <v>336626.86085799994</v>
      </c>
      <c r="C41" s="799">
        <f t="shared" si="20"/>
        <v>530</v>
      </c>
      <c r="D41" s="802">
        <f t="shared" si="21"/>
        <v>7600</v>
      </c>
      <c r="E41" s="802">
        <f>+B41+SUM($C$6:C41)</f>
        <v>344226.86085799994</v>
      </c>
      <c r="F41" s="778"/>
      <c r="G41" s="782" t="s">
        <v>83</v>
      </c>
      <c r="H41" s="786">
        <v>1.89E-2</v>
      </c>
      <c r="I41" s="781"/>
      <c r="J41" s="799">
        <f t="shared" si="15"/>
        <v>243.04527999999999</v>
      </c>
      <c r="K41" s="799">
        <f t="shared" si="16"/>
        <v>50.801030000000004</v>
      </c>
      <c r="L41" s="799">
        <f t="shared" si="17"/>
        <v>166.01348999999999</v>
      </c>
      <c r="M41" s="799">
        <f t="shared" si="18"/>
        <v>70.140200000000007</v>
      </c>
      <c r="N41" s="799">
        <f t="shared" si="19"/>
        <v>530</v>
      </c>
    </row>
    <row r="42" spans="1:14">
      <c r="A42" s="767">
        <v>43344</v>
      </c>
      <c r="B42" s="800">
        <v>336626.86085799994</v>
      </c>
      <c r="C42" s="799">
        <f t="shared" si="20"/>
        <v>530</v>
      </c>
      <c r="D42" s="802">
        <f t="shared" si="21"/>
        <v>8130</v>
      </c>
      <c r="E42" s="802">
        <f>+B42+SUM($C$6:C42)</f>
        <v>344756.86085799994</v>
      </c>
      <c r="F42" s="778"/>
      <c r="G42" s="782" t="s">
        <v>83</v>
      </c>
      <c r="H42" s="786">
        <v>1.89E-2</v>
      </c>
      <c r="I42" s="781"/>
      <c r="J42" s="799">
        <f t="shared" si="15"/>
        <v>243.04527999999999</v>
      </c>
      <c r="K42" s="799">
        <f t="shared" si="16"/>
        <v>50.801030000000004</v>
      </c>
      <c r="L42" s="799">
        <f t="shared" si="17"/>
        <v>166.01348999999999</v>
      </c>
      <c r="M42" s="799">
        <f t="shared" si="18"/>
        <v>70.140200000000007</v>
      </c>
      <c r="N42" s="799">
        <f t="shared" si="19"/>
        <v>530</v>
      </c>
    </row>
    <row r="43" spans="1:14">
      <c r="A43" s="767">
        <v>43374</v>
      </c>
      <c r="B43" s="800">
        <v>336626.86085799994</v>
      </c>
      <c r="C43" s="799">
        <f t="shared" si="20"/>
        <v>530</v>
      </c>
      <c r="D43" s="802">
        <f t="shared" si="21"/>
        <v>8660</v>
      </c>
      <c r="E43" s="802">
        <f>+B43+SUM($C$6:C43)</f>
        <v>345286.86085799994</v>
      </c>
      <c r="F43" s="778"/>
      <c r="G43" s="782" t="s">
        <v>84</v>
      </c>
      <c r="H43" s="786">
        <v>1.89E-2</v>
      </c>
      <c r="I43" s="781"/>
      <c r="J43" s="799">
        <f t="shared" si="15"/>
        <v>243.04527999999999</v>
      </c>
      <c r="K43" s="799">
        <f t="shared" si="16"/>
        <v>50.801030000000004</v>
      </c>
      <c r="L43" s="799">
        <f t="shared" si="17"/>
        <v>166.01348999999999</v>
      </c>
      <c r="M43" s="799">
        <f t="shared" si="18"/>
        <v>70.140200000000007</v>
      </c>
      <c r="N43" s="799">
        <f t="shared" si="19"/>
        <v>530</v>
      </c>
    </row>
    <row r="44" spans="1:14">
      <c r="A44" s="767">
        <v>43405</v>
      </c>
      <c r="B44" s="800">
        <v>336626.86085799994</v>
      </c>
      <c r="C44" s="799">
        <f t="shared" si="20"/>
        <v>530</v>
      </c>
      <c r="D44" s="802">
        <f t="shared" si="21"/>
        <v>9190</v>
      </c>
      <c r="E44" s="802">
        <f>+B44+SUM($C$6:C44)</f>
        <v>345816.86085799994</v>
      </c>
      <c r="F44" s="778"/>
      <c r="G44" s="782" t="s">
        <v>84</v>
      </c>
      <c r="H44" s="786">
        <v>1.89E-2</v>
      </c>
      <c r="I44" s="781"/>
      <c r="J44" s="799">
        <f t="shared" si="15"/>
        <v>243.04527999999999</v>
      </c>
      <c r="K44" s="799">
        <f t="shared" si="16"/>
        <v>50.801030000000004</v>
      </c>
      <c r="L44" s="799">
        <f t="shared" si="17"/>
        <v>166.01348999999999</v>
      </c>
      <c r="M44" s="799">
        <f t="shared" si="18"/>
        <v>70.140200000000007</v>
      </c>
      <c r="N44" s="799">
        <f t="shared" si="19"/>
        <v>530</v>
      </c>
    </row>
    <row r="45" spans="1:14">
      <c r="A45" s="767">
        <v>43435</v>
      </c>
      <c r="B45" s="818">
        <v>336626.86085799994</v>
      </c>
      <c r="C45" s="799">
        <f t="shared" si="20"/>
        <v>530</v>
      </c>
      <c r="D45" s="802">
        <f t="shared" si="21"/>
        <v>9720</v>
      </c>
      <c r="E45" s="794">
        <f>+B45+SUM($C$6:C45)</f>
        <v>346346.86085799994</v>
      </c>
      <c r="F45" s="778"/>
      <c r="G45" s="782" t="s">
        <v>84</v>
      </c>
      <c r="H45" s="786">
        <v>1.89E-2</v>
      </c>
      <c r="I45" s="781"/>
      <c r="J45" s="799">
        <f t="shared" si="15"/>
        <v>243.04527999999999</v>
      </c>
      <c r="K45" s="799">
        <f t="shared" si="16"/>
        <v>50.801030000000004</v>
      </c>
      <c r="L45" s="799">
        <f t="shared" si="17"/>
        <v>166.01348999999999</v>
      </c>
      <c r="M45" s="799">
        <f t="shared" si="18"/>
        <v>70.140200000000007</v>
      </c>
      <c r="N45" s="799">
        <f t="shared" si="19"/>
        <v>530</v>
      </c>
    </row>
    <row r="47" spans="1:14">
      <c r="J47" s="799">
        <f>SUM(J6:J45)</f>
        <v>4457.3587199999984</v>
      </c>
      <c r="K47" s="799">
        <f t="shared" ref="K47:N47" si="22">SUM(K6:K45)</f>
        <v>931.67171999999994</v>
      </c>
      <c r="L47" s="799">
        <f t="shared" si="22"/>
        <v>3044.6247599999983</v>
      </c>
      <c r="M47" s="799">
        <f t="shared" si="22"/>
        <v>1286.3448000000001</v>
      </c>
      <c r="N47" s="799">
        <f t="shared" si="22"/>
        <v>9720</v>
      </c>
    </row>
  </sheetData>
  <mergeCells count="1">
    <mergeCell ref="G3:H3"/>
  </mergeCells>
  <pageMargins left="0.25" right="0.25"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90"/>
  <sheetViews>
    <sheetView zoomScale="90" zoomScaleNormal="90" workbookViewId="0">
      <selection activeCell="BP127" sqref="BP127"/>
    </sheetView>
  </sheetViews>
  <sheetFormatPr defaultColWidth="9.140625" defaultRowHeight="15" outlineLevelRow="1"/>
  <cols>
    <col min="1" max="1" width="5.85546875" style="12" customWidth="1"/>
    <col min="2" max="2" width="14.7109375" style="12" customWidth="1"/>
    <col min="3" max="3" width="27" style="12" customWidth="1"/>
    <col min="4" max="4" width="68.5703125" style="12" customWidth="1"/>
    <col min="5" max="5" width="35.140625" style="12" customWidth="1"/>
    <col min="6" max="6" width="26.7109375" style="12" customWidth="1"/>
    <col min="7" max="7" width="13.28515625" style="12" customWidth="1"/>
    <col min="8" max="8" width="15.7109375" style="12" customWidth="1"/>
    <col min="9" max="10" width="23" style="637" customWidth="1"/>
    <col min="11" max="11" width="2" style="16" customWidth="1"/>
    <col min="12" max="33" width="10" style="12" bestFit="1" customWidth="1"/>
    <col min="34" max="41" width="9.28515625" style="12" bestFit="1" customWidth="1"/>
    <col min="42" max="42" width="3.85546875" style="12" customWidth="1"/>
    <col min="43" max="43" width="21.42578125" style="12" customWidth="1"/>
    <col min="44" max="45" width="13.85546875" style="12" bestFit="1" customWidth="1"/>
    <col min="46" max="62" width="15" style="12" bestFit="1" customWidth="1"/>
    <col min="63" max="66" width="13.85546875" style="12" bestFit="1" customWidth="1"/>
    <col min="67" max="68" width="10" style="12" bestFit="1" customWidth="1"/>
    <col min="69" max="72" width="9.28515625" style="12" bestFit="1"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406</v>
      </c>
      <c r="E13" s="17"/>
      <c r="F13" s="179"/>
      <c r="G13" s="180"/>
      <c r="H13" s="181"/>
      <c r="K13" s="181"/>
      <c r="L13" s="179"/>
      <c r="M13" s="179"/>
      <c r="N13" s="179"/>
      <c r="O13" s="179"/>
      <c r="P13" s="179"/>
      <c r="Q13" s="182"/>
    </row>
    <row r="14" spans="2:73" ht="30" customHeight="1" outlineLevel="1" thickBot="1">
      <c r="B14" s="92"/>
      <c r="D14" s="612" t="s">
        <v>546</v>
      </c>
      <c r="I14" s="12"/>
      <c r="J14" s="12"/>
      <c r="BU14" s="12"/>
    </row>
    <row r="15" spans="2:73" ht="26.25" customHeight="1" outlineLevel="1">
      <c r="C15" s="92"/>
      <c r="I15" s="12"/>
      <c r="J15" s="12"/>
    </row>
    <row r="16" spans="2:73" ht="23.25" customHeight="1" outlineLevel="1">
      <c r="B16" s="118" t="s">
        <v>500</v>
      </c>
      <c r="C16" s="92"/>
      <c r="D16" s="617" t="s">
        <v>612</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606</v>
      </c>
      <c r="C17" s="92"/>
      <c r="D17" s="613" t="s">
        <v>584</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621</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620</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622</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21" t="s">
        <v>634</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589</v>
      </c>
      <c r="H23" s="10"/>
      <c r="I23" s="10"/>
      <c r="J23" s="10"/>
    </row>
    <row r="24" spans="2:73" s="672" customFormat="1" ht="21" customHeight="1">
      <c r="B24" s="704" t="s">
        <v>593</v>
      </c>
      <c r="C24" s="913" t="s">
        <v>594</v>
      </c>
      <c r="D24" s="913"/>
      <c r="E24" s="913"/>
      <c r="F24" s="913"/>
      <c r="G24" s="913"/>
      <c r="H24" s="680" t="s">
        <v>591</v>
      </c>
      <c r="I24" s="680" t="s">
        <v>590</v>
      </c>
      <c r="J24" s="680" t="s">
        <v>592</v>
      </c>
      <c r="K24" s="671"/>
      <c r="L24" s="672" t="s">
        <v>594</v>
      </c>
      <c r="AQ24" s="672" t="s">
        <v>594</v>
      </c>
      <c r="BU24" s="671"/>
    </row>
    <row r="25" spans="2:73" s="252" customFormat="1" ht="49.5" customHeight="1">
      <c r="B25" s="247" t="s">
        <v>468</v>
      </c>
      <c r="C25" s="247" t="s">
        <v>210</v>
      </c>
      <c r="D25" s="630" t="s">
        <v>469</v>
      </c>
      <c r="E25" s="247" t="s">
        <v>207</v>
      </c>
      <c r="F25" s="247" t="s">
        <v>470</v>
      </c>
      <c r="G25" s="247" t="s">
        <v>471</v>
      </c>
      <c r="H25" s="630" t="s">
        <v>472</v>
      </c>
      <c r="I25" s="638" t="s">
        <v>582</v>
      </c>
      <c r="J25" s="645" t="s">
        <v>583</v>
      </c>
      <c r="K25" s="643"/>
      <c r="L25" s="248" t="s">
        <v>473</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474</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44.25"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t="s">
        <v>684</v>
      </c>
      <c r="C27" s="694" t="s">
        <v>685</v>
      </c>
      <c r="D27" s="694" t="s">
        <v>2</v>
      </c>
      <c r="E27" s="694" t="s">
        <v>686</v>
      </c>
      <c r="F27" s="694" t="s">
        <v>29</v>
      </c>
      <c r="G27" s="694" t="s">
        <v>687</v>
      </c>
      <c r="H27" s="694">
        <v>2011</v>
      </c>
      <c r="I27" s="646" t="s">
        <v>570</v>
      </c>
      <c r="J27" s="646" t="s">
        <v>588</v>
      </c>
      <c r="K27" s="635"/>
      <c r="L27" s="698">
        <v>2.4685531636964675</v>
      </c>
      <c r="M27" s="699">
        <v>2.4685531636964675</v>
      </c>
      <c r="N27" s="699">
        <v>2.4685531636964675</v>
      </c>
      <c r="O27" s="699">
        <v>1.4645690097447053</v>
      </c>
      <c r="P27" s="699">
        <v>0</v>
      </c>
      <c r="Q27" s="699">
        <v>0</v>
      </c>
      <c r="R27" s="699">
        <v>0</v>
      </c>
      <c r="S27" s="699">
        <v>0</v>
      </c>
      <c r="T27" s="699">
        <v>0</v>
      </c>
      <c r="U27" s="699">
        <v>0</v>
      </c>
      <c r="V27" s="699">
        <v>0</v>
      </c>
      <c r="W27" s="699">
        <v>0</v>
      </c>
      <c r="X27" s="699">
        <v>0</v>
      </c>
      <c r="Y27" s="699">
        <v>0</v>
      </c>
      <c r="Z27" s="699">
        <v>0</v>
      </c>
      <c r="AA27" s="699">
        <v>0</v>
      </c>
      <c r="AB27" s="699">
        <v>0</v>
      </c>
      <c r="AC27" s="699">
        <v>0</v>
      </c>
      <c r="AD27" s="699">
        <v>0</v>
      </c>
      <c r="AE27" s="699">
        <v>0</v>
      </c>
      <c r="AF27" s="699">
        <v>0</v>
      </c>
      <c r="AG27" s="699">
        <v>0</v>
      </c>
      <c r="AH27" s="699">
        <v>0</v>
      </c>
      <c r="AI27" s="699">
        <v>0</v>
      </c>
      <c r="AJ27" s="699">
        <v>0</v>
      </c>
      <c r="AK27" s="699">
        <v>0</v>
      </c>
      <c r="AL27" s="699">
        <v>0</v>
      </c>
      <c r="AM27" s="699">
        <v>0</v>
      </c>
      <c r="AN27" s="699">
        <v>0</v>
      </c>
      <c r="AO27" s="700">
        <v>0</v>
      </c>
      <c r="AP27" s="635"/>
      <c r="AQ27" s="705">
        <v>3509.2342854055782</v>
      </c>
      <c r="AR27" s="706">
        <v>3509.2342854055782</v>
      </c>
      <c r="AS27" s="707">
        <v>3509.2342854055782</v>
      </c>
      <c r="AT27" s="706">
        <v>2611.4170178028075</v>
      </c>
      <c r="AU27" s="707">
        <v>0</v>
      </c>
      <c r="AV27" s="706">
        <v>0</v>
      </c>
      <c r="AW27" s="707">
        <v>0</v>
      </c>
      <c r="AX27" s="706">
        <v>0</v>
      </c>
      <c r="AY27" s="707">
        <v>0</v>
      </c>
      <c r="AZ27" s="706">
        <v>0</v>
      </c>
      <c r="BA27" s="707">
        <v>0</v>
      </c>
      <c r="BB27" s="706">
        <v>0</v>
      </c>
      <c r="BC27" s="707">
        <v>0</v>
      </c>
      <c r="BD27" s="706">
        <v>0</v>
      </c>
      <c r="BE27" s="707">
        <v>0</v>
      </c>
      <c r="BF27" s="706">
        <v>0</v>
      </c>
      <c r="BG27" s="707">
        <v>0</v>
      </c>
      <c r="BH27" s="706">
        <v>0</v>
      </c>
      <c r="BI27" s="707">
        <v>0</v>
      </c>
      <c r="BJ27" s="706">
        <v>0</v>
      </c>
      <c r="BK27" s="707">
        <v>0</v>
      </c>
      <c r="BL27" s="706">
        <v>0</v>
      </c>
      <c r="BM27" s="707">
        <v>0</v>
      </c>
      <c r="BN27" s="706">
        <v>0</v>
      </c>
      <c r="BO27" s="707">
        <v>0</v>
      </c>
      <c r="BP27" s="706">
        <v>0</v>
      </c>
      <c r="BQ27" s="707">
        <v>0</v>
      </c>
      <c r="BR27" s="706">
        <v>0</v>
      </c>
      <c r="BS27" s="707">
        <v>0</v>
      </c>
      <c r="BT27" s="708">
        <v>0</v>
      </c>
      <c r="BU27" s="16"/>
    </row>
    <row r="28" spans="2:73" s="17" customFormat="1" ht="15.75">
      <c r="B28" s="694" t="s">
        <v>684</v>
      </c>
      <c r="C28" s="694" t="s">
        <v>685</v>
      </c>
      <c r="D28" s="694" t="s">
        <v>1</v>
      </c>
      <c r="E28" s="694" t="s">
        <v>686</v>
      </c>
      <c r="F28" s="694" t="s">
        <v>29</v>
      </c>
      <c r="G28" s="694" t="s">
        <v>687</v>
      </c>
      <c r="H28" s="694">
        <v>2011</v>
      </c>
      <c r="I28" s="646" t="s">
        <v>570</v>
      </c>
      <c r="J28" s="646" t="s">
        <v>588</v>
      </c>
      <c r="K28" s="635"/>
      <c r="L28" s="698">
        <v>30.836338730172578</v>
      </c>
      <c r="M28" s="699">
        <v>30.836338730172578</v>
      </c>
      <c r="N28" s="699">
        <v>30.836338730172578</v>
      </c>
      <c r="O28" s="699">
        <v>30.495961293816716</v>
      </c>
      <c r="P28" s="699">
        <v>20.189594848855034</v>
      </c>
      <c r="Q28" s="699">
        <v>0</v>
      </c>
      <c r="R28" s="699">
        <v>0</v>
      </c>
      <c r="S28" s="699">
        <v>0</v>
      </c>
      <c r="T28" s="699">
        <v>0</v>
      </c>
      <c r="U28" s="699">
        <v>0</v>
      </c>
      <c r="V28" s="699">
        <v>0</v>
      </c>
      <c r="W28" s="699">
        <v>0</v>
      </c>
      <c r="X28" s="699">
        <v>0</v>
      </c>
      <c r="Y28" s="699">
        <v>0</v>
      </c>
      <c r="Z28" s="699">
        <v>0</v>
      </c>
      <c r="AA28" s="699">
        <v>0</v>
      </c>
      <c r="AB28" s="699">
        <v>0</v>
      </c>
      <c r="AC28" s="699">
        <v>0</v>
      </c>
      <c r="AD28" s="699">
        <v>0</v>
      </c>
      <c r="AE28" s="699">
        <v>0</v>
      </c>
      <c r="AF28" s="699">
        <v>0</v>
      </c>
      <c r="AG28" s="699">
        <v>0</v>
      </c>
      <c r="AH28" s="699">
        <v>0</v>
      </c>
      <c r="AI28" s="699">
        <v>0</v>
      </c>
      <c r="AJ28" s="699">
        <v>0</v>
      </c>
      <c r="AK28" s="699">
        <v>0</v>
      </c>
      <c r="AL28" s="699">
        <v>0</v>
      </c>
      <c r="AM28" s="699">
        <v>0</v>
      </c>
      <c r="AN28" s="699">
        <v>0</v>
      </c>
      <c r="AO28" s="700">
        <v>0</v>
      </c>
      <c r="AP28" s="635"/>
      <c r="AQ28" s="709">
        <v>226453.14720386377</v>
      </c>
      <c r="AR28" s="710">
        <v>226453.14720386377</v>
      </c>
      <c r="AS28" s="711">
        <v>226453.14720386377</v>
      </c>
      <c r="AT28" s="710">
        <v>226148.7631768253</v>
      </c>
      <c r="AU28" s="711">
        <v>153556.71836511002</v>
      </c>
      <c r="AV28" s="710">
        <v>0</v>
      </c>
      <c r="AW28" s="711">
        <v>0</v>
      </c>
      <c r="AX28" s="710">
        <v>0</v>
      </c>
      <c r="AY28" s="711">
        <v>0</v>
      </c>
      <c r="AZ28" s="710">
        <v>0</v>
      </c>
      <c r="BA28" s="711">
        <v>0</v>
      </c>
      <c r="BB28" s="710">
        <v>0</v>
      </c>
      <c r="BC28" s="711">
        <v>0</v>
      </c>
      <c r="BD28" s="710">
        <v>0</v>
      </c>
      <c r="BE28" s="711">
        <v>0</v>
      </c>
      <c r="BF28" s="710">
        <v>0</v>
      </c>
      <c r="BG28" s="711">
        <v>0</v>
      </c>
      <c r="BH28" s="710">
        <v>0</v>
      </c>
      <c r="BI28" s="711">
        <v>0</v>
      </c>
      <c r="BJ28" s="710">
        <v>0</v>
      </c>
      <c r="BK28" s="711">
        <v>0</v>
      </c>
      <c r="BL28" s="710">
        <v>0</v>
      </c>
      <c r="BM28" s="711">
        <v>0</v>
      </c>
      <c r="BN28" s="710">
        <v>0</v>
      </c>
      <c r="BO28" s="711">
        <v>0</v>
      </c>
      <c r="BP28" s="710">
        <v>0</v>
      </c>
      <c r="BQ28" s="711">
        <v>0</v>
      </c>
      <c r="BR28" s="710">
        <v>0</v>
      </c>
      <c r="BS28" s="711">
        <v>0</v>
      </c>
      <c r="BT28" s="712">
        <v>0</v>
      </c>
      <c r="BU28" s="16"/>
    </row>
    <row r="29" spans="2:73" s="17" customFormat="1" ht="16.5" customHeight="1">
      <c r="B29" s="694" t="s">
        <v>684</v>
      </c>
      <c r="C29" s="694" t="s">
        <v>685</v>
      </c>
      <c r="D29" s="694" t="s">
        <v>5</v>
      </c>
      <c r="E29" s="694" t="s">
        <v>686</v>
      </c>
      <c r="F29" s="694" t="s">
        <v>29</v>
      </c>
      <c r="G29" s="694" t="s">
        <v>687</v>
      </c>
      <c r="H29" s="694">
        <v>2011</v>
      </c>
      <c r="I29" s="646" t="s">
        <v>570</v>
      </c>
      <c r="J29" s="646" t="s">
        <v>588</v>
      </c>
      <c r="K29" s="635"/>
      <c r="L29" s="698">
        <v>14.546251589365419</v>
      </c>
      <c r="M29" s="699">
        <v>14.546251589365419</v>
      </c>
      <c r="N29" s="699">
        <v>14.546251589365419</v>
      </c>
      <c r="O29" s="699">
        <v>14.546251589365419</v>
      </c>
      <c r="P29" s="699">
        <v>13.533038218265363</v>
      </c>
      <c r="Q29" s="699">
        <v>12.426145289871437</v>
      </c>
      <c r="R29" s="699">
        <v>10.051294436445739</v>
      </c>
      <c r="S29" s="699">
        <v>9.9858518253658772</v>
      </c>
      <c r="T29" s="699">
        <v>12.10595812485986</v>
      </c>
      <c r="U29" s="699">
        <v>5.7426583798973816</v>
      </c>
      <c r="V29" s="699">
        <v>0.81666077607336063</v>
      </c>
      <c r="W29" s="699">
        <v>0.81632108469896969</v>
      </c>
      <c r="X29" s="699">
        <v>0.81632108469896969</v>
      </c>
      <c r="Y29" s="699">
        <v>0.75769060402592325</v>
      </c>
      <c r="Z29" s="699">
        <v>0.75769060402592325</v>
      </c>
      <c r="AA29" s="699">
        <v>0.63951895753218002</v>
      </c>
      <c r="AB29" s="699">
        <v>0</v>
      </c>
      <c r="AC29" s="699">
        <v>0</v>
      </c>
      <c r="AD29" s="699">
        <v>0</v>
      </c>
      <c r="AE29" s="699">
        <v>0</v>
      </c>
      <c r="AF29" s="699">
        <v>0</v>
      </c>
      <c r="AG29" s="699">
        <v>0</v>
      </c>
      <c r="AH29" s="699">
        <v>0</v>
      </c>
      <c r="AI29" s="699">
        <v>0</v>
      </c>
      <c r="AJ29" s="699">
        <v>0</v>
      </c>
      <c r="AK29" s="699">
        <v>0</v>
      </c>
      <c r="AL29" s="699">
        <v>0</v>
      </c>
      <c r="AM29" s="699">
        <v>0</v>
      </c>
      <c r="AN29" s="699">
        <v>0</v>
      </c>
      <c r="AO29" s="700">
        <v>0</v>
      </c>
      <c r="AP29" s="635"/>
      <c r="AQ29" s="713">
        <v>254227.22478472994</v>
      </c>
      <c r="AR29" s="714">
        <v>254227.22478472994</v>
      </c>
      <c r="AS29" s="715">
        <v>254227.22478472994</v>
      </c>
      <c r="AT29" s="714">
        <v>254227.22478472994</v>
      </c>
      <c r="AU29" s="715">
        <v>232344.96093660541</v>
      </c>
      <c r="AV29" s="714">
        <v>208439.50942796428</v>
      </c>
      <c r="AW29" s="715">
        <v>157150.10242163591</v>
      </c>
      <c r="AX29" s="714">
        <v>156576.82514857632</v>
      </c>
      <c r="AY29" s="715">
        <v>202364.54050534192</v>
      </c>
      <c r="AZ29" s="714">
        <v>64937.01740347586</v>
      </c>
      <c r="BA29" s="715">
        <v>23381.719106809094</v>
      </c>
      <c r="BB29" s="714">
        <v>20582.273587043161</v>
      </c>
      <c r="BC29" s="715">
        <v>20582.273587043161</v>
      </c>
      <c r="BD29" s="714">
        <v>15200.873534241753</v>
      </c>
      <c r="BE29" s="715">
        <v>15200.873534241753</v>
      </c>
      <c r="BF29" s="714">
        <v>13811.624445306272</v>
      </c>
      <c r="BG29" s="715">
        <v>0</v>
      </c>
      <c r="BH29" s="714">
        <v>0</v>
      </c>
      <c r="BI29" s="715">
        <v>0</v>
      </c>
      <c r="BJ29" s="714">
        <v>0</v>
      </c>
      <c r="BK29" s="715">
        <v>0</v>
      </c>
      <c r="BL29" s="714">
        <v>0</v>
      </c>
      <c r="BM29" s="715">
        <v>0</v>
      </c>
      <c r="BN29" s="714">
        <v>0</v>
      </c>
      <c r="BO29" s="715">
        <v>0</v>
      </c>
      <c r="BP29" s="714">
        <v>0</v>
      </c>
      <c r="BQ29" s="715">
        <v>0</v>
      </c>
      <c r="BR29" s="714">
        <v>0</v>
      </c>
      <c r="BS29" s="715">
        <v>0</v>
      </c>
      <c r="BT29" s="716">
        <v>0</v>
      </c>
      <c r="BU29" s="16"/>
    </row>
    <row r="30" spans="2:73" s="17" customFormat="1" ht="15.75">
      <c r="B30" s="694" t="s">
        <v>684</v>
      </c>
      <c r="C30" s="694" t="s">
        <v>685</v>
      </c>
      <c r="D30" s="694" t="s">
        <v>4</v>
      </c>
      <c r="E30" s="694" t="s">
        <v>686</v>
      </c>
      <c r="F30" s="694" t="s">
        <v>29</v>
      </c>
      <c r="G30" s="694" t="s">
        <v>687</v>
      </c>
      <c r="H30" s="694">
        <v>2011</v>
      </c>
      <c r="I30" s="646" t="s">
        <v>570</v>
      </c>
      <c r="J30" s="646" t="s">
        <v>588</v>
      </c>
      <c r="K30" s="635"/>
      <c r="L30" s="698">
        <v>11.551498556320285</v>
      </c>
      <c r="M30" s="699">
        <v>11.551498556320285</v>
      </c>
      <c r="N30" s="699">
        <v>11.551498556320285</v>
      </c>
      <c r="O30" s="699">
        <v>11.551498556320285</v>
      </c>
      <c r="P30" s="699">
        <v>10.844168910582733</v>
      </c>
      <c r="Q30" s="699">
        <v>10.071441067423461</v>
      </c>
      <c r="R30" s="699">
        <v>8.2966773198958386</v>
      </c>
      <c r="S30" s="699">
        <v>8.1951695382861534</v>
      </c>
      <c r="T30" s="699">
        <v>9.6752270271829772</v>
      </c>
      <c r="U30" s="699">
        <v>5.2329736157031812</v>
      </c>
      <c r="V30" s="699">
        <v>0.64710305176189353</v>
      </c>
      <c r="W30" s="699">
        <v>0.64661892227526974</v>
      </c>
      <c r="X30" s="699">
        <v>0.64661892227526974</v>
      </c>
      <c r="Y30" s="699">
        <v>0.61688291229035919</v>
      </c>
      <c r="Z30" s="699">
        <v>0.61688291229035919</v>
      </c>
      <c r="AA30" s="699">
        <v>0.58553199263738809</v>
      </c>
      <c r="AB30" s="699">
        <v>0</v>
      </c>
      <c r="AC30" s="699">
        <v>0</v>
      </c>
      <c r="AD30" s="699">
        <v>0</v>
      </c>
      <c r="AE30" s="699">
        <v>0</v>
      </c>
      <c r="AF30" s="699">
        <v>0</v>
      </c>
      <c r="AG30" s="699">
        <v>0</v>
      </c>
      <c r="AH30" s="699">
        <v>0</v>
      </c>
      <c r="AI30" s="699">
        <v>0</v>
      </c>
      <c r="AJ30" s="699">
        <v>0</v>
      </c>
      <c r="AK30" s="699">
        <v>0</v>
      </c>
      <c r="AL30" s="699">
        <v>0</v>
      </c>
      <c r="AM30" s="699">
        <v>0</v>
      </c>
      <c r="AN30" s="699">
        <v>0</v>
      </c>
      <c r="AO30" s="700">
        <v>0</v>
      </c>
      <c r="AP30" s="635"/>
      <c r="AQ30" s="709">
        <v>191284.50836094515</v>
      </c>
      <c r="AR30" s="710">
        <v>191284.50836094515</v>
      </c>
      <c r="AS30" s="711">
        <v>191284.50836094515</v>
      </c>
      <c r="AT30" s="710">
        <v>191284.50836094515</v>
      </c>
      <c r="AU30" s="711">
        <v>176008.38353165574</v>
      </c>
      <c r="AV30" s="710">
        <v>159319.8606310499</v>
      </c>
      <c r="AW30" s="711">
        <v>120990.47246938226</v>
      </c>
      <c r="AX30" s="710">
        <v>120101.26430248145</v>
      </c>
      <c r="AY30" s="711">
        <v>152065.91203237677</v>
      </c>
      <c r="AZ30" s="710">
        <v>56127.026894398208</v>
      </c>
      <c r="BA30" s="711">
        <v>19733.342321523447</v>
      </c>
      <c r="BB30" s="710">
        <v>15743.561524923931</v>
      </c>
      <c r="BC30" s="711">
        <v>15743.561524923931</v>
      </c>
      <c r="BD30" s="710">
        <v>13014.241146411907</v>
      </c>
      <c r="BE30" s="711">
        <v>13014.241146411907</v>
      </c>
      <c r="BF30" s="710">
        <v>12645.673576631236</v>
      </c>
      <c r="BG30" s="711">
        <v>0</v>
      </c>
      <c r="BH30" s="710">
        <v>0</v>
      </c>
      <c r="BI30" s="711">
        <v>0</v>
      </c>
      <c r="BJ30" s="710">
        <v>0</v>
      </c>
      <c r="BK30" s="711">
        <v>0</v>
      </c>
      <c r="BL30" s="710">
        <v>0</v>
      </c>
      <c r="BM30" s="711">
        <v>0</v>
      </c>
      <c r="BN30" s="710">
        <v>0</v>
      </c>
      <c r="BO30" s="711">
        <v>0</v>
      </c>
      <c r="BP30" s="710">
        <v>0</v>
      </c>
      <c r="BQ30" s="711">
        <v>0</v>
      </c>
      <c r="BR30" s="710">
        <v>0</v>
      </c>
      <c r="BS30" s="711">
        <v>0</v>
      </c>
      <c r="BT30" s="712">
        <v>0</v>
      </c>
      <c r="BU30" s="16"/>
    </row>
    <row r="31" spans="2:73" s="17" customFormat="1" ht="15.75">
      <c r="B31" s="694" t="s">
        <v>684</v>
      </c>
      <c r="C31" s="694" t="s">
        <v>685</v>
      </c>
      <c r="D31" s="694" t="s">
        <v>3</v>
      </c>
      <c r="E31" s="694" t="s">
        <v>686</v>
      </c>
      <c r="F31" s="694" t="s">
        <v>29</v>
      </c>
      <c r="G31" s="694" t="s">
        <v>687</v>
      </c>
      <c r="H31" s="694">
        <v>2011</v>
      </c>
      <c r="I31" s="646" t="s">
        <v>570</v>
      </c>
      <c r="J31" s="646" t="s">
        <v>588</v>
      </c>
      <c r="K31" s="635"/>
      <c r="L31" s="698">
        <v>318.78585706893739</v>
      </c>
      <c r="M31" s="699">
        <v>318.78585706893739</v>
      </c>
      <c r="N31" s="699">
        <v>318.78585706893739</v>
      </c>
      <c r="O31" s="699">
        <v>318.78585706893739</v>
      </c>
      <c r="P31" s="699">
        <v>318.78585706893739</v>
      </c>
      <c r="Q31" s="699">
        <v>318.78585706893739</v>
      </c>
      <c r="R31" s="699">
        <v>318.78585706893739</v>
      </c>
      <c r="S31" s="699">
        <v>318.78585706893739</v>
      </c>
      <c r="T31" s="699">
        <v>318.78585706893739</v>
      </c>
      <c r="U31" s="699">
        <v>318.78585706893739</v>
      </c>
      <c r="V31" s="699">
        <v>318.78585706893739</v>
      </c>
      <c r="W31" s="699">
        <v>318.78585706893739</v>
      </c>
      <c r="X31" s="699">
        <v>318.78585706893739</v>
      </c>
      <c r="Y31" s="699">
        <v>318.78585706893739</v>
      </c>
      <c r="Z31" s="699">
        <v>318.78585706893739</v>
      </c>
      <c r="AA31" s="699">
        <v>318.78585706893739</v>
      </c>
      <c r="AB31" s="699">
        <v>318.78585706893739</v>
      </c>
      <c r="AC31" s="699">
        <v>318.78585706893739</v>
      </c>
      <c r="AD31" s="699">
        <v>254.41138491149141</v>
      </c>
      <c r="AE31" s="699">
        <v>0</v>
      </c>
      <c r="AF31" s="699">
        <v>0</v>
      </c>
      <c r="AG31" s="699">
        <v>0</v>
      </c>
      <c r="AH31" s="699">
        <v>0</v>
      </c>
      <c r="AI31" s="699">
        <v>0</v>
      </c>
      <c r="AJ31" s="699">
        <v>0</v>
      </c>
      <c r="AK31" s="699">
        <v>0</v>
      </c>
      <c r="AL31" s="699">
        <v>0</v>
      </c>
      <c r="AM31" s="699">
        <v>0</v>
      </c>
      <c r="AN31" s="699">
        <v>0</v>
      </c>
      <c r="AO31" s="700">
        <v>0</v>
      </c>
      <c r="AP31" s="635"/>
      <c r="AQ31" s="713">
        <v>580360.59394955821</v>
      </c>
      <c r="AR31" s="714">
        <v>580360.59394955821</v>
      </c>
      <c r="AS31" s="715">
        <v>580360.59394955821</v>
      </c>
      <c r="AT31" s="714">
        <v>580360.59394955821</v>
      </c>
      <c r="AU31" s="715">
        <v>580360.59394955821</v>
      </c>
      <c r="AV31" s="714">
        <v>580360.59394955821</v>
      </c>
      <c r="AW31" s="715">
        <v>580360.59394955821</v>
      </c>
      <c r="AX31" s="714">
        <v>580360.59394955821</v>
      </c>
      <c r="AY31" s="715">
        <v>580360.59394955821</v>
      </c>
      <c r="AZ31" s="714">
        <v>580360.59394955821</v>
      </c>
      <c r="BA31" s="715">
        <v>580360.59394955821</v>
      </c>
      <c r="BB31" s="714">
        <v>580360.59394955821</v>
      </c>
      <c r="BC31" s="715">
        <v>580360.59394955821</v>
      </c>
      <c r="BD31" s="714">
        <v>580360.59394955821</v>
      </c>
      <c r="BE31" s="715">
        <v>580360.59394955821</v>
      </c>
      <c r="BF31" s="714">
        <v>580360.59394955821</v>
      </c>
      <c r="BG31" s="715">
        <v>580360.59394955821</v>
      </c>
      <c r="BH31" s="714">
        <v>580360.59394955821</v>
      </c>
      <c r="BI31" s="715">
        <v>522785.06246113946</v>
      </c>
      <c r="BJ31" s="714">
        <v>0</v>
      </c>
      <c r="BK31" s="715">
        <v>0</v>
      </c>
      <c r="BL31" s="714">
        <v>0</v>
      </c>
      <c r="BM31" s="715">
        <v>0</v>
      </c>
      <c r="BN31" s="714">
        <v>0</v>
      </c>
      <c r="BO31" s="715">
        <v>0</v>
      </c>
      <c r="BP31" s="714">
        <v>0</v>
      </c>
      <c r="BQ31" s="715">
        <v>0</v>
      </c>
      <c r="BR31" s="714">
        <v>0</v>
      </c>
      <c r="BS31" s="715">
        <v>0</v>
      </c>
      <c r="BT31" s="716">
        <v>0</v>
      </c>
      <c r="BU31" s="16"/>
    </row>
    <row r="32" spans="2:73" s="17" customFormat="1" ht="15.75">
      <c r="B32" s="694" t="s">
        <v>684</v>
      </c>
      <c r="C32" s="694" t="s">
        <v>685</v>
      </c>
      <c r="D32" s="694" t="s">
        <v>6</v>
      </c>
      <c r="E32" s="694" t="s">
        <v>686</v>
      </c>
      <c r="F32" s="694" t="s">
        <v>29</v>
      </c>
      <c r="G32" s="694" t="s">
        <v>687</v>
      </c>
      <c r="H32" s="694">
        <v>2011</v>
      </c>
      <c r="I32" s="646" t="s">
        <v>570</v>
      </c>
      <c r="J32" s="646" t="s">
        <v>588</v>
      </c>
      <c r="K32" s="635"/>
      <c r="L32" s="698">
        <v>0</v>
      </c>
      <c r="M32" s="699">
        <v>0</v>
      </c>
      <c r="N32" s="699">
        <v>0</v>
      </c>
      <c r="O32" s="699">
        <v>0</v>
      </c>
      <c r="P32" s="699">
        <v>0</v>
      </c>
      <c r="Q32" s="699">
        <v>0</v>
      </c>
      <c r="R32" s="699">
        <v>0</v>
      </c>
      <c r="S32" s="699">
        <v>0</v>
      </c>
      <c r="T32" s="699">
        <v>0</v>
      </c>
      <c r="U32" s="699">
        <v>0</v>
      </c>
      <c r="V32" s="699">
        <v>0</v>
      </c>
      <c r="W32" s="699">
        <v>0</v>
      </c>
      <c r="X32" s="699">
        <v>0</v>
      </c>
      <c r="Y32" s="699">
        <v>0</v>
      </c>
      <c r="Z32" s="699">
        <v>0</v>
      </c>
      <c r="AA32" s="699">
        <v>0</v>
      </c>
      <c r="AB32" s="699">
        <v>0</v>
      </c>
      <c r="AC32" s="699">
        <v>0</v>
      </c>
      <c r="AD32" s="699">
        <v>0</v>
      </c>
      <c r="AE32" s="699">
        <v>0</v>
      </c>
      <c r="AF32" s="699">
        <v>0</v>
      </c>
      <c r="AG32" s="699">
        <v>0</v>
      </c>
      <c r="AH32" s="699">
        <v>0</v>
      </c>
      <c r="AI32" s="699">
        <v>0</v>
      </c>
      <c r="AJ32" s="699">
        <v>0</v>
      </c>
      <c r="AK32" s="699">
        <v>0</v>
      </c>
      <c r="AL32" s="699">
        <v>0</v>
      </c>
      <c r="AM32" s="699">
        <v>0</v>
      </c>
      <c r="AN32" s="699">
        <v>0</v>
      </c>
      <c r="AO32" s="700">
        <v>0</v>
      </c>
      <c r="AP32" s="635"/>
      <c r="AQ32" s="717">
        <v>0</v>
      </c>
      <c r="AR32" s="718">
        <v>0</v>
      </c>
      <c r="AS32" s="719">
        <v>0</v>
      </c>
      <c r="AT32" s="718">
        <v>0</v>
      </c>
      <c r="AU32" s="719">
        <v>0</v>
      </c>
      <c r="AV32" s="718">
        <v>0</v>
      </c>
      <c r="AW32" s="719">
        <v>0</v>
      </c>
      <c r="AX32" s="718">
        <v>0</v>
      </c>
      <c r="AY32" s="719">
        <v>0</v>
      </c>
      <c r="AZ32" s="718">
        <v>0</v>
      </c>
      <c r="BA32" s="719">
        <v>0</v>
      </c>
      <c r="BB32" s="718">
        <v>0</v>
      </c>
      <c r="BC32" s="719">
        <v>0</v>
      </c>
      <c r="BD32" s="718">
        <v>0</v>
      </c>
      <c r="BE32" s="719">
        <v>0</v>
      </c>
      <c r="BF32" s="718">
        <v>0</v>
      </c>
      <c r="BG32" s="719">
        <v>0</v>
      </c>
      <c r="BH32" s="718">
        <v>0</v>
      </c>
      <c r="BI32" s="719">
        <v>0</v>
      </c>
      <c r="BJ32" s="718">
        <v>0</v>
      </c>
      <c r="BK32" s="719">
        <v>0</v>
      </c>
      <c r="BL32" s="718">
        <v>0</v>
      </c>
      <c r="BM32" s="719">
        <v>0</v>
      </c>
      <c r="BN32" s="718">
        <v>0</v>
      </c>
      <c r="BO32" s="719">
        <v>0</v>
      </c>
      <c r="BP32" s="718">
        <v>0</v>
      </c>
      <c r="BQ32" s="719">
        <v>0</v>
      </c>
      <c r="BR32" s="718">
        <v>0</v>
      </c>
      <c r="BS32" s="719">
        <v>0</v>
      </c>
      <c r="BT32" s="720">
        <v>0</v>
      </c>
      <c r="BU32" s="16"/>
    </row>
    <row r="33" spans="2:73" s="17" customFormat="1" ht="15.75">
      <c r="B33" s="694" t="s">
        <v>684</v>
      </c>
      <c r="C33" s="694" t="s">
        <v>688</v>
      </c>
      <c r="D33" s="694" t="s">
        <v>689</v>
      </c>
      <c r="E33" s="694" t="s">
        <v>686</v>
      </c>
      <c r="F33" s="694" t="s">
        <v>690</v>
      </c>
      <c r="G33" s="694" t="s">
        <v>691</v>
      </c>
      <c r="H33" s="694">
        <v>2011</v>
      </c>
      <c r="I33" s="646" t="s">
        <v>570</v>
      </c>
      <c r="J33" s="646" t="s">
        <v>588</v>
      </c>
      <c r="K33" s="635"/>
      <c r="L33" s="698">
        <v>108.46119999999999</v>
      </c>
      <c r="M33" s="699">
        <v>0</v>
      </c>
      <c r="N33" s="699">
        <v>0</v>
      </c>
      <c r="O33" s="699">
        <v>0</v>
      </c>
      <c r="P33" s="699">
        <v>0</v>
      </c>
      <c r="Q33" s="699">
        <v>0</v>
      </c>
      <c r="R33" s="699">
        <v>0</v>
      </c>
      <c r="S33" s="699">
        <v>0</v>
      </c>
      <c r="T33" s="699">
        <v>0</v>
      </c>
      <c r="U33" s="699">
        <v>0</v>
      </c>
      <c r="V33" s="699">
        <v>0</v>
      </c>
      <c r="W33" s="699">
        <v>0</v>
      </c>
      <c r="X33" s="699">
        <v>0</v>
      </c>
      <c r="Y33" s="699">
        <v>0</v>
      </c>
      <c r="Z33" s="699">
        <v>0</v>
      </c>
      <c r="AA33" s="699">
        <v>0</v>
      </c>
      <c r="AB33" s="699">
        <v>0</v>
      </c>
      <c r="AC33" s="699">
        <v>0</v>
      </c>
      <c r="AD33" s="699">
        <v>0</v>
      </c>
      <c r="AE33" s="699">
        <v>0</v>
      </c>
      <c r="AF33" s="699">
        <v>0</v>
      </c>
      <c r="AG33" s="699">
        <v>0</v>
      </c>
      <c r="AH33" s="699">
        <v>0</v>
      </c>
      <c r="AI33" s="699">
        <v>0</v>
      </c>
      <c r="AJ33" s="699">
        <v>0</v>
      </c>
      <c r="AK33" s="699">
        <v>0</v>
      </c>
      <c r="AL33" s="699">
        <v>0</v>
      </c>
      <c r="AM33" s="699">
        <v>0</v>
      </c>
      <c r="AN33" s="699">
        <v>0</v>
      </c>
      <c r="AO33" s="700">
        <v>0</v>
      </c>
      <c r="AP33" s="635"/>
      <c r="AQ33" s="705">
        <v>4234.6490000000003</v>
      </c>
      <c r="AR33" s="706">
        <v>0</v>
      </c>
      <c r="AS33" s="707">
        <v>0</v>
      </c>
      <c r="AT33" s="706">
        <v>0</v>
      </c>
      <c r="AU33" s="707">
        <v>0</v>
      </c>
      <c r="AV33" s="706">
        <v>0</v>
      </c>
      <c r="AW33" s="707">
        <v>0</v>
      </c>
      <c r="AX33" s="706">
        <v>0</v>
      </c>
      <c r="AY33" s="707">
        <v>0</v>
      </c>
      <c r="AZ33" s="706">
        <v>0</v>
      </c>
      <c r="BA33" s="707">
        <v>0</v>
      </c>
      <c r="BB33" s="706">
        <v>0</v>
      </c>
      <c r="BC33" s="707">
        <v>0</v>
      </c>
      <c r="BD33" s="706">
        <v>0</v>
      </c>
      <c r="BE33" s="707">
        <v>0</v>
      </c>
      <c r="BF33" s="706">
        <v>0</v>
      </c>
      <c r="BG33" s="707">
        <v>0</v>
      </c>
      <c r="BH33" s="706">
        <v>0</v>
      </c>
      <c r="BI33" s="707">
        <v>0</v>
      </c>
      <c r="BJ33" s="706">
        <v>0</v>
      </c>
      <c r="BK33" s="707">
        <v>0</v>
      </c>
      <c r="BL33" s="706">
        <v>0</v>
      </c>
      <c r="BM33" s="707">
        <v>0</v>
      </c>
      <c r="BN33" s="706">
        <v>0</v>
      </c>
      <c r="BO33" s="707">
        <v>0</v>
      </c>
      <c r="BP33" s="706">
        <v>0</v>
      </c>
      <c r="BQ33" s="707">
        <v>0</v>
      </c>
      <c r="BR33" s="706">
        <v>0</v>
      </c>
      <c r="BS33" s="707">
        <v>0</v>
      </c>
      <c r="BT33" s="708">
        <v>0</v>
      </c>
      <c r="BU33" s="16"/>
    </row>
    <row r="34" spans="2:73" s="17" customFormat="1" ht="15.75">
      <c r="B34" s="694" t="s">
        <v>684</v>
      </c>
      <c r="C34" s="694" t="s">
        <v>688</v>
      </c>
      <c r="D34" s="694" t="s">
        <v>21</v>
      </c>
      <c r="E34" s="694" t="s">
        <v>686</v>
      </c>
      <c r="F34" s="694" t="s">
        <v>690</v>
      </c>
      <c r="G34" s="694" t="s">
        <v>687</v>
      </c>
      <c r="H34" s="694">
        <v>2011</v>
      </c>
      <c r="I34" s="646" t="s">
        <v>570</v>
      </c>
      <c r="J34" s="646" t="s">
        <v>588</v>
      </c>
      <c r="K34" s="635"/>
      <c r="L34" s="698">
        <v>21.841422079401013</v>
      </c>
      <c r="M34" s="699">
        <v>21.841422079401013</v>
      </c>
      <c r="N34" s="699">
        <v>20.957718395542777</v>
      </c>
      <c r="O34" s="699">
        <v>18.465604877700063</v>
      </c>
      <c r="P34" s="699">
        <v>18.465604877700063</v>
      </c>
      <c r="Q34" s="699">
        <v>18.230014070024509</v>
      </c>
      <c r="R34" s="699">
        <v>9.6614295891200737</v>
      </c>
      <c r="S34" s="699">
        <v>7.6221133956010698</v>
      </c>
      <c r="T34" s="699">
        <v>7.6221133956010698</v>
      </c>
      <c r="U34" s="699">
        <v>7.6221133956010698</v>
      </c>
      <c r="V34" s="699">
        <v>7.5910051824795941</v>
      </c>
      <c r="W34" s="699">
        <v>7.5910051824795941</v>
      </c>
      <c r="X34" s="699">
        <v>6.2216426242952707</v>
      </c>
      <c r="Y34" s="699">
        <v>6.2216426242952707</v>
      </c>
      <c r="Z34" s="699">
        <v>6.2216426242952707</v>
      </c>
      <c r="AA34" s="699">
        <v>0</v>
      </c>
      <c r="AB34" s="699">
        <v>0</v>
      </c>
      <c r="AC34" s="699">
        <v>0</v>
      </c>
      <c r="AD34" s="699">
        <v>0</v>
      </c>
      <c r="AE34" s="699">
        <v>0</v>
      </c>
      <c r="AF34" s="699">
        <v>0</v>
      </c>
      <c r="AG34" s="699">
        <v>0</v>
      </c>
      <c r="AH34" s="699">
        <v>0</v>
      </c>
      <c r="AI34" s="699">
        <v>0</v>
      </c>
      <c r="AJ34" s="699">
        <v>0</v>
      </c>
      <c r="AK34" s="699">
        <v>0</v>
      </c>
      <c r="AL34" s="699">
        <v>0</v>
      </c>
      <c r="AM34" s="699">
        <v>0</v>
      </c>
      <c r="AN34" s="699">
        <v>0</v>
      </c>
      <c r="AO34" s="700">
        <v>0</v>
      </c>
      <c r="AP34" s="635"/>
      <c r="AQ34" s="709">
        <v>43921.704200372813</v>
      </c>
      <c r="AR34" s="710">
        <v>43921.704200372813</v>
      </c>
      <c r="AS34" s="711">
        <v>41453.416326384882</v>
      </c>
      <c r="AT34" s="710">
        <v>33345.943398082665</v>
      </c>
      <c r="AU34" s="711">
        <v>33345.943398082665</v>
      </c>
      <c r="AV34" s="710">
        <v>32800.301396948395</v>
      </c>
      <c r="AW34" s="711">
        <v>9946.5708344624691</v>
      </c>
      <c r="AX34" s="710">
        <v>8415.786384053401</v>
      </c>
      <c r="AY34" s="711">
        <v>8415.786384053401</v>
      </c>
      <c r="AZ34" s="710">
        <v>8415.786384053401</v>
      </c>
      <c r="BA34" s="711">
        <v>8211.232068680094</v>
      </c>
      <c r="BB34" s="710">
        <v>8211.232068680094</v>
      </c>
      <c r="BC34" s="711">
        <v>4670.1898487056287</v>
      </c>
      <c r="BD34" s="710">
        <v>4670.1898487056287</v>
      </c>
      <c r="BE34" s="711">
        <v>4670.1898487056287</v>
      </c>
      <c r="BF34" s="710">
        <v>0</v>
      </c>
      <c r="BG34" s="711">
        <v>0</v>
      </c>
      <c r="BH34" s="710">
        <v>0</v>
      </c>
      <c r="BI34" s="711">
        <v>0</v>
      </c>
      <c r="BJ34" s="710">
        <v>0</v>
      </c>
      <c r="BK34" s="711">
        <v>0</v>
      </c>
      <c r="BL34" s="710">
        <v>0</v>
      </c>
      <c r="BM34" s="711">
        <v>0</v>
      </c>
      <c r="BN34" s="710">
        <v>0</v>
      </c>
      <c r="BO34" s="711">
        <v>0</v>
      </c>
      <c r="BP34" s="710">
        <v>0</v>
      </c>
      <c r="BQ34" s="711">
        <v>0</v>
      </c>
      <c r="BR34" s="710">
        <v>0</v>
      </c>
      <c r="BS34" s="711">
        <v>0</v>
      </c>
      <c r="BT34" s="712">
        <v>0</v>
      </c>
      <c r="BU34" s="16"/>
    </row>
    <row r="35" spans="2:73" s="17" customFormat="1" ht="15.75">
      <c r="B35" s="694" t="s">
        <v>684</v>
      </c>
      <c r="C35" s="694" t="s">
        <v>688</v>
      </c>
      <c r="D35" s="694" t="s">
        <v>22</v>
      </c>
      <c r="E35" s="694" t="s">
        <v>686</v>
      </c>
      <c r="F35" s="694" t="s">
        <v>690</v>
      </c>
      <c r="G35" s="694" t="s">
        <v>687</v>
      </c>
      <c r="H35" s="694">
        <v>2011</v>
      </c>
      <c r="I35" s="646" t="s">
        <v>570</v>
      </c>
      <c r="J35" s="646" t="s">
        <v>588</v>
      </c>
      <c r="K35" s="635"/>
      <c r="L35" s="698">
        <v>141.81701488021358</v>
      </c>
      <c r="M35" s="699">
        <v>141.81701488021358</v>
      </c>
      <c r="N35" s="699">
        <v>141.81701488021358</v>
      </c>
      <c r="O35" s="699">
        <v>141.81701488021358</v>
      </c>
      <c r="P35" s="699">
        <v>141.81701488021358</v>
      </c>
      <c r="Q35" s="699">
        <v>141.81701488021358</v>
      </c>
      <c r="R35" s="699">
        <v>141.81701488021358</v>
      </c>
      <c r="S35" s="699">
        <v>141.81701488021358</v>
      </c>
      <c r="T35" s="699">
        <v>95.347224244303675</v>
      </c>
      <c r="U35" s="699">
        <v>95.347224244303675</v>
      </c>
      <c r="V35" s="699">
        <v>95.347224244303675</v>
      </c>
      <c r="W35" s="699">
        <v>95.347224244303675</v>
      </c>
      <c r="X35" s="699">
        <v>22.531238688056607</v>
      </c>
      <c r="Y35" s="699">
        <v>22.531238688056607</v>
      </c>
      <c r="Z35" s="699">
        <v>0</v>
      </c>
      <c r="AA35" s="699">
        <v>0</v>
      </c>
      <c r="AB35" s="699">
        <v>0</v>
      </c>
      <c r="AC35" s="699">
        <v>0</v>
      </c>
      <c r="AD35" s="699">
        <v>0</v>
      </c>
      <c r="AE35" s="699">
        <v>0</v>
      </c>
      <c r="AF35" s="699">
        <v>0</v>
      </c>
      <c r="AG35" s="699">
        <v>0</v>
      </c>
      <c r="AH35" s="699">
        <v>0</v>
      </c>
      <c r="AI35" s="699">
        <v>0</v>
      </c>
      <c r="AJ35" s="699">
        <v>0</v>
      </c>
      <c r="AK35" s="699">
        <v>0</v>
      </c>
      <c r="AL35" s="699">
        <v>0</v>
      </c>
      <c r="AM35" s="699">
        <v>0</v>
      </c>
      <c r="AN35" s="699">
        <v>0</v>
      </c>
      <c r="AO35" s="700">
        <v>0</v>
      </c>
      <c r="AP35" s="635"/>
      <c r="AQ35" s="713">
        <v>824817.05016402388</v>
      </c>
      <c r="AR35" s="714">
        <v>824817.05016402388</v>
      </c>
      <c r="AS35" s="715">
        <v>824817.05016402388</v>
      </c>
      <c r="AT35" s="714">
        <v>824817.05016402388</v>
      </c>
      <c r="AU35" s="715">
        <v>824817.05016402388</v>
      </c>
      <c r="AV35" s="714">
        <v>824817.05016402388</v>
      </c>
      <c r="AW35" s="715">
        <v>824817.05016402388</v>
      </c>
      <c r="AX35" s="714">
        <v>824817.05016402388</v>
      </c>
      <c r="AY35" s="715">
        <v>623935.25024938688</v>
      </c>
      <c r="AZ35" s="714">
        <v>623935.25024938688</v>
      </c>
      <c r="BA35" s="715">
        <v>623935.25024938688</v>
      </c>
      <c r="BB35" s="714">
        <v>623935.25024938688</v>
      </c>
      <c r="BC35" s="715">
        <v>135939.72722049447</v>
      </c>
      <c r="BD35" s="714">
        <v>135939.72722049447</v>
      </c>
      <c r="BE35" s="715">
        <v>0</v>
      </c>
      <c r="BF35" s="714">
        <v>0</v>
      </c>
      <c r="BG35" s="715">
        <v>0</v>
      </c>
      <c r="BH35" s="714">
        <v>0</v>
      </c>
      <c r="BI35" s="715">
        <v>0</v>
      </c>
      <c r="BJ35" s="714">
        <v>0</v>
      </c>
      <c r="BK35" s="715">
        <v>0</v>
      </c>
      <c r="BL35" s="714">
        <v>0</v>
      </c>
      <c r="BM35" s="715">
        <v>0</v>
      </c>
      <c r="BN35" s="714">
        <v>0</v>
      </c>
      <c r="BO35" s="715">
        <v>0</v>
      </c>
      <c r="BP35" s="714">
        <v>0</v>
      </c>
      <c r="BQ35" s="715">
        <v>0</v>
      </c>
      <c r="BR35" s="714">
        <v>0</v>
      </c>
      <c r="BS35" s="715">
        <v>0</v>
      </c>
      <c r="BT35" s="716">
        <v>0</v>
      </c>
      <c r="BU35" s="16"/>
    </row>
    <row r="36" spans="2:73" s="17" customFormat="1" ht="15.75">
      <c r="B36" s="694" t="s">
        <v>684</v>
      </c>
      <c r="C36" s="694" t="s">
        <v>692</v>
      </c>
      <c r="D36" s="694" t="s">
        <v>9</v>
      </c>
      <c r="E36" s="694" t="s">
        <v>686</v>
      </c>
      <c r="F36" s="694" t="s">
        <v>692</v>
      </c>
      <c r="G36" s="694" t="s">
        <v>691</v>
      </c>
      <c r="H36" s="694">
        <v>2011</v>
      </c>
      <c r="I36" s="646" t="s">
        <v>570</v>
      </c>
      <c r="J36" s="646" t="s">
        <v>588</v>
      </c>
      <c r="K36" s="635"/>
      <c r="L36" s="698">
        <v>236.81559999999999</v>
      </c>
      <c r="M36" s="699">
        <v>0</v>
      </c>
      <c r="N36" s="699">
        <v>0</v>
      </c>
      <c r="O36" s="699">
        <v>0</v>
      </c>
      <c r="P36" s="699">
        <v>0</v>
      </c>
      <c r="Q36" s="699">
        <v>0</v>
      </c>
      <c r="R36" s="699">
        <v>0</v>
      </c>
      <c r="S36" s="699">
        <v>0</v>
      </c>
      <c r="T36" s="699">
        <v>0</v>
      </c>
      <c r="U36" s="699">
        <v>0</v>
      </c>
      <c r="V36" s="699">
        <v>0</v>
      </c>
      <c r="W36" s="699">
        <v>0</v>
      </c>
      <c r="X36" s="699">
        <v>0</v>
      </c>
      <c r="Y36" s="699">
        <v>0</v>
      </c>
      <c r="Z36" s="699">
        <v>0</v>
      </c>
      <c r="AA36" s="699">
        <v>0</v>
      </c>
      <c r="AB36" s="699">
        <v>0</v>
      </c>
      <c r="AC36" s="699">
        <v>0</v>
      </c>
      <c r="AD36" s="699">
        <v>0</v>
      </c>
      <c r="AE36" s="699">
        <v>0</v>
      </c>
      <c r="AF36" s="699">
        <v>0</v>
      </c>
      <c r="AG36" s="699">
        <v>0</v>
      </c>
      <c r="AH36" s="699">
        <v>0</v>
      </c>
      <c r="AI36" s="699">
        <v>0</v>
      </c>
      <c r="AJ36" s="699">
        <v>0</v>
      </c>
      <c r="AK36" s="699">
        <v>0</v>
      </c>
      <c r="AL36" s="699">
        <v>0</v>
      </c>
      <c r="AM36" s="699">
        <v>0</v>
      </c>
      <c r="AN36" s="699">
        <v>0</v>
      </c>
      <c r="AO36" s="700">
        <v>0</v>
      </c>
      <c r="AP36" s="635"/>
      <c r="AQ36" s="713">
        <v>13900.82</v>
      </c>
      <c r="AR36" s="714">
        <v>0</v>
      </c>
      <c r="AS36" s="715">
        <v>0</v>
      </c>
      <c r="AT36" s="714">
        <v>0</v>
      </c>
      <c r="AU36" s="715">
        <v>0</v>
      </c>
      <c r="AV36" s="714">
        <v>0</v>
      </c>
      <c r="AW36" s="715">
        <v>0</v>
      </c>
      <c r="AX36" s="714">
        <v>0</v>
      </c>
      <c r="AY36" s="715">
        <v>0</v>
      </c>
      <c r="AZ36" s="714">
        <v>0</v>
      </c>
      <c r="BA36" s="715">
        <v>0</v>
      </c>
      <c r="BB36" s="714">
        <v>0</v>
      </c>
      <c r="BC36" s="715">
        <v>0</v>
      </c>
      <c r="BD36" s="714">
        <v>0</v>
      </c>
      <c r="BE36" s="715">
        <v>0</v>
      </c>
      <c r="BF36" s="714">
        <v>0</v>
      </c>
      <c r="BG36" s="715">
        <v>0</v>
      </c>
      <c r="BH36" s="714">
        <v>0</v>
      </c>
      <c r="BI36" s="715">
        <v>0</v>
      </c>
      <c r="BJ36" s="714">
        <v>0</v>
      </c>
      <c r="BK36" s="715">
        <v>0</v>
      </c>
      <c r="BL36" s="714">
        <v>0</v>
      </c>
      <c r="BM36" s="715">
        <v>0</v>
      </c>
      <c r="BN36" s="714">
        <v>0</v>
      </c>
      <c r="BO36" s="715">
        <v>0</v>
      </c>
      <c r="BP36" s="714">
        <v>0</v>
      </c>
      <c r="BQ36" s="715">
        <v>0</v>
      </c>
      <c r="BR36" s="714">
        <v>0</v>
      </c>
      <c r="BS36" s="715">
        <v>0</v>
      </c>
      <c r="BT36" s="716">
        <v>0</v>
      </c>
      <c r="BU36" s="16"/>
    </row>
    <row r="37" spans="2:73" s="17" customFormat="1" ht="15.75">
      <c r="B37" s="694" t="s">
        <v>684</v>
      </c>
      <c r="C37" s="694" t="s">
        <v>692</v>
      </c>
      <c r="D37" s="694" t="s">
        <v>22</v>
      </c>
      <c r="E37" s="694" t="s">
        <v>686</v>
      </c>
      <c r="F37" s="694" t="s">
        <v>692</v>
      </c>
      <c r="G37" s="694" t="s">
        <v>687</v>
      </c>
      <c r="H37" s="694">
        <v>2011</v>
      </c>
      <c r="I37" s="646" t="s">
        <v>570</v>
      </c>
      <c r="J37" s="646" t="s">
        <v>588</v>
      </c>
      <c r="K37" s="635"/>
      <c r="L37" s="698">
        <v>58.592049347927158</v>
      </c>
      <c r="M37" s="699">
        <v>58.592049347927158</v>
      </c>
      <c r="N37" s="699">
        <v>58.592049347927158</v>
      </c>
      <c r="O37" s="699">
        <v>58.592049347927158</v>
      </c>
      <c r="P37" s="699">
        <v>58.592049347927158</v>
      </c>
      <c r="Q37" s="699">
        <v>58.592049347927158</v>
      </c>
      <c r="R37" s="699">
        <v>58.592049347927158</v>
      </c>
      <c r="S37" s="699">
        <v>58.592049347927158</v>
      </c>
      <c r="T37" s="699">
        <v>58.592049347927158</v>
      </c>
      <c r="U37" s="699">
        <v>58.592049347927158</v>
      </c>
      <c r="V37" s="699">
        <v>58.592049347927158</v>
      </c>
      <c r="W37" s="699">
        <v>58.592049347927158</v>
      </c>
      <c r="X37" s="699">
        <v>0</v>
      </c>
      <c r="Y37" s="699">
        <v>0</v>
      </c>
      <c r="Z37" s="699">
        <v>0</v>
      </c>
      <c r="AA37" s="699">
        <v>0</v>
      </c>
      <c r="AB37" s="699">
        <v>0</v>
      </c>
      <c r="AC37" s="699">
        <v>0</v>
      </c>
      <c r="AD37" s="699">
        <v>0</v>
      </c>
      <c r="AE37" s="699">
        <v>0</v>
      </c>
      <c r="AF37" s="699">
        <v>0</v>
      </c>
      <c r="AG37" s="699">
        <v>0</v>
      </c>
      <c r="AH37" s="699">
        <v>0</v>
      </c>
      <c r="AI37" s="699">
        <v>0</v>
      </c>
      <c r="AJ37" s="699">
        <v>0</v>
      </c>
      <c r="AK37" s="699">
        <v>0</v>
      </c>
      <c r="AL37" s="699">
        <v>0</v>
      </c>
      <c r="AM37" s="699">
        <v>0</v>
      </c>
      <c r="AN37" s="699">
        <v>0</v>
      </c>
      <c r="AO37" s="700">
        <v>0</v>
      </c>
      <c r="AP37" s="635"/>
      <c r="AQ37" s="709">
        <v>364107.88337864738</v>
      </c>
      <c r="AR37" s="710">
        <v>364107.88337864738</v>
      </c>
      <c r="AS37" s="711">
        <v>364107.88337864738</v>
      </c>
      <c r="AT37" s="710">
        <v>364107.88337864738</v>
      </c>
      <c r="AU37" s="711">
        <v>364107.88337864738</v>
      </c>
      <c r="AV37" s="710">
        <v>364107.88337864738</v>
      </c>
      <c r="AW37" s="711">
        <v>364107.88337864738</v>
      </c>
      <c r="AX37" s="710">
        <v>364107.88337864738</v>
      </c>
      <c r="AY37" s="711">
        <v>364107.88337864738</v>
      </c>
      <c r="AZ37" s="710">
        <v>364107.88337864738</v>
      </c>
      <c r="BA37" s="711">
        <v>364107.88337864738</v>
      </c>
      <c r="BB37" s="710">
        <v>364107.88337864738</v>
      </c>
      <c r="BC37" s="711">
        <v>0</v>
      </c>
      <c r="BD37" s="710">
        <v>0</v>
      </c>
      <c r="BE37" s="711">
        <v>0</v>
      </c>
      <c r="BF37" s="710">
        <v>0</v>
      </c>
      <c r="BG37" s="711">
        <v>0</v>
      </c>
      <c r="BH37" s="710">
        <v>0</v>
      </c>
      <c r="BI37" s="711">
        <v>0</v>
      </c>
      <c r="BJ37" s="710">
        <v>0</v>
      </c>
      <c r="BK37" s="711">
        <v>0</v>
      </c>
      <c r="BL37" s="710">
        <v>0</v>
      </c>
      <c r="BM37" s="711">
        <v>0</v>
      </c>
      <c r="BN37" s="710">
        <v>0</v>
      </c>
      <c r="BO37" s="711">
        <v>0</v>
      </c>
      <c r="BP37" s="710">
        <v>0</v>
      </c>
      <c r="BQ37" s="711">
        <v>0</v>
      </c>
      <c r="BR37" s="710">
        <v>0</v>
      </c>
      <c r="BS37" s="711">
        <v>0</v>
      </c>
      <c r="BT37" s="712">
        <v>0</v>
      </c>
      <c r="BU37" s="16"/>
    </row>
    <row r="38" spans="2:73" s="17" customFormat="1" ht="15.75">
      <c r="B38" s="694" t="s">
        <v>684</v>
      </c>
      <c r="C38" s="694" t="s">
        <v>693</v>
      </c>
      <c r="D38" s="694" t="s">
        <v>16</v>
      </c>
      <c r="E38" s="694" t="s">
        <v>686</v>
      </c>
      <c r="F38" s="694" t="s">
        <v>690</v>
      </c>
      <c r="G38" s="694" t="s">
        <v>687</v>
      </c>
      <c r="H38" s="694">
        <v>2011</v>
      </c>
      <c r="I38" s="646" t="s">
        <v>570</v>
      </c>
      <c r="J38" s="646" t="s">
        <v>588</v>
      </c>
      <c r="K38" s="635"/>
      <c r="L38" s="698">
        <v>90.079109120000012</v>
      </c>
      <c r="M38" s="699">
        <v>90.079109120000012</v>
      </c>
      <c r="N38" s="699">
        <v>90.079109120000012</v>
      </c>
      <c r="O38" s="699">
        <v>90.079109120000012</v>
      </c>
      <c r="P38" s="699">
        <v>90.079109120000012</v>
      </c>
      <c r="Q38" s="699">
        <v>90.079109120000012</v>
      </c>
      <c r="R38" s="699">
        <v>90.079109120000012</v>
      </c>
      <c r="S38" s="699">
        <v>90.079109120000012</v>
      </c>
      <c r="T38" s="699">
        <v>90.079109120000012</v>
      </c>
      <c r="U38" s="699">
        <v>90.079109120000012</v>
      </c>
      <c r="V38" s="699">
        <v>90.079109120000012</v>
      </c>
      <c r="W38" s="699">
        <v>90.079109120000012</v>
      </c>
      <c r="X38" s="699">
        <v>90.079109120000012</v>
      </c>
      <c r="Y38" s="699">
        <v>0</v>
      </c>
      <c r="Z38" s="699">
        <v>0</v>
      </c>
      <c r="AA38" s="699">
        <v>0</v>
      </c>
      <c r="AB38" s="699">
        <v>0</v>
      </c>
      <c r="AC38" s="699">
        <v>0</v>
      </c>
      <c r="AD38" s="699">
        <v>0</v>
      </c>
      <c r="AE38" s="699">
        <v>0</v>
      </c>
      <c r="AF38" s="699">
        <v>0</v>
      </c>
      <c r="AG38" s="699">
        <v>0</v>
      </c>
      <c r="AH38" s="699">
        <v>0</v>
      </c>
      <c r="AI38" s="699">
        <v>0</v>
      </c>
      <c r="AJ38" s="699">
        <v>0</v>
      </c>
      <c r="AK38" s="699">
        <v>0</v>
      </c>
      <c r="AL38" s="699">
        <v>0</v>
      </c>
      <c r="AM38" s="699">
        <v>0</v>
      </c>
      <c r="AN38" s="699">
        <v>0</v>
      </c>
      <c r="AO38" s="700">
        <v>0</v>
      </c>
      <c r="AP38" s="635"/>
      <c r="AQ38" s="713">
        <v>499572.19991078402</v>
      </c>
      <c r="AR38" s="714">
        <v>499572.19991078402</v>
      </c>
      <c r="AS38" s="715">
        <v>499572.19991078402</v>
      </c>
      <c r="AT38" s="714">
        <v>499572.19991078402</v>
      </c>
      <c r="AU38" s="715">
        <v>499572.19991078402</v>
      </c>
      <c r="AV38" s="714">
        <v>499572.19991078402</v>
      </c>
      <c r="AW38" s="715">
        <v>499572.19991078402</v>
      </c>
      <c r="AX38" s="714">
        <v>499572.19991078402</v>
      </c>
      <c r="AY38" s="715">
        <v>499572.19991078402</v>
      </c>
      <c r="AZ38" s="714">
        <v>499572.19991078402</v>
      </c>
      <c r="BA38" s="715">
        <v>499572.19991078402</v>
      </c>
      <c r="BB38" s="714">
        <v>499572.19991078402</v>
      </c>
      <c r="BC38" s="715">
        <v>499572.19991078402</v>
      </c>
      <c r="BD38" s="714">
        <v>0</v>
      </c>
      <c r="BE38" s="715">
        <v>0</v>
      </c>
      <c r="BF38" s="714">
        <v>0</v>
      </c>
      <c r="BG38" s="715">
        <v>0</v>
      </c>
      <c r="BH38" s="714">
        <v>0</v>
      </c>
      <c r="BI38" s="715">
        <v>0</v>
      </c>
      <c r="BJ38" s="714">
        <v>0</v>
      </c>
      <c r="BK38" s="715">
        <v>0</v>
      </c>
      <c r="BL38" s="714">
        <v>0</v>
      </c>
      <c r="BM38" s="715">
        <v>0</v>
      </c>
      <c r="BN38" s="714">
        <v>0</v>
      </c>
      <c r="BO38" s="715">
        <v>0</v>
      </c>
      <c r="BP38" s="714">
        <v>0</v>
      </c>
      <c r="BQ38" s="715">
        <v>0</v>
      </c>
      <c r="BR38" s="714">
        <v>0</v>
      </c>
      <c r="BS38" s="715">
        <v>0</v>
      </c>
      <c r="BT38" s="716">
        <v>0</v>
      </c>
      <c r="BU38" s="16"/>
    </row>
    <row r="39" spans="2:73" s="17" customFormat="1" ht="15.75">
      <c r="B39" s="694" t="s">
        <v>684</v>
      </c>
      <c r="C39" s="694" t="s">
        <v>693</v>
      </c>
      <c r="D39" s="694" t="s">
        <v>17</v>
      </c>
      <c r="E39" s="694" t="s">
        <v>686</v>
      </c>
      <c r="F39" s="694" t="s">
        <v>690</v>
      </c>
      <c r="G39" s="694" t="s">
        <v>687</v>
      </c>
      <c r="H39" s="694">
        <v>2011</v>
      </c>
      <c r="I39" s="646" t="s">
        <v>570</v>
      </c>
      <c r="J39" s="646" t="s">
        <v>588</v>
      </c>
      <c r="K39" s="635"/>
      <c r="L39" s="698">
        <v>7.5390446574485956</v>
      </c>
      <c r="M39" s="699">
        <v>7.5390446574485956</v>
      </c>
      <c r="N39" s="699">
        <v>7.5390446574485956</v>
      </c>
      <c r="O39" s="699">
        <v>7.5390446574485956</v>
      </c>
      <c r="P39" s="699">
        <v>7.5390446574485956</v>
      </c>
      <c r="Q39" s="699">
        <v>7.5390446574485956</v>
      </c>
      <c r="R39" s="699">
        <v>7.5390446574485956</v>
      </c>
      <c r="S39" s="699">
        <v>7.5390446574485956</v>
      </c>
      <c r="T39" s="699">
        <v>7.5390446574485956</v>
      </c>
      <c r="U39" s="699">
        <v>7.5390446574485956</v>
      </c>
      <c r="V39" s="699">
        <v>7.5390446574485956</v>
      </c>
      <c r="W39" s="699">
        <v>7.5390446574485956</v>
      </c>
      <c r="X39" s="699">
        <v>7.5390446574485956</v>
      </c>
      <c r="Y39" s="699">
        <v>7.5390446574485956</v>
      </c>
      <c r="Z39" s="699">
        <v>7.5390446574485956</v>
      </c>
      <c r="AA39" s="699">
        <v>0.41404465744859509</v>
      </c>
      <c r="AB39" s="699">
        <v>0.41404465744859509</v>
      </c>
      <c r="AC39" s="699">
        <v>0.41404465744859509</v>
      </c>
      <c r="AD39" s="699">
        <v>0.41404465744859509</v>
      </c>
      <c r="AE39" s="699">
        <v>0.41404465744859509</v>
      </c>
      <c r="AF39" s="699">
        <v>0.41404465744859509</v>
      </c>
      <c r="AG39" s="699">
        <v>0.41404465744859509</v>
      </c>
      <c r="AH39" s="699">
        <v>0.41404465744859509</v>
      </c>
      <c r="AI39" s="699">
        <v>0.41404465744859509</v>
      </c>
      <c r="AJ39" s="699">
        <v>0.41404465744859509</v>
      </c>
      <c r="AK39" s="699">
        <v>0.41404465744859509</v>
      </c>
      <c r="AL39" s="699">
        <v>0</v>
      </c>
      <c r="AM39" s="699">
        <v>0</v>
      </c>
      <c r="AN39" s="699">
        <v>0</v>
      </c>
      <c r="AO39" s="700">
        <v>0</v>
      </c>
      <c r="AP39" s="635"/>
      <c r="AQ39" s="709">
        <v>38720.533360655987</v>
      </c>
      <c r="AR39" s="710">
        <v>38720.533360655987</v>
      </c>
      <c r="AS39" s="711">
        <v>38720.533360655987</v>
      </c>
      <c r="AT39" s="710">
        <v>38720.533360655987</v>
      </c>
      <c r="AU39" s="711">
        <v>38720.533360655987</v>
      </c>
      <c r="AV39" s="710">
        <v>38720.533360655987</v>
      </c>
      <c r="AW39" s="711">
        <v>38720.533360655987</v>
      </c>
      <c r="AX39" s="710">
        <v>38720.533360655987</v>
      </c>
      <c r="AY39" s="711">
        <v>38720.533360655987</v>
      </c>
      <c r="AZ39" s="710">
        <v>38720.533360655987</v>
      </c>
      <c r="BA39" s="711">
        <v>38720.533360655987</v>
      </c>
      <c r="BB39" s="710">
        <v>38720.533360655987</v>
      </c>
      <c r="BC39" s="711">
        <v>38720.533360655987</v>
      </c>
      <c r="BD39" s="710">
        <v>38720.533360655987</v>
      </c>
      <c r="BE39" s="711">
        <v>38720.533360655987</v>
      </c>
      <c r="BF39" s="710">
        <v>2126.5333606559843</v>
      </c>
      <c r="BG39" s="711">
        <v>2126.5333606559843</v>
      </c>
      <c r="BH39" s="710">
        <v>2126.5333606559843</v>
      </c>
      <c r="BI39" s="711">
        <v>2126.5333606559843</v>
      </c>
      <c r="BJ39" s="710">
        <v>2126.5333606559843</v>
      </c>
      <c r="BK39" s="711">
        <v>2126.5333606559843</v>
      </c>
      <c r="BL39" s="710">
        <v>2126.5333606559843</v>
      </c>
      <c r="BM39" s="711">
        <v>2126.5333606559843</v>
      </c>
      <c r="BN39" s="710">
        <v>2126.5333606559843</v>
      </c>
      <c r="BO39" s="711">
        <v>2126.5333606559843</v>
      </c>
      <c r="BP39" s="710">
        <v>2126.5333606559843</v>
      </c>
      <c r="BQ39" s="711">
        <v>0</v>
      </c>
      <c r="BR39" s="710">
        <v>0</v>
      </c>
      <c r="BS39" s="711">
        <v>0</v>
      </c>
      <c r="BT39" s="712">
        <v>0</v>
      </c>
      <c r="BU39" s="16"/>
    </row>
    <row r="40" spans="2:73" s="762" customFormat="1" ht="15.75">
      <c r="B40" s="694" t="s">
        <v>684</v>
      </c>
      <c r="C40" s="694" t="s">
        <v>688</v>
      </c>
      <c r="D40" s="694" t="s">
        <v>21</v>
      </c>
      <c r="E40" s="694" t="s">
        <v>686</v>
      </c>
      <c r="F40" s="694" t="s">
        <v>694</v>
      </c>
      <c r="G40" s="694" t="s">
        <v>687</v>
      </c>
      <c r="H40" s="694">
        <v>2012</v>
      </c>
      <c r="I40" s="646" t="s">
        <v>571</v>
      </c>
      <c r="J40" s="646" t="s">
        <v>588</v>
      </c>
      <c r="K40" s="760"/>
      <c r="L40" s="698">
        <v>0</v>
      </c>
      <c r="M40" s="699">
        <v>11.645960284073967</v>
      </c>
      <c r="N40" s="699">
        <v>11.645960284073967</v>
      </c>
      <c r="O40" s="699">
        <v>11.514110791283823</v>
      </c>
      <c r="P40" s="699">
        <v>8.8868047965333492</v>
      </c>
      <c r="Q40" s="699">
        <v>8.8868047965333492</v>
      </c>
      <c r="R40" s="699">
        <v>5.8252997992152231</v>
      </c>
      <c r="S40" s="699">
        <v>5.8252997992152231</v>
      </c>
      <c r="T40" s="699">
        <v>5.8252997992152231</v>
      </c>
      <c r="U40" s="699">
        <v>5.8252997992152231</v>
      </c>
      <c r="V40" s="699">
        <v>5.8252997992152231</v>
      </c>
      <c r="W40" s="699">
        <v>5.6643987232679303</v>
      </c>
      <c r="X40" s="699">
        <v>5.6643987232679303</v>
      </c>
      <c r="Y40" s="699">
        <v>0</v>
      </c>
      <c r="Z40" s="699">
        <v>0</v>
      </c>
      <c r="AA40" s="699">
        <v>0</v>
      </c>
      <c r="AB40" s="699">
        <v>0</v>
      </c>
      <c r="AC40" s="699">
        <v>0</v>
      </c>
      <c r="AD40" s="699">
        <v>0</v>
      </c>
      <c r="AE40" s="699">
        <v>0</v>
      </c>
      <c r="AF40" s="699">
        <v>0</v>
      </c>
      <c r="AG40" s="699">
        <v>0</v>
      </c>
      <c r="AH40" s="699">
        <v>0</v>
      </c>
      <c r="AI40" s="699">
        <v>0</v>
      </c>
      <c r="AJ40" s="699">
        <v>0</v>
      </c>
      <c r="AK40" s="699">
        <v>0</v>
      </c>
      <c r="AL40" s="699">
        <v>0</v>
      </c>
      <c r="AM40" s="699">
        <v>0</v>
      </c>
      <c r="AN40" s="699">
        <v>0</v>
      </c>
      <c r="AO40" s="700">
        <v>0</v>
      </c>
      <c r="AP40" s="760"/>
      <c r="AQ40" s="698">
        <v>0</v>
      </c>
      <c r="AR40" s="699">
        <v>46962.251441504202</v>
      </c>
      <c r="AS40" s="699">
        <v>46962.25144150421</v>
      </c>
      <c r="AT40" s="699">
        <v>46414.245595325643</v>
      </c>
      <c r="AU40" s="699">
        <v>34154.156065743497</v>
      </c>
      <c r="AV40" s="699">
        <v>34154.156065743497</v>
      </c>
      <c r="AW40" s="699">
        <v>22190.704966213478</v>
      </c>
      <c r="AX40" s="699">
        <v>22190.704966213478</v>
      </c>
      <c r="AY40" s="699">
        <v>22190.704966213478</v>
      </c>
      <c r="AZ40" s="699">
        <v>22190.704966213478</v>
      </c>
      <c r="BA40" s="699">
        <v>22190.704966213478</v>
      </c>
      <c r="BB40" s="699">
        <v>20616.322978039425</v>
      </c>
      <c r="BC40" s="699">
        <v>20616.322978039425</v>
      </c>
      <c r="BD40" s="699">
        <v>0</v>
      </c>
      <c r="BE40" s="699">
        <v>0</v>
      </c>
      <c r="BF40" s="699">
        <v>0</v>
      </c>
      <c r="BG40" s="699">
        <v>0</v>
      </c>
      <c r="BH40" s="699">
        <v>0</v>
      </c>
      <c r="BI40" s="699">
        <v>0</v>
      </c>
      <c r="BJ40" s="699">
        <v>0</v>
      </c>
      <c r="BK40" s="699">
        <v>0</v>
      </c>
      <c r="BL40" s="699">
        <v>0</v>
      </c>
      <c r="BM40" s="699">
        <v>0</v>
      </c>
      <c r="BN40" s="699">
        <v>0</v>
      </c>
      <c r="BO40" s="699">
        <v>0</v>
      </c>
      <c r="BP40" s="699">
        <v>0</v>
      </c>
      <c r="BQ40" s="699">
        <v>0</v>
      </c>
      <c r="BR40" s="699">
        <v>0</v>
      </c>
      <c r="BS40" s="699">
        <v>0</v>
      </c>
      <c r="BT40" s="700">
        <v>0</v>
      </c>
      <c r="BU40" s="761"/>
    </row>
    <row r="41" spans="2:73" s="17" customFormat="1" ht="15.75">
      <c r="B41" s="694" t="s">
        <v>684</v>
      </c>
      <c r="C41" s="694" t="s">
        <v>688</v>
      </c>
      <c r="D41" s="694" t="s">
        <v>22</v>
      </c>
      <c r="E41" s="694" t="s">
        <v>686</v>
      </c>
      <c r="F41" s="694" t="s">
        <v>694</v>
      </c>
      <c r="G41" s="694" t="s">
        <v>687</v>
      </c>
      <c r="H41" s="694">
        <v>2012</v>
      </c>
      <c r="I41" s="646" t="s">
        <v>571</v>
      </c>
      <c r="J41" s="646" t="s">
        <v>588</v>
      </c>
      <c r="K41" s="635"/>
      <c r="L41" s="698">
        <v>0</v>
      </c>
      <c r="M41" s="699">
        <v>244.56941513054352</v>
      </c>
      <c r="N41" s="699">
        <v>244.56941513054352</v>
      </c>
      <c r="O41" s="699">
        <v>244.56941513054352</v>
      </c>
      <c r="P41" s="699">
        <v>240.58630595899803</v>
      </c>
      <c r="Q41" s="699">
        <v>240.58630595899803</v>
      </c>
      <c r="R41" s="699">
        <v>238.46704616845579</v>
      </c>
      <c r="S41" s="699">
        <v>235.2678240406718</v>
      </c>
      <c r="T41" s="699">
        <v>235.2678240406718</v>
      </c>
      <c r="U41" s="699">
        <v>234.85653016397714</v>
      </c>
      <c r="V41" s="699">
        <v>191.71541090332258</v>
      </c>
      <c r="W41" s="699">
        <v>188.93418630512997</v>
      </c>
      <c r="X41" s="699">
        <v>188.93418630512997</v>
      </c>
      <c r="Y41" s="699">
        <v>31.435371474349189</v>
      </c>
      <c r="Z41" s="699">
        <v>31.435371474349189</v>
      </c>
      <c r="AA41" s="699">
        <v>31.435371474349189</v>
      </c>
      <c r="AB41" s="699">
        <v>21.580617921301268</v>
      </c>
      <c r="AC41" s="699">
        <v>21.580617921301268</v>
      </c>
      <c r="AD41" s="699">
        <v>21.580617921301268</v>
      </c>
      <c r="AE41" s="699">
        <v>21.580617921301268</v>
      </c>
      <c r="AF41" s="699">
        <v>21.580617921301268</v>
      </c>
      <c r="AG41" s="699">
        <v>0</v>
      </c>
      <c r="AH41" s="699">
        <v>0</v>
      </c>
      <c r="AI41" s="699">
        <v>0</v>
      </c>
      <c r="AJ41" s="699">
        <v>0</v>
      </c>
      <c r="AK41" s="699">
        <v>0</v>
      </c>
      <c r="AL41" s="699">
        <v>0</v>
      </c>
      <c r="AM41" s="699">
        <v>0</v>
      </c>
      <c r="AN41" s="699">
        <v>0</v>
      </c>
      <c r="AO41" s="700">
        <v>0</v>
      </c>
      <c r="AP41" s="635"/>
      <c r="AQ41" s="709">
        <v>0</v>
      </c>
      <c r="AR41" s="710">
        <v>1456232.8728564582</v>
      </c>
      <c r="AS41" s="711">
        <v>1456232.8728564582</v>
      </c>
      <c r="AT41" s="710">
        <v>1456232.8728564582</v>
      </c>
      <c r="AU41" s="711">
        <v>1443057.4308217803</v>
      </c>
      <c r="AV41" s="710">
        <v>1443057.4308217803</v>
      </c>
      <c r="AW41" s="711">
        <v>1436047.2828885568</v>
      </c>
      <c r="AX41" s="710">
        <v>1412736.4545250912</v>
      </c>
      <c r="AY41" s="711">
        <v>1412736.4545250912</v>
      </c>
      <c r="AZ41" s="710">
        <v>1409666.2339217227</v>
      </c>
      <c r="BA41" s="711">
        <v>1095322.5633903106</v>
      </c>
      <c r="BB41" s="710">
        <v>1065798.1836507332</v>
      </c>
      <c r="BC41" s="711">
        <v>1065798.1836507332</v>
      </c>
      <c r="BD41" s="710">
        <v>118015.45038621838</v>
      </c>
      <c r="BE41" s="711">
        <v>118015.45038621838</v>
      </c>
      <c r="BF41" s="710">
        <v>118015.45038621838</v>
      </c>
      <c r="BG41" s="711">
        <v>49271.109004073129</v>
      </c>
      <c r="BH41" s="710">
        <v>49271.109004073129</v>
      </c>
      <c r="BI41" s="711">
        <v>49271.109004073129</v>
      </c>
      <c r="BJ41" s="710">
        <v>49271.109004073129</v>
      </c>
      <c r="BK41" s="711">
        <v>49271.109004073129</v>
      </c>
      <c r="BL41" s="710">
        <v>0</v>
      </c>
      <c r="BM41" s="711">
        <v>0</v>
      </c>
      <c r="BN41" s="710">
        <v>0</v>
      </c>
      <c r="BO41" s="711">
        <v>0</v>
      </c>
      <c r="BP41" s="710">
        <v>0</v>
      </c>
      <c r="BQ41" s="711">
        <v>0</v>
      </c>
      <c r="BR41" s="710">
        <v>0</v>
      </c>
      <c r="BS41" s="711">
        <v>0</v>
      </c>
      <c r="BT41" s="712">
        <v>0</v>
      </c>
      <c r="BU41" s="16"/>
    </row>
    <row r="42" spans="2:73" s="17" customFormat="1" ht="15.75">
      <c r="B42" s="694" t="s">
        <v>684</v>
      </c>
      <c r="C42" s="694" t="s">
        <v>685</v>
      </c>
      <c r="D42" s="694" t="s">
        <v>2</v>
      </c>
      <c r="E42" s="694" t="s">
        <v>686</v>
      </c>
      <c r="F42" s="694" t="s">
        <v>29</v>
      </c>
      <c r="G42" s="694" t="s">
        <v>687</v>
      </c>
      <c r="H42" s="694">
        <v>2012</v>
      </c>
      <c r="I42" s="646" t="s">
        <v>571</v>
      </c>
      <c r="J42" s="646" t="s">
        <v>588</v>
      </c>
      <c r="K42" s="635"/>
      <c r="L42" s="698">
        <v>0</v>
      </c>
      <c r="M42" s="699">
        <v>2.8562954825642102</v>
      </c>
      <c r="N42" s="699">
        <v>2.8562954825642102</v>
      </c>
      <c r="O42" s="699">
        <v>2.8562954825642102</v>
      </c>
      <c r="P42" s="699">
        <v>2.8379046091823033</v>
      </c>
      <c r="Q42" s="699">
        <v>0</v>
      </c>
      <c r="R42" s="699">
        <v>0</v>
      </c>
      <c r="S42" s="699">
        <v>0</v>
      </c>
      <c r="T42" s="699">
        <v>0</v>
      </c>
      <c r="U42" s="699">
        <v>0</v>
      </c>
      <c r="V42" s="699">
        <v>0</v>
      </c>
      <c r="W42" s="699">
        <v>0</v>
      </c>
      <c r="X42" s="699">
        <v>0</v>
      </c>
      <c r="Y42" s="699">
        <v>0</v>
      </c>
      <c r="Z42" s="699">
        <v>0</v>
      </c>
      <c r="AA42" s="699">
        <v>0</v>
      </c>
      <c r="AB42" s="699">
        <v>0</v>
      </c>
      <c r="AC42" s="699">
        <v>0</v>
      </c>
      <c r="AD42" s="699">
        <v>0</v>
      </c>
      <c r="AE42" s="699">
        <v>0</v>
      </c>
      <c r="AF42" s="699">
        <v>0</v>
      </c>
      <c r="AG42" s="699">
        <v>0</v>
      </c>
      <c r="AH42" s="699">
        <v>0</v>
      </c>
      <c r="AI42" s="699">
        <v>0</v>
      </c>
      <c r="AJ42" s="699">
        <v>0</v>
      </c>
      <c r="AK42" s="699">
        <v>0</v>
      </c>
      <c r="AL42" s="699">
        <v>0</v>
      </c>
      <c r="AM42" s="699">
        <v>0</v>
      </c>
      <c r="AN42" s="699">
        <v>0</v>
      </c>
      <c r="AO42" s="700">
        <v>0</v>
      </c>
      <c r="AP42" s="635"/>
      <c r="AQ42" s="713">
        <v>0</v>
      </c>
      <c r="AR42" s="714">
        <v>5076.6053489195292</v>
      </c>
      <c r="AS42" s="715">
        <v>5076.6053489195292</v>
      </c>
      <c r="AT42" s="714">
        <v>5076.6053489195292</v>
      </c>
      <c r="AU42" s="715">
        <v>5060.1592291042107</v>
      </c>
      <c r="AV42" s="714">
        <v>0</v>
      </c>
      <c r="AW42" s="715">
        <v>0</v>
      </c>
      <c r="AX42" s="714">
        <v>0</v>
      </c>
      <c r="AY42" s="715">
        <v>0</v>
      </c>
      <c r="AZ42" s="714">
        <v>0</v>
      </c>
      <c r="BA42" s="715">
        <v>0</v>
      </c>
      <c r="BB42" s="714">
        <v>0</v>
      </c>
      <c r="BC42" s="715">
        <v>0</v>
      </c>
      <c r="BD42" s="714">
        <v>0</v>
      </c>
      <c r="BE42" s="715">
        <v>0</v>
      </c>
      <c r="BF42" s="714">
        <v>0</v>
      </c>
      <c r="BG42" s="715">
        <v>0</v>
      </c>
      <c r="BH42" s="714">
        <v>0</v>
      </c>
      <c r="BI42" s="715">
        <v>0</v>
      </c>
      <c r="BJ42" s="714">
        <v>0</v>
      </c>
      <c r="BK42" s="715">
        <v>0</v>
      </c>
      <c r="BL42" s="714">
        <v>0</v>
      </c>
      <c r="BM42" s="715">
        <v>0</v>
      </c>
      <c r="BN42" s="714">
        <v>0</v>
      </c>
      <c r="BO42" s="715">
        <v>0</v>
      </c>
      <c r="BP42" s="714">
        <v>0</v>
      </c>
      <c r="BQ42" s="715">
        <v>0</v>
      </c>
      <c r="BR42" s="714">
        <v>0</v>
      </c>
      <c r="BS42" s="715">
        <v>0</v>
      </c>
      <c r="BT42" s="716">
        <v>0</v>
      </c>
      <c r="BU42" s="16"/>
    </row>
    <row r="43" spans="2:73" s="17" customFormat="1" ht="15.75">
      <c r="B43" s="694" t="s">
        <v>684</v>
      </c>
      <c r="C43" s="694" t="s">
        <v>685</v>
      </c>
      <c r="D43" s="694" t="s">
        <v>1</v>
      </c>
      <c r="E43" s="694" t="s">
        <v>686</v>
      </c>
      <c r="F43" s="694" t="s">
        <v>29</v>
      </c>
      <c r="G43" s="694" t="s">
        <v>687</v>
      </c>
      <c r="H43" s="694">
        <v>2012</v>
      </c>
      <c r="I43" s="646" t="s">
        <v>571</v>
      </c>
      <c r="J43" s="646" t="s">
        <v>588</v>
      </c>
      <c r="K43" s="635"/>
      <c r="L43" s="698">
        <v>0</v>
      </c>
      <c r="M43" s="699">
        <v>13.087925418391231</v>
      </c>
      <c r="N43" s="699">
        <v>13.087925418391231</v>
      </c>
      <c r="O43" s="699">
        <v>13.087925418391231</v>
      </c>
      <c r="P43" s="699">
        <v>12.858717594149656</v>
      </c>
      <c r="Q43" s="699">
        <v>7.3885016105443349</v>
      </c>
      <c r="R43" s="699">
        <v>0</v>
      </c>
      <c r="S43" s="699">
        <v>0</v>
      </c>
      <c r="T43" s="699">
        <v>0</v>
      </c>
      <c r="U43" s="699">
        <v>0</v>
      </c>
      <c r="V43" s="699">
        <v>0</v>
      </c>
      <c r="W43" s="699">
        <v>0</v>
      </c>
      <c r="X43" s="699">
        <v>0</v>
      </c>
      <c r="Y43" s="699">
        <v>0</v>
      </c>
      <c r="Z43" s="699">
        <v>0</v>
      </c>
      <c r="AA43" s="699">
        <v>0</v>
      </c>
      <c r="AB43" s="699">
        <v>0</v>
      </c>
      <c r="AC43" s="699">
        <v>0</v>
      </c>
      <c r="AD43" s="699">
        <v>0</v>
      </c>
      <c r="AE43" s="699">
        <v>0</v>
      </c>
      <c r="AF43" s="699">
        <v>0</v>
      </c>
      <c r="AG43" s="699">
        <v>0</v>
      </c>
      <c r="AH43" s="699">
        <v>0</v>
      </c>
      <c r="AI43" s="699">
        <v>0</v>
      </c>
      <c r="AJ43" s="699">
        <v>0</v>
      </c>
      <c r="AK43" s="699">
        <v>0</v>
      </c>
      <c r="AL43" s="699">
        <v>0</v>
      </c>
      <c r="AM43" s="699">
        <v>0</v>
      </c>
      <c r="AN43" s="699">
        <v>0</v>
      </c>
      <c r="AO43" s="700">
        <v>0</v>
      </c>
      <c r="AP43" s="635"/>
      <c r="AQ43" s="717">
        <v>0</v>
      </c>
      <c r="AR43" s="718">
        <v>92074.331163822397</v>
      </c>
      <c r="AS43" s="719">
        <v>92074.331163822397</v>
      </c>
      <c r="AT43" s="718">
        <v>92074.331163822397</v>
      </c>
      <c r="AU43" s="719">
        <v>91869.361053822387</v>
      </c>
      <c r="AV43" s="718">
        <v>56194.989024995404</v>
      </c>
      <c r="AW43" s="719">
        <v>0</v>
      </c>
      <c r="AX43" s="718">
        <v>0</v>
      </c>
      <c r="AY43" s="719">
        <v>0</v>
      </c>
      <c r="AZ43" s="718">
        <v>0</v>
      </c>
      <c r="BA43" s="719">
        <v>0</v>
      </c>
      <c r="BB43" s="718">
        <v>0</v>
      </c>
      <c r="BC43" s="719">
        <v>0</v>
      </c>
      <c r="BD43" s="718">
        <v>0</v>
      </c>
      <c r="BE43" s="719">
        <v>0</v>
      </c>
      <c r="BF43" s="718">
        <v>0</v>
      </c>
      <c r="BG43" s="719">
        <v>0</v>
      </c>
      <c r="BH43" s="718">
        <v>0</v>
      </c>
      <c r="BI43" s="719">
        <v>0</v>
      </c>
      <c r="BJ43" s="718">
        <v>0</v>
      </c>
      <c r="BK43" s="719">
        <v>0</v>
      </c>
      <c r="BL43" s="718">
        <v>0</v>
      </c>
      <c r="BM43" s="719">
        <v>0</v>
      </c>
      <c r="BN43" s="718">
        <v>0</v>
      </c>
      <c r="BO43" s="719">
        <v>0</v>
      </c>
      <c r="BP43" s="718">
        <v>0</v>
      </c>
      <c r="BQ43" s="719">
        <v>0</v>
      </c>
      <c r="BR43" s="718">
        <v>0</v>
      </c>
      <c r="BS43" s="719">
        <v>0</v>
      </c>
      <c r="BT43" s="720">
        <v>0</v>
      </c>
      <c r="BU43" s="16"/>
    </row>
    <row r="44" spans="2:73" s="17" customFormat="1" ht="15.75">
      <c r="B44" s="694" t="s">
        <v>684</v>
      </c>
      <c r="C44" s="694" t="s">
        <v>685</v>
      </c>
      <c r="D44" s="694" t="s">
        <v>5</v>
      </c>
      <c r="E44" s="694" t="s">
        <v>686</v>
      </c>
      <c r="F44" s="694" t="s">
        <v>29</v>
      </c>
      <c r="G44" s="694" t="s">
        <v>687</v>
      </c>
      <c r="H44" s="694">
        <v>2012</v>
      </c>
      <c r="I44" s="646" t="s">
        <v>571</v>
      </c>
      <c r="J44" s="646" t="s">
        <v>588</v>
      </c>
      <c r="K44" s="635"/>
      <c r="L44" s="698">
        <v>0</v>
      </c>
      <c r="M44" s="699">
        <v>12.803146569733137</v>
      </c>
      <c r="N44" s="699">
        <v>12.803146569733137</v>
      </c>
      <c r="O44" s="699">
        <v>12.803146569733137</v>
      </c>
      <c r="P44" s="699">
        <v>12.803146569733137</v>
      </c>
      <c r="Q44" s="699">
        <v>11.718967303993573</v>
      </c>
      <c r="R44" s="699">
        <v>9.9170079831478777</v>
      </c>
      <c r="S44" s="699">
        <v>7.4241984885496901</v>
      </c>
      <c r="T44" s="699">
        <v>7.3967873311776007</v>
      </c>
      <c r="U44" s="699">
        <v>7.3967873311776007</v>
      </c>
      <c r="V44" s="699">
        <v>4.7702697337787843</v>
      </c>
      <c r="W44" s="699">
        <v>1.8663165529934769</v>
      </c>
      <c r="X44" s="699">
        <v>1.8661526869894802</v>
      </c>
      <c r="Y44" s="699">
        <v>1.8661526869894802</v>
      </c>
      <c r="Z44" s="699">
        <v>1.8341281284679012</v>
      </c>
      <c r="AA44" s="699">
        <v>1.8341281284679012</v>
      </c>
      <c r="AB44" s="699">
        <v>1.7885580322941521</v>
      </c>
      <c r="AC44" s="699">
        <v>0.50183488486532024</v>
      </c>
      <c r="AD44" s="699">
        <v>0.50183488486532024</v>
      </c>
      <c r="AE44" s="699">
        <v>0.50183488486532024</v>
      </c>
      <c r="AF44" s="699">
        <v>0.50183488486532024</v>
      </c>
      <c r="AG44" s="699">
        <v>0</v>
      </c>
      <c r="AH44" s="699">
        <v>0</v>
      </c>
      <c r="AI44" s="699">
        <v>0</v>
      </c>
      <c r="AJ44" s="699">
        <v>0</v>
      </c>
      <c r="AK44" s="699">
        <v>0</v>
      </c>
      <c r="AL44" s="699">
        <v>0</v>
      </c>
      <c r="AM44" s="699">
        <v>0</v>
      </c>
      <c r="AN44" s="699">
        <v>0</v>
      </c>
      <c r="AO44" s="700">
        <v>0</v>
      </c>
      <c r="AP44" s="635"/>
      <c r="AQ44" s="698">
        <v>0</v>
      </c>
      <c r="AR44" s="699">
        <v>231684.83305517075</v>
      </c>
      <c r="AS44" s="699">
        <v>231684.83305517075</v>
      </c>
      <c r="AT44" s="699">
        <v>231684.83305517075</v>
      </c>
      <c r="AU44" s="699">
        <v>231684.83305517075</v>
      </c>
      <c r="AV44" s="699">
        <v>208269.92615770121</v>
      </c>
      <c r="AW44" s="699">
        <v>169353.19802617037</v>
      </c>
      <c r="AX44" s="699">
        <v>115516.25050870549</v>
      </c>
      <c r="AY44" s="699">
        <v>115276.12877012597</v>
      </c>
      <c r="AZ44" s="699">
        <v>115276.12877012597</v>
      </c>
      <c r="BA44" s="699">
        <v>58551.501255960015</v>
      </c>
      <c r="BB44" s="699">
        <v>43452.851087628027</v>
      </c>
      <c r="BC44" s="699">
        <v>42102.407757848894</v>
      </c>
      <c r="BD44" s="699">
        <v>42102.407757848894</v>
      </c>
      <c r="BE44" s="699">
        <v>39163.032897867677</v>
      </c>
      <c r="BF44" s="699">
        <v>39163.032897867677</v>
      </c>
      <c r="BG44" s="699">
        <v>38627.301895799974</v>
      </c>
      <c r="BH44" s="699">
        <v>10838.075840722126</v>
      </c>
      <c r="BI44" s="699">
        <v>10838.075840722126</v>
      </c>
      <c r="BJ44" s="699">
        <v>10838.075840722126</v>
      </c>
      <c r="BK44" s="699">
        <v>10838.075840722126</v>
      </c>
      <c r="BL44" s="699">
        <v>0</v>
      </c>
      <c r="BM44" s="699">
        <v>0</v>
      </c>
      <c r="BN44" s="699">
        <v>0</v>
      </c>
      <c r="BO44" s="699">
        <v>0</v>
      </c>
      <c r="BP44" s="699">
        <v>0</v>
      </c>
      <c r="BQ44" s="699">
        <v>0</v>
      </c>
      <c r="BR44" s="699">
        <v>0</v>
      </c>
      <c r="BS44" s="699">
        <v>0</v>
      </c>
      <c r="BT44" s="700">
        <v>0</v>
      </c>
      <c r="BU44" s="16"/>
    </row>
    <row r="45" spans="2:73" s="17" customFormat="1" ht="15.75">
      <c r="B45" s="694" t="s">
        <v>684</v>
      </c>
      <c r="C45" s="694" t="s">
        <v>685</v>
      </c>
      <c r="D45" s="694" t="s">
        <v>4</v>
      </c>
      <c r="E45" s="694" t="s">
        <v>686</v>
      </c>
      <c r="F45" s="694" t="s">
        <v>29</v>
      </c>
      <c r="G45" s="694" t="s">
        <v>687</v>
      </c>
      <c r="H45" s="694">
        <v>2012</v>
      </c>
      <c r="I45" s="646" t="s">
        <v>571</v>
      </c>
      <c r="J45" s="646" t="s">
        <v>588</v>
      </c>
      <c r="K45" s="635"/>
      <c r="L45" s="698">
        <v>0</v>
      </c>
      <c r="M45" s="699">
        <v>1.9932955399690082</v>
      </c>
      <c r="N45" s="699">
        <v>1.9932955399690082</v>
      </c>
      <c r="O45" s="699">
        <v>1.9932955399690082</v>
      </c>
      <c r="P45" s="699">
        <v>1.9932955399690082</v>
      </c>
      <c r="Q45" s="699">
        <v>1.9848814096906395</v>
      </c>
      <c r="R45" s="699">
        <v>1.9848814096906395</v>
      </c>
      <c r="S45" s="699">
        <v>1.6930010708335739</v>
      </c>
      <c r="T45" s="699">
        <v>1.6894664742250678</v>
      </c>
      <c r="U45" s="699">
        <v>1.6894664742250678</v>
      </c>
      <c r="V45" s="699">
        <v>1.6894664742250678</v>
      </c>
      <c r="W45" s="699">
        <v>3.1077209367741693E-2</v>
      </c>
      <c r="X45" s="699">
        <v>3.1055806949124139E-2</v>
      </c>
      <c r="Y45" s="699">
        <v>3.1055806949124139E-2</v>
      </c>
      <c r="Z45" s="699">
        <v>2.993751512218942E-2</v>
      </c>
      <c r="AA45" s="699">
        <v>2.993751512218942E-2</v>
      </c>
      <c r="AB45" s="699">
        <v>2.7964007020176668E-2</v>
      </c>
      <c r="AC45" s="699">
        <v>0</v>
      </c>
      <c r="AD45" s="699">
        <v>0</v>
      </c>
      <c r="AE45" s="699">
        <v>0</v>
      </c>
      <c r="AF45" s="699">
        <v>0</v>
      </c>
      <c r="AG45" s="699">
        <v>0</v>
      </c>
      <c r="AH45" s="699">
        <v>0</v>
      </c>
      <c r="AI45" s="699">
        <v>0</v>
      </c>
      <c r="AJ45" s="699">
        <v>0</v>
      </c>
      <c r="AK45" s="699">
        <v>0</v>
      </c>
      <c r="AL45" s="699">
        <v>0</v>
      </c>
      <c r="AM45" s="699">
        <v>0</v>
      </c>
      <c r="AN45" s="699">
        <v>0</v>
      </c>
      <c r="AO45" s="700">
        <v>0</v>
      </c>
      <c r="AP45" s="635"/>
      <c r="AQ45" s="698">
        <v>0</v>
      </c>
      <c r="AR45" s="699">
        <v>12095.665110353419</v>
      </c>
      <c r="AS45" s="699">
        <v>12095.665110353419</v>
      </c>
      <c r="AT45" s="699">
        <v>12095.665110353419</v>
      </c>
      <c r="AU45" s="699">
        <v>12095.665110353419</v>
      </c>
      <c r="AV45" s="699">
        <v>11913.946013413497</v>
      </c>
      <c r="AW45" s="699">
        <v>11913.946013413497</v>
      </c>
      <c r="AX45" s="699">
        <v>5610.2366772290743</v>
      </c>
      <c r="AY45" s="699">
        <v>5579.2736109385596</v>
      </c>
      <c r="AZ45" s="699">
        <v>5579.2736109385596</v>
      </c>
      <c r="BA45" s="699">
        <v>5579.2736109385596</v>
      </c>
      <c r="BB45" s="699">
        <v>906.15955630195685</v>
      </c>
      <c r="BC45" s="699">
        <v>729.7791432917669</v>
      </c>
      <c r="BD45" s="699">
        <v>729.7791432917669</v>
      </c>
      <c r="BE45" s="699">
        <v>627.136701554453</v>
      </c>
      <c r="BF45" s="699">
        <v>627.136701554453</v>
      </c>
      <c r="BG45" s="699">
        <v>603.93575264600929</v>
      </c>
      <c r="BH45" s="699">
        <v>0</v>
      </c>
      <c r="BI45" s="699">
        <v>0</v>
      </c>
      <c r="BJ45" s="699">
        <v>0</v>
      </c>
      <c r="BK45" s="699">
        <v>0</v>
      </c>
      <c r="BL45" s="699">
        <v>0</v>
      </c>
      <c r="BM45" s="699">
        <v>0</v>
      </c>
      <c r="BN45" s="699">
        <v>0</v>
      </c>
      <c r="BO45" s="699">
        <v>0</v>
      </c>
      <c r="BP45" s="699">
        <v>0</v>
      </c>
      <c r="BQ45" s="699">
        <v>0</v>
      </c>
      <c r="BR45" s="699">
        <v>0</v>
      </c>
      <c r="BS45" s="699">
        <v>0</v>
      </c>
      <c r="BT45" s="700">
        <v>0</v>
      </c>
      <c r="BU45" s="16"/>
    </row>
    <row r="46" spans="2:73" s="17" customFormat="1" ht="15.75">
      <c r="B46" s="694" t="s">
        <v>684</v>
      </c>
      <c r="C46" s="694" t="s">
        <v>685</v>
      </c>
      <c r="D46" s="694" t="s">
        <v>3</v>
      </c>
      <c r="E46" s="694" t="s">
        <v>686</v>
      </c>
      <c r="F46" s="694" t="s">
        <v>29</v>
      </c>
      <c r="G46" s="694" t="s">
        <v>687</v>
      </c>
      <c r="H46" s="694">
        <v>2012</v>
      </c>
      <c r="I46" s="646" t="s">
        <v>571</v>
      </c>
      <c r="J46" s="646" t="s">
        <v>588</v>
      </c>
      <c r="K46" s="635"/>
      <c r="L46" s="698">
        <v>0</v>
      </c>
      <c r="M46" s="699">
        <v>225.3442248430915</v>
      </c>
      <c r="N46" s="699">
        <v>225.3442248430915</v>
      </c>
      <c r="O46" s="699">
        <v>225.3442248430915</v>
      </c>
      <c r="P46" s="699">
        <v>225.3442248430915</v>
      </c>
      <c r="Q46" s="699">
        <v>225.3442248430915</v>
      </c>
      <c r="R46" s="699">
        <v>225.3442248430915</v>
      </c>
      <c r="S46" s="699">
        <v>225.3442248430915</v>
      </c>
      <c r="T46" s="699">
        <v>225.3442248430915</v>
      </c>
      <c r="U46" s="699">
        <v>225.3442248430915</v>
      </c>
      <c r="V46" s="699">
        <v>225.3442248430915</v>
      </c>
      <c r="W46" s="699">
        <v>225.3442248430915</v>
      </c>
      <c r="X46" s="699">
        <v>225.3442248430915</v>
      </c>
      <c r="Y46" s="699">
        <v>225.3442248430915</v>
      </c>
      <c r="Z46" s="699">
        <v>225.3442248430915</v>
      </c>
      <c r="AA46" s="699">
        <v>225.3442248430915</v>
      </c>
      <c r="AB46" s="699">
        <v>225.3442248430915</v>
      </c>
      <c r="AC46" s="699">
        <v>225.3442248430915</v>
      </c>
      <c r="AD46" s="699">
        <v>225.3442248430915</v>
      </c>
      <c r="AE46" s="699">
        <v>171.32370652434204</v>
      </c>
      <c r="AF46" s="699">
        <v>0</v>
      </c>
      <c r="AG46" s="699">
        <v>0</v>
      </c>
      <c r="AH46" s="699">
        <v>0</v>
      </c>
      <c r="AI46" s="699">
        <v>0</v>
      </c>
      <c r="AJ46" s="699">
        <v>0</v>
      </c>
      <c r="AK46" s="699">
        <v>0</v>
      </c>
      <c r="AL46" s="699">
        <v>0</v>
      </c>
      <c r="AM46" s="699">
        <v>0</v>
      </c>
      <c r="AN46" s="699">
        <v>0</v>
      </c>
      <c r="AO46" s="700">
        <v>0</v>
      </c>
      <c r="AP46" s="635"/>
      <c r="AQ46" s="698">
        <v>0</v>
      </c>
      <c r="AR46" s="699">
        <v>379038.3394690383</v>
      </c>
      <c r="AS46" s="699">
        <v>379038.3394690383</v>
      </c>
      <c r="AT46" s="699">
        <v>379038.3394690383</v>
      </c>
      <c r="AU46" s="699">
        <v>379038.3394690383</v>
      </c>
      <c r="AV46" s="699">
        <v>379038.3394690383</v>
      </c>
      <c r="AW46" s="699">
        <v>379038.3394690383</v>
      </c>
      <c r="AX46" s="699">
        <v>379038.3394690383</v>
      </c>
      <c r="AY46" s="699">
        <v>379038.3394690383</v>
      </c>
      <c r="AZ46" s="699">
        <v>379038.3394690383</v>
      </c>
      <c r="BA46" s="699">
        <v>379038.3394690383</v>
      </c>
      <c r="BB46" s="699">
        <v>379038.3394690383</v>
      </c>
      <c r="BC46" s="699">
        <v>379038.3394690383</v>
      </c>
      <c r="BD46" s="699">
        <v>379038.3394690383</v>
      </c>
      <c r="BE46" s="699">
        <v>379038.3394690383</v>
      </c>
      <c r="BF46" s="699">
        <v>379038.3394690383</v>
      </c>
      <c r="BG46" s="699">
        <v>379038.3394690383</v>
      </c>
      <c r="BH46" s="699">
        <v>379038.3394690383</v>
      </c>
      <c r="BI46" s="699">
        <v>379038.3394690383</v>
      </c>
      <c r="BJ46" s="699">
        <v>330730.25217451906</v>
      </c>
      <c r="BK46" s="699">
        <v>0</v>
      </c>
      <c r="BL46" s="699">
        <v>0</v>
      </c>
      <c r="BM46" s="699">
        <v>0</v>
      </c>
      <c r="BN46" s="699">
        <v>0</v>
      </c>
      <c r="BO46" s="699">
        <v>0</v>
      </c>
      <c r="BP46" s="699">
        <v>0</v>
      </c>
      <c r="BQ46" s="699">
        <v>0</v>
      </c>
      <c r="BR46" s="699">
        <v>0</v>
      </c>
      <c r="BS46" s="699">
        <v>0</v>
      </c>
      <c r="BT46" s="700">
        <v>0</v>
      </c>
      <c r="BU46" s="16"/>
    </row>
    <row r="47" spans="2:73" s="17" customFormat="1" ht="15.75">
      <c r="B47" s="694" t="s">
        <v>684</v>
      </c>
      <c r="C47" s="694" t="s">
        <v>685</v>
      </c>
      <c r="D47" s="694" t="s">
        <v>42</v>
      </c>
      <c r="E47" s="694" t="s">
        <v>686</v>
      </c>
      <c r="F47" s="694" t="s">
        <v>29</v>
      </c>
      <c r="G47" s="694" t="s">
        <v>691</v>
      </c>
      <c r="H47" s="694">
        <v>2012</v>
      </c>
      <c r="I47" s="646" t="s">
        <v>571</v>
      </c>
      <c r="J47" s="646" t="s">
        <v>588</v>
      </c>
      <c r="K47" s="635"/>
      <c r="L47" s="698">
        <v>0</v>
      </c>
      <c r="M47" s="699">
        <v>449.77690000000001</v>
      </c>
      <c r="N47" s="699">
        <v>0</v>
      </c>
      <c r="O47" s="699">
        <v>0</v>
      </c>
      <c r="P47" s="699">
        <v>0</v>
      </c>
      <c r="Q47" s="699">
        <v>0</v>
      </c>
      <c r="R47" s="699">
        <v>0</v>
      </c>
      <c r="S47" s="699">
        <v>0</v>
      </c>
      <c r="T47" s="699">
        <v>0</v>
      </c>
      <c r="U47" s="699">
        <v>0</v>
      </c>
      <c r="V47" s="699">
        <v>0</v>
      </c>
      <c r="W47" s="699">
        <v>0</v>
      </c>
      <c r="X47" s="699">
        <v>0</v>
      </c>
      <c r="Y47" s="699">
        <v>0</v>
      </c>
      <c r="Z47" s="699">
        <v>0</v>
      </c>
      <c r="AA47" s="699">
        <v>0</v>
      </c>
      <c r="AB47" s="699">
        <v>0</v>
      </c>
      <c r="AC47" s="699">
        <v>0</v>
      </c>
      <c r="AD47" s="699">
        <v>0</v>
      </c>
      <c r="AE47" s="699">
        <v>0</v>
      </c>
      <c r="AF47" s="699">
        <v>0</v>
      </c>
      <c r="AG47" s="699">
        <v>0</v>
      </c>
      <c r="AH47" s="699">
        <v>0</v>
      </c>
      <c r="AI47" s="699">
        <v>0</v>
      </c>
      <c r="AJ47" s="699">
        <v>0</v>
      </c>
      <c r="AK47" s="699">
        <v>0</v>
      </c>
      <c r="AL47" s="699">
        <v>0</v>
      </c>
      <c r="AM47" s="699">
        <v>0</v>
      </c>
      <c r="AN47" s="699">
        <v>0</v>
      </c>
      <c r="AO47" s="700">
        <v>0</v>
      </c>
      <c r="AP47" s="635"/>
      <c r="AQ47" s="698">
        <v>0</v>
      </c>
      <c r="AR47" s="699">
        <v>3263.28</v>
      </c>
      <c r="AS47" s="699">
        <v>0</v>
      </c>
      <c r="AT47" s="699">
        <v>0</v>
      </c>
      <c r="AU47" s="699">
        <v>0</v>
      </c>
      <c r="AV47" s="699">
        <v>0</v>
      </c>
      <c r="AW47" s="699">
        <v>0</v>
      </c>
      <c r="AX47" s="699">
        <v>0</v>
      </c>
      <c r="AY47" s="699">
        <v>0</v>
      </c>
      <c r="AZ47" s="699">
        <v>0</v>
      </c>
      <c r="BA47" s="699">
        <v>0</v>
      </c>
      <c r="BB47" s="699">
        <v>0</v>
      </c>
      <c r="BC47" s="699">
        <v>0</v>
      </c>
      <c r="BD47" s="699">
        <v>0</v>
      </c>
      <c r="BE47" s="699">
        <v>0</v>
      </c>
      <c r="BF47" s="699">
        <v>0</v>
      </c>
      <c r="BG47" s="699">
        <v>0</v>
      </c>
      <c r="BH47" s="699">
        <v>0</v>
      </c>
      <c r="BI47" s="699">
        <v>0</v>
      </c>
      <c r="BJ47" s="699">
        <v>0</v>
      </c>
      <c r="BK47" s="699">
        <v>0</v>
      </c>
      <c r="BL47" s="699">
        <v>0</v>
      </c>
      <c r="BM47" s="699">
        <v>0</v>
      </c>
      <c r="BN47" s="699">
        <v>0</v>
      </c>
      <c r="BO47" s="699">
        <v>0</v>
      </c>
      <c r="BP47" s="699">
        <v>0</v>
      </c>
      <c r="BQ47" s="699">
        <v>0</v>
      </c>
      <c r="BR47" s="699">
        <v>0</v>
      </c>
      <c r="BS47" s="699">
        <v>0</v>
      </c>
      <c r="BT47" s="700">
        <v>0</v>
      </c>
      <c r="BU47" s="16"/>
    </row>
    <row r="48" spans="2:73" s="17" customFormat="1" ht="15.75">
      <c r="B48" s="694" t="s">
        <v>684</v>
      </c>
      <c r="C48" s="694" t="s">
        <v>692</v>
      </c>
      <c r="D48" s="694" t="s">
        <v>9</v>
      </c>
      <c r="E48" s="694" t="s">
        <v>686</v>
      </c>
      <c r="F48" s="694" t="s">
        <v>692</v>
      </c>
      <c r="G48" s="694" t="s">
        <v>691</v>
      </c>
      <c r="H48" s="694">
        <v>2012</v>
      </c>
      <c r="I48" s="646" t="s">
        <v>571</v>
      </c>
      <c r="J48" s="646" t="s">
        <v>588</v>
      </c>
      <c r="K48" s="635"/>
      <c r="L48" s="698">
        <v>0</v>
      </c>
      <c r="M48" s="699">
        <v>439.99749360000004</v>
      </c>
      <c r="N48" s="699">
        <v>0</v>
      </c>
      <c r="O48" s="699">
        <v>0</v>
      </c>
      <c r="P48" s="699">
        <v>0</v>
      </c>
      <c r="Q48" s="699">
        <v>0</v>
      </c>
      <c r="R48" s="699">
        <v>0</v>
      </c>
      <c r="S48" s="699">
        <v>0</v>
      </c>
      <c r="T48" s="699">
        <v>0</v>
      </c>
      <c r="U48" s="699">
        <v>0</v>
      </c>
      <c r="V48" s="699">
        <v>0</v>
      </c>
      <c r="W48" s="699">
        <v>0</v>
      </c>
      <c r="X48" s="699">
        <v>0</v>
      </c>
      <c r="Y48" s="699">
        <v>0</v>
      </c>
      <c r="Z48" s="699">
        <v>0</v>
      </c>
      <c r="AA48" s="699">
        <v>0</v>
      </c>
      <c r="AB48" s="699">
        <v>0</v>
      </c>
      <c r="AC48" s="699">
        <v>0</v>
      </c>
      <c r="AD48" s="699">
        <v>0</v>
      </c>
      <c r="AE48" s="699">
        <v>0</v>
      </c>
      <c r="AF48" s="699">
        <v>0</v>
      </c>
      <c r="AG48" s="699">
        <v>0</v>
      </c>
      <c r="AH48" s="699">
        <v>0</v>
      </c>
      <c r="AI48" s="699">
        <v>0</v>
      </c>
      <c r="AJ48" s="699">
        <v>0</v>
      </c>
      <c r="AK48" s="699">
        <v>0</v>
      </c>
      <c r="AL48" s="699">
        <v>0</v>
      </c>
      <c r="AM48" s="699">
        <v>0</v>
      </c>
      <c r="AN48" s="699">
        <v>0</v>
      </c>
      <c r="AO48" s="700">
        <v>0</v>
      </c>
      <c r="AP48" s="635"/>
      <c r="AQ48" s="698">
        <v>0</v>
      </c>
      <c r="AR48" s="699">
        <v>10603.75</v>
      </c>
      <c r="AS48" s="699">
        <v>0</v>
      </c>
      <c r="AT48" s="699">
        <v>0</v>
      </c>
      <c r="AU48" s="699">
        <v>0</v>
      </c>
      <c r="AV48" s="699">
        <v>0</v>
      </c>
      <c r="AW48" s="699">
        <v>0</v>
      </c>
      <c r="AX48" s="699">
        <v>0</v>
      </c>
      <c r="AY48" s="699">
        <v>0</v>
      </c>
      <c r="AZ48" s="699">
        <v>0</v>
      </c>
      <c r="BA48" s="699">
        <v>0</v>
      </c>
      <c r="BB48" s="699">
        <v>0</v>
      </c>
      <c r="BC48" s="699">
        <v>0</v>
      </c>
      <c r="BD48" s="699">
        <v>0</v>
      </c>
      <c r="BE48" s="699">
        <v>0</v>
      </c>
      <c r="BF48" s="699">
        <v>0</v>
      </c>
      <c r="BG48" s="699">
        <v>0</v>
      </c>
      <c r="BH48" s="699">
        <v>0</v>
      </c>
      <c r="BI48" s="699">
        <v>0</v>
      </c>
      <c r="BJ48" s="699">
        <v>0</v>
      </c>
      <c r="BK48" s="699">
        <v>0</v>
      </c>
      <c r="BL48" s="699">
        <v>0</v>
      </c>
      <c r="BM48" s="699">
        <v>0</v>
      </c>
      <c r="BN48" s="699">
        <v>0</v>
      </c>
      <c r="BO48" s="699">
        <v>0</v>
      </c>
      <c r="BP48" s="699">
        <v>0</v>
      </c>
      <c r="BQ48" s="699">
        <v>0</v>
      </c>
      <c r="BR48" s="699">
        <v>0</v>
      </c>
      <c r="BS48" s="699">
        <v>0</v>
      </c>
      <c r="BT48" s="700">
        <v>0</v>
      </c>
      <c r="BU48" s="16"/>
    </row>
    <row r="49" spans="2:73" s="17" customFormat="1" ht="15.75">
      <c r="B49" s="694" t="s">
        <v>684</v>
      </c>
      <c r="C49" s="694" t="s">
        <v>693</v>
      </c>
      <c r="D49" s="694" t="s">
        <v>17</v>
      </c>
      <c r="E49" s="694" t="s">
        <v>686</v>
      </c>
      <c r="F49" s="694" t="s">
        <v>694</v>
      </c>
      <c r="G49" s="694" t="s">
        <v>687</v>
      </c>
      <c r="H49" s="694">
        <v>2012</v>
      </c>
      <c r="I49" s="646" t="s">
        <v>571</v>
      </c>
      <c r="J49" s="646" t="s">
        <v>588</v>
      </c>
      <c r="K49" s="635"/>
      <c r="L49" s="698">
        <v>0</v>
      </c>
      <c r="M49" s="699">
        <v>0.97754852258549962</v>
      </c>
      <c r="N49" s="699">
        <v>0.97754852258549962</v>
      </c>
      <c r="O49" s="699">
        <v>0.97754852258549962</v>
      </c>
      <c r="P49" s="699">
        <v>0.97754852258549962</v>
      </c>
      <c r="Q49" s="699">
        <v>0.97754852258549962</v>
      </c>
      <c r="R49" s="699">
        <v>0.97754852258549962</v>
      </c>
      <c r="S49" s="699">
        <v>0.97754852258549962</v>
      </c>
      <c r="T49" s="699">
        <v>0.97754852258549962</v>
      </c>
      <c r="U49" s="699">
        <v>0.97754852258549962</v>
      </c>
      <c r="V49" s="699">
        <v>0.97754852258549962</v>
      </c>
      <c r="W49" s="699">
        <v>0.97754852258549962</v>
      </c>
      <c r="X49" s="699">
        <v>0.97754852258549962</v>
      </c>
      <c r="Y49" s="699">
        <v>0</v>
      </c>
      <c r="Z49" s="699">
        <v>0</v>
      </c>
      <c r="AA49" s="699">
        <v>0</v>
      </c>
      <c r="AB49" s="699">
        <v>0</v>
      </c>
      <c r="AC49" s="699">
        <v>0</v>
      </c>
      <c r="AD49" s="699">
        <v>0</v>
      </c>
      <c r="AE49" s="699">
        <v>0</v>
      </c>
      <c r="AF49" s="699">
        <v>0</v>
      </c>
      <c r="AG49" s="699">
        <v>0</v>
      </c>
      <c r="AH49" s="699">
        <v>0</v>
      </c>
      <c r="AI49" s="699">
        <v>0</v>
      </c>
      <c r="AJ49" s="699">
        <v>0</v>
      </c>
      <c r="AK49" s="699">
        <v>0</v>
      </c>
      <c r="AL49" s="699">
        <v>0</v>
      </c>
      <c r="AM49" s="699">
        <v>0</v>
      </c>
      <c r="AN49" s="699">
        <v>0</v>
      </c>
      <c r="AO49" s="700">
        <v>0</v>
      </c>
      <c r="AP49" s="635"/>
      <c r="AQ49" s="698">
        <v>0</v>
      </c>
      <c r="AR49" s="699">
        <v>947.08447725554527</v>
      </c>
      <c r="AS49" s="699">
        <v>947.08447725554527</v>
      </c>
      <c r="AT49" s="699">
        <v>947.08447725554527</v>
      </c>
      <c r="AU49" s="699">
        <v>947.08447725554527</v>
      </c>
      <c r="AV49" s="699">
        <v>947.08447725554527</v>
      </c>
      <c r="AW49" s="699">
        <v>947.08447725554527</v>
      </c>
      <c r="AX49" s="699">
        <v>947.08447725554527</v>
      </c>
      <c r="AY49" s="699">
        <v>947.08447725554527</v>
      </c>
      <c r="AZ49" s="699">
        <v>947.08447725554527</v>
      </c>
      <c r="BA49" s="699">
        <v>947.08447725554527</v>
      </c>
      <c r="BB49" s="699">
        <v>947.08447725554527</v>
      </c>
      <c r="BC49" s="699">
        <v>947.08447725554527</v>
      </c>
      <c r="BD49" s="699">
        <v>0</v>
      </c>
      <c r="BE49" s="699">
        <v>0</v>
      </c>
      <c r="BF49" s="699">
        <v>0</v>
      </c>
      <c r="BG49" s="699">
        <v>0</v>
      </c>
      <c r="BH49" s="699">
        <v>0</v>
      </c>
      <c r="BI49" s="699">
        <v>0</v>
      </c>
      <c r="BJ49" s="699">
        <v>0</v>
      </c>
      <c r="BK49" s="699">
        <v>0</v>
      </c>
      <c r="BL49" s="699">
        <v>0</v>
      </c>
      <c r="BM49" s="699">
        <v>0</v>
      </c>
      <c r="BN49" s="699">
        <v>0</v>
      </c>
      <c r="BO49" s="699">
        <v>0</v>
      </c>
      <c r="BP49" s="699">
        <v>0</v>
      </c>
      <c r="BQ49" s="699">
        <v>0</v>
      </c>
      <c r="BR49" s="699">
        <v>0</v>
      </c>
      <c r="BS49" s="699">
        <v>0</v>
      </c>
      <c r="BT49" s="700">
        <v>0</v>
      </c>
      <c r="BU49" s="16"/>
    </row>
    <row r="50" spans="2:73" s="17" customFormat="1" ht="15.75">
      <c r="B50" s="694" t="s">
        <v>684</v>
      </c>
      <c r="C50" s="694" t="s">
        <v>688</v>
      </c>
      <c r="D50" s="694" t="s">
        <v>689</v>
      </c>
      <c r="E50" s="694" t="s">
        <v>686</v>
      </c>
      <c r="F50" s="694" t="s">
        <v>694</v>
      </c>
      <c r="G50" s="694" t="s">
        <v>691</v>
      </c>
      <c r="H50" s="694">
        <v>2012</v>
      </c>
      <c r="I50" s="646" t="s">
        <v>571</v>
      </c>
      <c r="J50" s="646" t="s">
        <v>588</v>
      </c>
      <c r="K50" s="635"/>
      <c r="L50" s="698">
        <v>0</v>
      </c>
      <c r="M50" s="699">
        <v>108.78088650000001</v>
      </c>
      <c r="N50" s="699">
        <v>0</v>
      </c>
      <c r="O50" s="699">
        <v>0</v>
      </c>
      <c r="P50" s="699">
        <v>0</v>
      </c>
      <c r="Q50" s="699">
        <v>0</v>
      </c>
      <c r="R50" s="699">
        <v>0</v>
      </c>
      <c r="S50" s="699">
        <v>0</v>
      </c>
      <c r="T50" s="699">
        <v>0</v>
      </c>
      <c r="U50" s="699">
        <v>0</v>
      </c>
      <c r="V50" s="699">
        <v>0</v>
      </c>
      <c r="W50" s="699">
        <v>0</v>
      </c>
      <c r="X50" s="699">
        <v>0</v>
      </c>
      <c r="Y50" s="699">
        <v>0</v>
      </c>
      <c r="Z50" s="699">
        <v>0</v>
      </c>
      <c r="AA50" s="699">
        <v>0</v>
      </c>
      <c r="AB50" s="699">
        <v>0</v>
      </c>
      <c r="AC50" s="699">
        <v>0</v>
      </c>
      <c r="AD50" s="699">
        <v>0</v>
      </c>
      <c r="AE50" s="699">
        <v>0</v>
      </c>
      <c r="AF50" s="699">
        <v>0</v>
      </c>
      <c r="AG50" s="699">
        <v>0</v>
      </c>
      <c r="AH50" s="699">
        <v>0</v>
      </c>
      <c r="AI50" s="699">
        <v>0</v>
      </c>
      <c r="AJ50" s="699">
        <v>0</v>
      </c>
      <c r="AK50" s="699">
        <v>0</v>
      </c>
      <c r="AL50" s="699">
        <v>0</v>
      </c>
      <c r="AM50" s="699">
        <v>0</v>
      </c>
      <c r="AN50" s="699">
        <v>0</v>
      </c>
      <c r="AO50" s="700">
        <v>0</v>
      </c>
      <c r="AP50" s="635"/>
      <c r="AQ50" s="698">
        <v>0</v>
      </c>
      <c r="AR50" s="699">
        <v>1581.165</v>
      </c>
      <c r="AS50" s="699">
        <v>0</v>
      </c>
      <c r="AT50" s="699">
        <v>0</v>
      </c>
      <c r="AU50" s="699">
        <v>0</v>
      </c>
      <c r="AV50" s="699">
        <v>0</v>
      </c>
      <c r="AW50" s="699">
        <v>0</v>
      </c>
      <c r="AX50" s="699">
        <v>0</v>
      </c>
      <c r="AY50" s="699">
        <v>0</v>
      </c>
      <c r="AZ50" s="699">
        <v>0</v>
      </c>
      <c r="BA50" s="699">
        <v>0</v>
      </c>
      <c r="BB50" s="699">
        <v>0</v>
      </c>
      <c r="BC50" s="699">
        <v>0</v>
      </c>
      <c r="BD50" s="699">
        <v>0</v>
      </c>
      <c r="BE50" s="699">
        <v>0</v>
      </c>
      <c r="BF50" s="699">
        <v>0</v>
      </c>
      <c r="BG50" s="699">
        <v>0</v>
      </c>
      <c r="BH50" s="699">
        <v>0</v>
      </c>
      <c r="BI50" s="699">
        <v>0</v>
      </c>
      <c r="BJ50" s="699">
        <v>0</v>
      </c>
      <c r="BK50" s="699">
        <v>0</v>
      </c>
      <c r="BL50" s="699">
        <v>0</v>
      </c>
      <c r="BM50" s="699">
        <v>0</v>
      </c>
      <c r="BN50" s="699">
        <v>0</v>
      </c>
      <c r="BO50" s="699">
        <v>0</v>
      </c>
      <c r="BP50" s="699">
        <v>0</v>
      </c>
      <c r="BQ50" s="699">
        <v>0</v>
      </c>
      <c r="BR50" s="699">
        <v>0</v>
      </c>
      <c r="BS50" s="699">
        <v>0</v>
      </c>
      <c r="BT50" s="700">
        <v>0</v>
      </c>
      <c r="BU50" s="16"/>
    </row>
    <row r="51" spans="2:73" s="17" customFormat="1" ht="15.75">
      <c r="B51" s="694" t="s">
        <v>695</v>
      </c>
      <c r="C51" s="694" t="s">
        <v>688</v>
      </c>
      <c r="D51" s="694" t="s">
        <v>22</v>
      </c>
      <c r="E51" s="694" t="s">
        <v>686</v>
      </c>
      <c r="F51" s="694" t="s">
        <v>694</v>
      </c>
      <c r="G51" s="694" t="s">
        <v>687</v>
      </c>
      <c r="H51" s="694">
        <v>2011</v>
      </c>
      <c r="I51" s="646" t="s">
        <v>571</v>
      </c>
      <c r="J51" s="646" t="s">
        <v>581</v>
      </c>
      <c r="K51" s="635"/>
      <c r="L51" s="698">
        <v>0.76997303976919695</v>
      </c>
      <c r="M51" s="699">
        <v>0.76997303976919695</v>
      </c>
      <c r="N51" s="699">
        <v>0.76997303976919695</v>
      </c>
      <c r="O51" s="699">
        <v>0.76997303976919695</v>
      </c>
      <c r="P51" s="699">
        <v>0.76997303976919695</v>
      </c>
      <c r="Q51" s="699">
        <v>0.76997303976919695</v>
      </c>
      <c r="R51" s="699">
        <v>0.71681601259111727</v>
      </c>
      <c r="S51" s="699">
        <v>0</v>
      </c>
      <c r="T51" s="699">
        <v>0</v>
      </c>
      <c r="U51" s="699">
        <v>0</v>
      </c>
      <c r="V51" s="699">
        <v>0</v>
      </c>
      <c r="W51" s="699">
        <v>0</v>
      </c>
      <c r="X51" s="699">
        <v>0</v>
      </c>
      <c r="Y51" s="699">
        <v>0</v>
      </c>
      <c r="Z51" s="699">
        <v>0</v>
      </c>
      <c r="AA51" s="699">
        <v>0</v>
      </c>
      <c r="AB51" s="699">
        <v>0</v>
      </c>
      <c r="AC51" s="699">
        <v>0</v>
      </c>
      <c r="AD51" s="699">
        <v>0</v>
      </c>
      <c r="AE51" s="699">
        <v>0</v>
      </c>
      <c r="AF51" s="699">
        <v>0</v>
      </c>
      <c r="AG51" s="699">
        <v>0</v>
      </c>
      <c r="AH51" s="699">
        <v>0</v>
      </c>
      <c r="AI51" s="699">
        <v>0</v>
      </c>
      <c r="AJ51" s="699">
        <v>0</v>
      </c>
      <c r="AK51" s="699">
        <v>0</v>
      </c>
      <c r="AL51" s="699">
        <v>0</v>
      </c>
      <c r="AM51" s="699">
        <v>0</v>
      </c>
      <c r="AN51" s="699">
        <v>0</v>
      </c>
      <c r="AO51" s="700">
        <v>0</v>
      </c>
      <c r="AP51" s="635"/>
      <c r="AQ51" s="698">
        <v>4647.5103910139396</v>
      </c>
      <c r="AR51" s="699">
        <v>4647.5103910139396</v>
      </c>
      <c r="AS51" s="699">
        <v>4647.5103910139396</v>
      </c>
      <c r="AT51" s="699">
        <v>4647.5103910139396</v>
      </c>
      <c r="AU51" s="699">
        <v>4647.5103910139396</v>
      </c>
      <c r="AV51" s="699">
        <v>4647.5103910139396</v>
      </c>
      <c r="AW51" s="699">
        <v>4326.6578112410307</v>
      </c>
      <c r="AX51" s="699">
        <v>0</v>
      </c>
      <c r="AY51" s="699">
        <v>0</v>
      </c>
      <c r="AZ51" s="699">
        <v>0</v>
      </c>
      <c r="BA51" s="699">
        <v>0</v>
      </c>
      <c r="BB51" s="699">
        <v>0</v>
      </c>
      <c r="BC51" s="699">
        <v>0</v>
      </c>
      <c r="BD51" s="699">
        <v>0</v>
      </c>
      <c r="BE51" s="699">
        <v>0</v>
      </c>
      <c r="BF51" s="699">
        <v>0</v>
      </c>
      <c r="BG51" s="699">
        <v>0</v>
      </c>
      <c r="BH51" s="699">
        <v>0</v>
      </c>
      <c r="BI51" s="699">
        <v>0</v>
      </c>
      <c r="BJ51" s="699">
        <v>0</v>
      </c>
      <c r="BK51" s="699">
        <v>0</v>
      </c>
      <c r="BL51" s="699">
        <v>0</v>
      </c>
      <c r="BM51" s="699">
        <v>0</v>
      </c>
      <c r="BN51" s="699">
        <v>0</v>
      </c>
      <c r="BO51" s="699">
        <v>0</v>
      </c>
      <c r="BP51" s="699">
        <v>0</v>
      </c>
      <c r="BQ51" s="699">
        <v>0</v>
      </c>
      <c r="BR51" s="699">
        <v>0</v>
      </c>
      <c r="BS51" s="699">
        <v>0</v>
      </c>
      <c r="BT51" s="700">
        <v>0</v>
      </c>
      <c r="BU51" s="16"/>
    </row>
    <row r="52" spans="2:73" s="17" customFormat="1" ht="15.75">
      <c r="B52" s="694" t="s">
        <v>695</v>
      </c>
      <c r="C52" s="694" t="s">
        <v>693</v>
      </c>
      <c r="D52" s="694" t="s">
        <v>17</v>
      </c>
      <c r="E52" s="694" t="s">
        <v>686</v>
      </c>
      <c r="F52" s="694" t="s">
        <v>694</v>
      </c>
      <c r="G52" s="694" t="s">
        <v>687</v>
      </c>
      <c r="H52" s="694">
        <v>2011</v>
      </c>
      <c r="I52" s="646" t="s">
        <v>571</v>
      </c>
      <c r="J52" s="646" t="s">
        <v>581</v>
      </c>
      <c r="K52" s="635"/>
      <c r="L52" s="698">
        <v>1.9359553425514036</v>
      </c>
      <c r="M52" s="699">
        <v>1.9359553425514036</v>
      </c>
      <c r="N52" s="699">
        <v>1.9359553425514036</v>
      </c>
      <c r="O52" s="699">
        <v>1.9359553425514036</v>
      </c>
      <c r="P52" s="699">
        <v>1.9359553425514</v>
      </c>
      <c r="Q52" s="699">
        <v>1.9359553425514</v>
      </c>
      <c r="R52" s="699">
        <v>1.9359553425514</v>
      </c>
      <c r="S52" s="699">
        <v>1.9359553425514</v>
      </c>
      <c r="T52" s="699">
        <v>1.9359553425514</v>
      </c>
      <c r="U52" s="699">
        <v>1.9359553425514</v>
      </c>
      <c r="V52" s="699">
        <v>1.9359553425514</v>
      </c>
      <c r="W52" s="699">
        <v>1.9359553425514</v>
      </c>
      <c r="X52" s="699">
        <v>1.9359553425514</v>
      </c>
      <c r="Y52" s="699">
        <v>1.9359553425514</v>
      </c>
      <c r="Z52" s="699">
        <v>1.9359553425514</v>
      </c>
      <c r="AA52" s="699">
        <v>0</v>
      </c>
      <c r="AB52" s="699">
        <v>0</v>
      </c>
      <c r="AC52" s="699">
        <v>0</v>
      </c>
      <c r="AD52" s="699">
        <v>0</v>
      </c>
      <c r="AE52" s="699">
        <v>0</v>
      </c>
      <c r="AF52" s="699">
        <v>0</v>
      </c>
      <c r="AG52" s="699">
        <v>0</v>
      </c>
      <c r="AH52" s="699">
        <v>0</v>
      </c>
      <c r="AI52" s="699">
        <v>0</v>
      </c>
      <c r="AJ52" s="699">
        <v>0</v>
      </c>
      <c r="AK52" s="699">
        <v>0</v>
      </c>
      <c r="AL52" s="699">
        <v>0</v>
      </c>
      <c r="AM52" s="699">
        <v>0</v>
      </c>
      <c r="AN52" s="699">
        <v>0</v>
      </c>
      <c r="AO52" s="700">
        <v>0</v>
      </c>
      <c r="AP52" s="635"/>
      <c r="AQ52" s="698">
        <v>9943.0666393440115</v>
      </c>
      <c r="AR52" s="699">
        <v>9943.0666393440115</v>
      </c>
      <c r="AS52" s="699">
        <v>9943.0666393440115</v>
      </c>
      <c r="AT52" s="699">
        <v>9943.0666393440115</v>
      </c>
      <c r="AU52" s="699">
        <v>9943.0666393440115</v>
      </c>
      <c r="AV52" s="699">
        <v>9943.0666393440115</v>
      </c>
      <c r="AW52" s="699">
        <v>9943.0666393440115</v>
      </c>
      <c r="AX52" s="699">
        <v>9943.0666393440115</v>
      </c>
      <c r="AY52" s="699">
        <v>9943.0666393440115</v>
      </c>
      <c r="AZ52" s="699">
        <v>9943.0666393440115</v>
      </c>
      <c r="BA52" s="699">
        <v>9943.0666393440115</v>
      </c>
      <c r="BB52" s="699">
        <v>9943.0666393440115</v>
      </c>
      <c r="BC52" s="699">
        <v>9943.0666393440115</v>
      </c>
      <c r="BD52" s="699">
        <v>9943.0666393440115</v>
      </c>
      <c r="BE52" s="699">
        <v>9943.0666393440115</v>
      </c>
      <c r="BF52" s="699">
        <v>0</v>
      </c>
      <c r="BG52" s="699">
        <v>0</v>
      </c>
      <c r="BH52" s="699">
        <v>0</v>
      </c>
      <c r="BI52" s="699">
        <v>0</v>
      </c>
      <c r="BJ52" s="699">
        <v>0</v>
      </c>
      <c r="BK52" s="699">
        <v>0</v>
      </c>
      <c r="BL52" s="699">
        <v>0</v>
      </c>
      <c r="BM52" s="699">
        <v>0</v>
      </c>
      <c r="BN52" s="699">
        <v>0</v>
      </c>
      <c r="BO52" s="699">
        <v>0</v>
      </c>
      <c r="BP52" s="699">
        <v>0</v>
      </c>
      <c r="BQ52" s="699">
        <v>0</v>
      </c>
      <c r="BR52" s="699">
        <v>0</v>
      </c>
      <c r="BS52" s="699">
        <v>0</v>
      </c>
      <c r="BT52" s="700">
        <v>0</v>
      </c>
      <c r="BU52" s="16"/>
    </row>
    <row r="53" spans="2:73">
      <c r="B53" s="694" t="s">
        <v>695</v>
      </c>
      <c r="C53" s="694" t="s">
        <v>685</v>
      </c>
      <c r="D53" s="694" t="s">
        <v>3</v>
      </c>
      <c r="E53" s="694" t="s">
        <v>686</v>
      </c>
      <c r="F53" s="694" t="s">
        <v>29</v>
      </c>
      <c r="G53" s="694" t="s">
        <v>687</v>
      </c>
      <c r="H53" s="694">
        <v>2011</v>
      </c>
      <c r="I53" s="646" t="s">
        <v>571</v>
      </c>
      <c r="J53" s="646" t="s">
        <v>581</v>
      </c>
      <c r="K53" s="635"/>
      <c r="L53" s="698">
        <v>-40.070588338908877</v>
      </c>
      <c r="M53" s="699">
        <v>-40.070588338908877</v>
      </c>
      <c r="N53" s="699">
        <v>-40.070588338908877</v>
      </c>
      <c r="O53" s="699">
        <v>-40.070588338908877</v>
      </c>
      <c r="P53" s="699">
        <v>-40.070588338908877</v>
      </c>
      <c r="Q53" s="699">
        <v>-40.070588338908877</v>
      </c>
      <c r="R53" s="699">
        <v>-40.070588338908877</v>
      </c>
      <c r="S53" s="699">
        <v>-40.070588338908877</v>
      </c>
      <c r="T53" s="699">
        <v>-40.070588338908877</v>
      </c>
      <c r="U53" s="699">
        <v>-40.070588338908877</v>
      </c>
      <c r="V53" s="699">
        <v>-40.070588338908877</v>
      </c>
      <c r="W53" s="699">
        <v>-40.070588338908877</v>
      </c>
      <c r="X53" s="699">
        <v>-40.070588338908877</v>
      </c>
      <c r="Y53" s="699">
        <v>-40.070588338908877</v>
      </c>
      <c r="Z53" s="699">
        <v>-40.070588338908877</v>
      </c>
      <c r="AA53" s="699">
        <v>-40.070588338908877</v>
      </c>
      <c r="AB53" s="699">
        <v>-40.070588338908877</v>
      </c>
      <c r="AC53" s="699">
        <v>-40.070588338908877</v>
      </c>
      <c r="AD53" s="699">
        <v>-31.333854049437267</v>
      </c>
      <c r="AE53" s="699">
        <v>0</v>
      </c>
      <c r="AF53" s="699">
        <v>0</v>
      </c>
      <c r="AG53" s="699">
        <v>0</v>
      </c>
      <c r="AH53" s="699">
        <v>0</v>
      </c>
      <c r="AI53" s="699">
        <v>0</v>
      </c>
      <c r="AJ53" s="699">
        <v>0</v>
      </c>
      <c r="AK53" s="699">
        <v>0</v>
      </c>
      <c r="AL53" s="699">
        <v>0</v>
      </c>
      <c r="AM53" s="699">
        <v>0</v>
      </c>
      <c r="AN53" s="699">
        <v>0</v>
      </c>
      <c r="AO53" s="700">
        <v>0</v>
      </c>
      <c r="AP53" s="635"/>
      <c r="AQ53" s="698">
        <v>-72230.354568184834</v>
      </c>
      <c r="AR53" s="699">
        <v>-72230.354568184834</v>
      </c>
      <c r="AS53" s="699">
        <v>-72230.354568184834</v>
      </c>
      <c r="AT53" s="699">
        <v>-72230.354568184834</v>
      </c>
      <c r="AU53" s="699">
        <v>-72230.354568184834</v>
      </c>
      <c r="AV53" s="699">
        <v>-72230.354568184834</v>
      </c>
      <c r="AW53" s="699">
        <v>-72230.354568184834</v>
      </c>
      <c r="AX53" s="699">
        <v>-72230.354568184834</v>
      </c>
      <c r="AY53" s="699">
        <v>-72230.354568184834</v>
      </c>
      <c r="AZ53" s="699">
        <v>-72230.354568184834</v>
      </c>
      <c r="BA53" s="699">
        <v>-72230.354568184834</v>
      </c>
      <c r="BB53" s="699">
        <v>-72230.354568184834</v>
      </c>
      <c r="BC53" s="699">
        <v>-72230.354568184834</v>
      </c>
      <c r="BD53" s="699">
        <v>-72230.354568184834</v>
      </c>
      <c r="BE53" s="699">
        <v>-72230.354568184834</v>
      </c>
      <c r="BF53" s="699">
        <v>-72230.354568184834</v>
      </c>
      <c r="BG53" s="699">
        <v>-72230.354568184834</v>
      </c>
      <c r="BH53" s="699">
        <v>-72230.354568184834</v>
      </c>
      <c r="BI53" s="699">
        <v>-64430.867088794614</v>
      </c>
      <c r="BJ53" s="699">
        <v>0</v>
      </c>
      <c r="BK53" s="699">
        <v>0</v>
      </c>
      <c r="BL53" s="699">
        <v>0</v>
      </c>
      <c r="BM53" s="699">
        <v>0</v>
      </c>
      <c r="BN53" s="699">
        <v>0</v>
      </c>
      <c r="BO53" s="699">
        <v>0</v>
      </c>
      <c r="BP53" s="699">
        <v>0</v>
      </c>
      <c r="BQ53" s="699">
        <v>0</v>
      </c>
      <c r="BR53" s="699">
        <v>0</v>
      </c>
      <c r="BS53" s="699">
        <v>0</v>
      </c>
      <c r="BT53" s="700">
        <v>0</v>
      </c>
    </row>
    <row r="54" spans="2:73">
      <c r="B54" s="694" t="s">
        <v>695</v>
      </c>
      <c r="C54" s="694" t="s">
        <v>685</v>
      </c>
      <c r="D54" s="694" t="s">
        <v>5</v>
      </c>
      <c r="E54" s="694" t="s">
        <v>686</v>
      </c>
      <c r="F54" s="694" t="s">
        <v>29</v>
      </c>
      <c r="G54" s="694" t="s">
        <v>687</v>
      </c>
      <c r="H54" s="694">
        <v>2011</v>
      </c>
      <c r="I54" s="646" t="s">
        <v>571</v>
      </c>
      <c r="J54" s="646" t="s">
        <v>581</v>
      </c>
      <c r="K54" s="635"/>
      <c r="L54" s="698">
        <v>0.93311826197070635</v>
      </c>
      <c r="M54" s="699">
        <v>0.93311826197070635</v>
      </c>
      <c r="N54" s="699">
        <v>0.93311826197070635</v>
      </c>
      <c r="O54" s="699">
        <v>0.93311826197070635</v>
      </c>
      <c r="P54" s="699">
        <v>0.93311826197070635</v>
      </c>
      <c r="Q54" s="699">
        <v>0.8532807091569331</v>
      </c>
      <c r="R54" s="699">
        <v>0.48761065358164613</v>
      </c>
      <c r="S54" s="699">
        <v>0.48739514602454298</v>
      </c>
      <c r="T54" s="699">
        <v>0.48739514602454298</v>
      </c>
      <c r="U54" s="699">
        <v>0.15304683355226914</v>
      </c>
      <c r="V54" s="699">
        <v>6.358906238568679E-2</v>
      </c>
      <c r="W54" s="699">
        <v>6.3572040160203042E-2</v>
      </c>
      <c r="X54" s="699">
        <v>6.3572040160203042E-2</v>
      </c>
      <c r="Y54" s="699">
        <v>6.0649016896788421E-2</v>
      </c>
      <c r="Z54" s="699">
        <v>6.0649016896788421E-2</v>
      </c>
      <c r="AA54" s="699">
        <v>6.0515175453814733E-2</v>
      </c>
      <c r="AB54" s="699">
        <v>0</v>
      </c>
      <c r="AC54" s="699">
        <v>0</v>
      </c>
      <c r="AD54" s="699">
        <v>0</v>
      </c>
      <c r="AE54" s="699">
        <v>0</v>
      </c>
      <c r="AF54" s="699">
        <v>0</v>
      </c>
      <c r="AG54" s="699">
        <v>0</v>
      </c>
      <c r="AH54" s="699">
        <v>0</v>
      </c>
      <c r="AI54" s="699">
        <v>0</v>
      </c>
      <c r="AJ54" s="699">
        <v>0</v>
      </c>
      <c r="AK54" s="699">
        <v>0</v>
      </c>
      <c r="AL54" s="699">
        <v>0</v>
      </c>
      <c r="AM54" s="699">
        <v>0</v>
      </c>
      <c r="AN54" s="699">
        <v>0</v>
      </c>
      <c r="AO54" s="700">
        <v>0</v>
      </c>
      <c r="AP54" s="635"/>
      <c r="AQ54" s="698">
        <v>18888.233854759172</v>
      </c>
      <c r="AR54" s="699">
        <v>18888.233854759172</v>
      </c>
      <c r="AS54" s="699">
        <v>18888.233854759172</v>
      </c>
      <c r="AT54" s="699">
        <v>18888.233854759172</v>
      </c>
      <c r="AU54" s="699">
        <v>18888.233854759172</v>
      </c>
      <c r="AV54" s="699">
        <v>17163.990526068395</v>
      </c>
      <c r="AW54" s="699">
        <v>9266.6523486524402</v>
      </c>
      <c r="AX54" s="699">
        <v>9264.7645024522189</v>
      </c>
      <c r="AY54" s="699">
        <v>9264.7645024522189</v>
      </c>
      <c r="AZ54" s="699">
        <v>2043.8787548133926</v>
      </c>
      <c r="BA54" s="699">
        <v>1717.0857898258357</v>
      </c>
      <c r="BB54" s="699">
        <v>1576.8031790225525</v>
      </c>
      <c r="BC54" s="699">
        <v>1576.8031790225525</v>
      </c>
      <c r="BD54" s="699">
        <v>1308.5134197794473</v>
      </c>
      <c r="BE54" s="699">
        <v>1308.5134197794473</v>
      </c>
      <c r="BF54" s="699">
        <v>1306.9399534850359</v>
      </c>
      <c r="BG54" s="699">
        <v>0</v>
      </c>
      <c r="BH54" s="699">
        <v>0</v>
      </c>
      <c r="BI54" s="699">
        <v>0</v>
      </c>
      <c r="BJ54" s="699">
        <v>0</v>
      </c>
      <c r="BK54" s="699">
        <v>0</v>
      </c>
      <c r="BL54" s="699">
        <v>0</v>
      </c>
      <c r="BM54" s="699">
        <v>0</v>
      </c>
      <c r="BN54" s="699">
        <v>0</v>
      </c>
      <c r="BO54" s="699">
        <v>0</v>
      </c>
      <c r="BP54" s="699">
        <v>0</v>
      </c>
      <c r="BQ54" s="699">
        <v>0</v>
      </c>
      <c r="BR54" s="699">
        <v>0</v>
      </c>
      <c r="BS54" s="699">
        <v>0</v>
      </c>
      <c r="BT54" s="700">
        <v>0</v>
      </c>
    </row>
    <row r="55" spans="2:73">
      <c r="B55" s="694" t="s">
        <v>695</v>
      </c>
      <c r="C55" s="694" t="s">
        <v>685</v>
      </c>
      <c r="D55" s="694" t="s">
        <v>4</v>
      </c>
      <c r="E55" s="694" t="s">
        <v>686</v>
      </c>
      <c r="F55" s="694" t="s">
        <v>29</v>
      </c>
      <c r="G55" s="694" t="s">
        <v>687</v>
      </c>
      <c r="H55" s="694">
        <v>2011</v>
      </c>
      <c r="I55" s="646" t="s">
        <v>571</v>
      </c>
      <c r="J55" s="646" t="s">
        <v>581</v>
      </c>
      <c r="K55" s="635"/>
      <c r="L55" s="698">
        <v>0.13927031489425407</v>
      </c>
      <c r="M55" s="699">
        <v>0.13927031489425407</v>
      </c>
      <c r="N55" s="699">
        <v>0.13927031489425407</v>
      </c>
      <c r="O55" s="699">
        <v>0.13927031489425407</v>
      </c>
      <c r="P55" s="699">
        <v>0.13927031489425407</v>
      </c>
      <c r="Q55" s="699">
        <v>0.12973923425446024</v>
      </c>
      <c r="R55" s="699">
        <v>9.0746083205959782E-2</v>
      </c>
      <c r="S55" s="699">
        <v>9.0538328885071337E-2</v>
      </c>
      <c r="T55" s="699">
        <v>9.0538328885071337E-2</v>
      </c>
      <c r="U55" s="699">
        <v>5.0623519179099553E-2</v>
      </c>
      <c r="V55" s="699">
        <v>6.6917422402870868E-3</v>
      </c>
      <c r="W55" s="699">
        <v>6.6846837182218209E-3</v>
      </c>
      <c r="X55" s="699">
        <v>6.6846837182218209E-3</v>
      </c>
      <c r="Y55" s="699">
        <v>6.5111211814536368E-3</v>
      </c>
      <c r="Z55" s="699">
        <v>6.5111211814536368E-3</v>
      </c>
      <c r="AA55" s="699">
        <v>6.3920365528069359E-3</v>
      </c>
      <c r="AB55" s="699">
        <v>0</v>
      </c>
      <c r="AC55" s="699">
        <v>0</v>
      </c>
      <c r="AD55" s="699">
        <v>0</v>
      </c>
      <c r="AE55" s="699">
        <v>0</v>
      </c>
      <c r="AF55" s="699">
        <v>0</v>
      </c>
      <c r="AG55" s="699">
        <v>0</v>
      </c>
      <c r="AH55" s="699">
        <v>0</v>
      </c>
      <c r="AI55" s="699">
        <v>0</v>
      </c>
      <c r="AJ55" s="699">
        <v>0</v>
      </c>
      <c r="AK55" s="699">
        <v>0</v>
      </c>
      <c r="AL55" s="699">
        <v>0</v>
      </c>
      <c r="AM55" s="699">
        <v>0</v>
      </c>
      <c r="AN55" s="699">
        <v>0</v>
      </c>
      <c r="AO55" s="700">
        <v>0</v>
      </c>
      <c r="AP55" s="635"/>
      <c r="AQ55" s="698">
        <v>2384.6572671527952</v>
      </c>
      <c r="AR55" s="699">
        <v>2384.6572671527952</v>
      </c>
      <c r="AS55" s="699">
        <v>2384.6572671527952</v>
      </c>
      <c r="AT55" s="699">
        <v>2384.6572671527952</v>
      </c>
      <c r="AU55" s="699">
        <v>2384.6572671527952</v>
      </c>
      <c r="AV55" s="699">
        <v>2178.8155093685659</v>
      </c>
      <c r="AW55" s="699">
        <v>1336.6844796658399</v>
      </c>
      <c r="AX55" s="699">
        <v>1334.8645518148569</v>
      </c>
      <c r="AY55" s="699">
        <v>1334.8645518148569</v>
      </c>
      <c r="AZ55" s="699">
        <v>472.82855589677212</v>
      </c>
      <c r="BA55" s="699">
        <v>213.54886928961946</v>
      </c>
      <c r="BB55" s="699">
        <v>155.37857277500481</v>
      </c>
      <c r="BC55" s="699">
        <v>155.37857277500481</v>
      </c>
      <c r="BD55" s="699">
        <v>139.44813124004338</v>
      </c>
      <c r="BE55" s="699">
        <v>139.44813124004338</v>
      </c>
      <c r="BF55" s="699">
        <v>138.04814895357833</v>
      </c>
      <c r="BG55" s="699">
        <v>0</v>
      </c>
      <c r="BH55" s="699">
        <v>0</v>
      </c>
      <c r="BI55" s="699">
        <v>0</v>
      </c>
      <c r="BJ55" s="699">
        <v>0</v>
      </c>
      <c r="BK55" s="699">
        <v>0</v>
      </c>
      <c r="BL55" s="699">
        <v>0</v>
      </c>
      <c r="BM55" s="699">
        <v>0</v>
      </c>
      <c r="BN55" s="699">
        <v>0</v>
      </c>
      <c r="BO55" s="699">
        <v>0</v>
      </c>
      <c r="BP55" s="699">
        <v>0</v>
      </c>
      <c r="BQ55" s="699">
        <v>0</v>
      </c>
      <c r="BR55" s="699">
        <v>0</v>
      </c>
      <c r="BS55" s="699">
        <v>0</v>
      </c>
      <c r="BT55" s="700">
        <v>0</v>
      </c>
    </row>
    <row r="56" spans="2:73" s="763" customFormat="1">
      <c r="B56" s="694" t="s">
        <v>207</v>
      </c>
      <c r="C56" s="694" t="s">
        <v>688</v>
      </c>
      <c r="D56" s="694" t="s">
        <v>696</v>
      </c>
      <c r="E56" s="694" t="s">
        <v>686</v>
      </c>
      <c r="F56" s="694" t="s">
        <v>690</v>
      </c>
      <c r="G56" s="694" t="s">
        <v>691</v>
      </c>
      <c r="H56" s="694">
        <v>2013</v>
      </c>
      <c r="I56" s="646" t="s">
        <v>572</v>
      </c>
      <c r="J56" s="646" t="s">
        <v>588</v>
      </c>
      <c r="K56" s="760"/>
      <c r="L56" s="698">
        <v>0</v>
      </c>
      <c r="M56" s="699">
        <v>0</v>
      </c>
      <c r="N56" s="699">
        <v>110.3223</v>
      </c>
      <c r="O56" s="699">
        <v>0</v>
      </c>
      <c r="P56" s="699">
        <v>0</v>
      </c>
      <c r="Q56" s="699">
        <v>0</v>
      </c>
      <c r="R56" s="699">
        <v>0</v>
      </c>
      <c r="S56" s="699">
        <v>0</v>
      </c>
      <c r="T56" s="699">
        <v>0</v>
      </c>
      <c r="U56" s="699">
        <v>0</v>
      </c>
      <c r="V56" s="699">
        <v>0</v>
      </c>
      <c r="W56" s="699">
        <v>0</v>
      </c>
      <c r="X56" s="699">
        <v>0</v>
      </c>
      <c r="Y56" s="699">
        <v>0</v>
      </c>
      <c r="Z56" s="699">
        <v>0</v>
      </c>
      <c r="AA56" s="699">
        <v>0</v>
      </c>
      <c r="AB56" s="699">
        <v>0</v>
      </c>
      <c r="AC56" s="699">
        <v>0</v>
      </c>
      <c r="AD56" s="699">
        <v>0</v>
      </c>
      <c r="AE56" s="699">
        <v>0</v>
      </c>
      <c r="AF56" s="699">
        <v>0</v>
      </c>
      <c r="AG56" s="699">
        <v>0</v>
      </c>
      <c r="AH56" s="699">
        <v>0</v>
      </c>
      <c r="AI56" s="699">
        <v>0</v>
      </c>
      <c r="AJ56" s="699">
        <v>0</v>
      </c>
      <c r="AK56" s="699">
        <v>0</v>
      </c>
      <c r="AL56" s="699">
        <v>0</v>
      </c>
      <c r="AM56" s="699">
        <v>0</v>
      </c>
      <c r="AN56" s="699">
        <v>0</v>
      </c>
      <c r="AO56" s="700">
        <v>0</v>
      </c>
      <c r="AP56" s="760"/>
      <c r="AQ56" s="698">
        <v>0</v>
      </c>
      <c r="AR56" s="699">
        <v>0</v>
      </c>
      <c r="AS56" s="699">
        <v>1473.1110000000001</v>
      </c>
      <c r="AT56" s="699">
        <v>0</v>
      </c>
      <c r="AU56" s="699">
        <v>0</v>
      </c>
      <c r="AV56" s="699">
        <v>0</v>
      </c>
      <c r="AW56" s="699">
        <v>0</v>
      </c>
      <c r="AX56" s="699">
        <v>0</v>
      </c>
      <c r="AY56" s="699">
        <v>0</v>
      </c>
      <c r="AZ56" s="699">
        <v>0</v>
      </c>
      <c r="BA56" s="699">
        <v>0</v>
      </c>
      <c r="BB56" s="699">
        <v>0</v>
      </c>
      <c r="BC56" s="699">
        <v>0</v>
      </c>
      <c r="BD56" s="699">
        <v>0</v>
      </c>
      <c r="BE56" s="699">
        <v>0</v>
      </c>
      <c r="BF56" s="699">
        <v>0</v>
      </c>
      <c r="BG56" s="699">
        <v>0</v>
      </c>
      <c r="BH56" s="699">
        <v>0</v>
      </c>
      <c r="BI56" s="699">
        <v>0</v>
      </c>
      <c r="BJ56" s="699">
        <v>0</v>
      </c>
      <c r="BK56" s="699">
        <v>0</v>
      </c>
      <c r="BL56" s="699">
        <v>0</v>
      </c>
      <c r="BM56" s="699">
        <v>0</v>
      </c>
      <c r="BN56" s="699">
        <v>0</v>
      </c>
      <c r="BO56" s="699">
        <v>0</v>
      </c>
      <c r="BP56" s="699">
        <v>0</v>
      </c>
      <c r="BQ56" s="699">
        <v>0</v>
      </c>
      <c r="BR56" s="699">
        <v>0</v>
      </c>
      <c r="BS56" s="699">
        <v>0</v>
      </c>
      <c r="BT56" s="700">
        <v>0</v>
      </c>
      <c r="BU56" s="761"/>
    </row>
    <row r="57" spans="2:73">
      <c r="B57" s="694" t="s">
        <v>207</v>
      </c>
      <c r="C57" s="694" t="s">
        <v>688</v>
      </c>
      <c r="D57" s="694" t="s">
        <v>22</v>
      </c>
      <c r="E57" s="694" t="s">
        <v>686</v>
      </c>
      <c r="F57" s="694" t="s">
        <v>690</v>
      </c>
      <c r="G57" s="694" t="s">
        <v>687</v>
      </c>
      <c r="H57" s="694">
        <v>2012</v>
      </c>
      <c r="I57" s="646" t="s">
        <v>572</v>
      </c>
      <c r="J57" s="646" t="s">
        <v>581</v>
      </c>
      <c r="K57" s="635"/>
      <c r="L57" s="698">
        <v>0</v>
      </c>
      <c r="M57" s="699">
        <v>91.120680820999993</v>
      </c>
      <c r="N57" s="699">
        <v>91.120680820999993</v>
      </c>
      <c r="O57" s="699">
        <v>91.120680820999993</v>
      </c>
      <c r="P57" s="699">
        <v>91.120680820999993</v>
      </c>
      <c r="Q57" s="699">
        <v>91.120680820999993</v>
      </c>
      <c r="R57" s="699">
        <v>91.120680820999993</v>
      </c>
      <c r="S57" s="699">
        <v>90.184883650000003</v>
      </c>
      <c r="T57" s="699">
        <v>90.184883650000003</v>
      </c>
      <c r="U57" s="699">
        <v>90.184883650000003</v>
      </c>
      <c r="V57" s="699">
        <v>84.592916887000001</v>
      </c>
      <c r="W57" s="699">
        <v>72.287276117999994</v>
      </c>
      <c r="X57" s="699">
        <v>72.287276117999994</v>
      </c>
      <c r="Y57" s="699">
        <v>66.985401812999996</v>
      </c>
      <c r="Z57" s="699">
        <v>66.985401812999996</v>
      </c>
      <c r="AA57" s="699">
        <v>66.985401812999996</v>
      </c>
      <c r="AB57" s="699">
        <v>47.898284916999998</v>
      </c>
      <c r="AC57" s="699">
        <v>0</v>
      </c>
      <c r="AD57" s="699">
        <v>0</v>
      </c>
      <c r="AE57" s="699">
        <v>0</v>
      </c>
      <c r="AF57" s="699">
        <v>0</v>
      </c>
      <c r="AG57" s="699">
        <v>0</v>
      </c>
      <c r="AH57" s="699">
        <v>0</v>
      </c>
      <c r="AI57" s="699">
        <v>0</v>
      </c>
      <c r="AJ57" s="699">
        <v>0</v>
      </c>
      <c r="AK57" s="699">
        <v>0</v>
      </c>
      <c r="AL57" s="699">
        <v>0</v>
      </c>
      <c r="AM57" s="699">
        <v>0</v>
      </c>
      <c r="AN57" s="699">
        <v>0</v>
      </c>
      <c r="AO57" s="700">
        <v>0</v>
      </c>
      <c r="AP57" s="635"/>
      <c r="AQ57" s="698">
        <v>0</v>
      </c>
      <c r="AR57" s="699">
        <v>653791.59214575402</v>
      </c>
      <c r="AS57" s="699">
        <v>653791.59214575402</v>
      </c>
      <c r="AT57" s="699">
        <v>653791.59214575402</v>
      </c>
      <c r="AU57" s="699">
        <v>653791.59214575402</v>
      </c>
      <c r="AV57" s="699">
        <v>653791.59214575402</v>
      </c>
      <c r="AW57" s="699">
        <v>653791.59214575402</v>
      </c>
      <c r="AX57" s="699">
        <v>649913.33113442699</v>
      </c>
      <c r="AY57" s="699">
        <v>649913.33113442699</v>
      </c>
      <c r="AZ57" s="699">
        <v>645456.90039094805</v>
      </c>
      <c r="BA57" s="699">
        <v>620587.30911768298</v>
      </c>
      <c r="BB57" s="699">
        <v>565250.11850079696</v>
      </c>
      <c r="BC57" s="699">
        <v>558649.76452837896</v>
      </c>
      <c r="BD57" s="699">
        <v>523264.34595745901</v>
      </c>
      <c r="BE57" s="699">
        <v>523264.34595745901</v>
      </c>
      <c r="BF57" s="699">
        <v>523264.34595745901</v>
      </c>
      <c r="BG57" s="699">
        <v>374163.08704700798</v>
      </c>
      <c r="BH57" s="699">
        <v>0</v>
      </c>
      <c r="BI57" s="699">
        <v>0</v>
      </c>
      <c r="BJ57" s="699">
        <v>0</v>
      </c>
      <c r="BK57" s="699">
        <v>0</v>
      </c>
      <c r="BL57" s="699">
        <v>0</v>
      </c>
      <c r="BM57" s="699">
        <v>0</v>
      </c>
      <c r="BN57" s="699">
        <v>0</v>
      </c>
      <c r="BO57" s="699">
        <v>0</v>
      </c>
      <c r="BP57" s="699">
        <v>0</v>
      </c>
      <c r="BQ57" s="699">
        <v>0</v>
      </c>
      <c r="BR57" s="699">
        <v>0</v>
      </c>
      <c r="BS57" s="699">
        <v>0</v>
      </c>
      <c r="BT57" s="700">
        <v>0</v>
      </c>
    </row>
    <row r="58" spans="2:73">
      <c r="B58" s="694" t="s">
        <v>207</v>
      </c>
      <c r="C58" s="694" t="s">
        <v>688</v>
      </c>
      <c r="D58" s="694" t="s">
        <v>22</v>
      </c>
      <c r="E58" s="694" t="s">
        <v>686</v>
      </c>
      <c r="F58" s="694" t="s">
        <v>690</v>
      </c>
      <c r="G58" s="694" t="s">
        <v>687</v>
      </c>
      <c r="H58" s="694">
        <v>2013</v>
      </c>
      <c r="I58" s="646" t="s">
        <v>572</v>
      </c>
      <c r="J58" s="646" t="s">
        <v>588</v>
      </c>
      <c r="K58" s="635"/>
      <c r="L58" s="698">
        <v>0</v>
      </c>
      <c r="M58" s="699">
        <v>0</v>
      </c>
      <c r="N58" s="699">
        <v>278.76463909099999</v>
      </c>
      <c r="O58" s="699">
        <v>278.67181947199998</v>
      </c>
      <c r="P58" s="699">
        <v>278.67181947199998</v>
      </c>
      <c r="Q58" s="699">
        <v>278.67181947199998</v>
      </c>
      <c r="R58" s="699">
        <v>277.17682376599998</v>
      </c>
      <c r="S58" s="699">
        <v>249.28606208100001</v>
      </c>
      <c r="T58" s="699">
        <v>249.28606208100001</v>
      </c>
      <c r="U58" s="699">
        <v>249.28606208100001</v>
      </c>
      <c r="V58" s="699">
        <v>233.03307574600001</v>
      </c>
      <c r="W58" s="699">
        <v>211.22223448899999</v>
      </c>
      <c r="X58" s="699">
        <v>185.718427249</v>
      </c>
      <c r="Y58" s="699">
        <v>185.718427249</v>
      </c>
      <c r="Z58" s="699">
        <v>31.318833364</v>
      </c>
      <c r="AA58" s="699">
        <v>31.318833364</v>
      </c>
      <c r="AB58" s="699">
        <v>31.318833364</v>
      </c>
      <c r="AC58" s="699">
        <v>31.318833364</v>
      </c>
      <c r="AD58" s="699">
        <v>31.238507783999999</v>
      </c>
      <c r="AE58" s="699">
        <v>31.219204782999999</v>
      </c>
      <c r="AF58" s="699">
        <v>31.219204782999999</v>
      </c>
      <c r="AG58" s="699">
        <v>31.219204782999999</v>
      </c>
      <c r="AH58" s="699">
        <v>0</v>
      </c>
      <c r="AI58" s="699">
        <v>0</v>
      </c>
      <c r="AJ58" s="699">
        <v>0</v>
      </c>
      <c r="AK58" s="699">
        <v>0</v>
      </c>
      <c r="AL58" s="699">
        <v>0</v>
      </c>
      <c r="AM58" s="699">
        <v>0</v>
      </c>
      <c r="AN58" s="699">
        <v>0</v>
      </c>
      <c r="AO58" s="700">
        <v>0</v>
      </c>
      <c r="AP58" s="635"/>
      <c r="AQ58" s="698">
        <v>0</v>
      </c>
      <c r="AR58" s="699">
        <v>0</v>
      </c>
      <c r="AS58" s="699">
        <v>1648280.13542199</v>
      </c>
      <c r="AT58" s="699">
        <v>1647989.3553927999</v>
      </c>
      <c r="AU58" s="699">
        <v>1647989.3553927999</v>
      </c>
      <c r="AV58" s="699">
        <v>1647989.3553927999</v>
      </c>
      <c r="AW58" s="699">
        <v>1643305.9046599499</v>
      </c>
      <c r="AX58" s="699">
        <v>1546942.4481466999</v>
      </c>
      <c r="AY58" s="699">
        <v>1546942.4481466999</v>
      </c>
      <c r="AZ58" s="699">
        <v>1543242.1518780401</v>
      </c>
      <c r="BA58" s="699">
        <v>1481185.38165525</v>
      </c>
      <c r="BB58" s="699">
        <v>1342869.9853969601</v>
      </c>
      <c r="BC58" s="699">
        <v>1144176.68413758</v>
      </c>
      <c r="BD58" s="699">
        <v>1113495.81429031</v>
      </c>
      <c r="BE58" s="699">
        <v>103484.966478774</v>
      </c>
      <c r="BF58" s="699">
        <v>103484.966478774</v>
      </c>
      <c r="BG58" s="699">
        <v>103484.966478774</v>
      </c>
      <c r="BH58" s="699">
        <v>92386.136764734998</v>
      </c>
      <c r="BI58" s="699">
        <v>46742.901983702999</v>
      </c>
      <c r="BJ58" s="699">
        <v>46730.040794218003</v>
      </c>
      <c r="BK58" s="699">
        <v>46730.040794218003</v>
      </c>
      <c r="BL58" s="699">
        <v>46730.040794218003</v>
      </c>
      <c r="BM58" s="699">
        <v>0</v>
      </c>
      <c r="BN58" s="699">
        <v>0</v>
      </c>
      <c r="BO58" s="699">
        <v>0</v>
      </c>
      <c r="BP58" s="699">
        <v>0</v>
      </c>
      <c r="BQ58" s="699">
        <v>0</v>
      </c>
      <c r="BR58" s="699">
        <v>0</v>
      </c>
      <c r="BS58" s="699">
        <v>0</v>
      </c>
      <c r="BT58" s="700">
        <v>0</v>
      </c>
    </row>
    <row r="59" spans="2:73">
      <c r="B59" s="694" t="s">
        <v>207</v>
      </c>
      <c r="C59" s="694" t="s">
        <v>688</v>
      </c>
      <c r="D59" s="694" t="s">
        <v>697</v>
      </c>
      <c r="E59" s="694" t="s">
        <v>686</v>
      </c>
      <c r="F59" s="694" t="s">
        <v>690</v>
      </c>
      <c r="G59" s="694" t="s">
        <v>687</v>
      </c>
      <c r="H59" s="694">
        <v>2013</v>
      </c>
      <c r="I59" s="646" t="s">
        <v>572</v>
      </c>
      <c r="J59" s="646" t="s">
        <v>588</v>
      </c>
      <c r="K59" s="635"/>
      <c r="L59" s="698">
        <v>0</v>
      </c>
      <c r="M59" s="699">
        <v>0</v>
      </c>
      <c r="N59" s="699">
        <v>36.758877499</v>
      </c>
      <c r="O59" s="699">
        <v>36.758877499</v>
      </c>
      <c r="P59" s="699">
        <v>36.164244087</v>
      </c>
      <c r="Q59" s="699">
        <v>31.847167793000001</v>
      </c>
      <c r="R59" s="699">
        <v>8.5060013429999994</v>
      </c>
      <c r="S59" s="699">
        <v>8.5060013429999994</v>
      </c>
      <c r="T59" s="699">
        <v>8.5060013429999994</v>
      </c>
      <c r="U59" s="699">
        <v>8.5060013429999994</v>
      </c>
      <c r="V59" s="699">
        <v>8.5060013429999994</v>
      </c>
      <c r="W59" s="699">
        <v>8.5060013429999994</v>
      </c>
      <c r="X59" s="699">
        <v>6.969912721</v>
      </c>
      <c r="Y59" s="699">
        <v>3.9540058979999997</v>
      </c>
      <c r="Z59" s="699">
        <v>0</v>
      </c>
      <c r="AA59" s="699">
        <v>0</v>
      </c>
      <c r="AB59" s="699">
        <v>0</v>
      </c>
      <c r="AC59" s="699">
        <v>0</v>
      </c>
      <c r="AD59" s="699">
        <v>0</v>
      </c>
      <c r="AE59" s="699">
        <v>0</v>
      </c>
      <c r="AF59" s="699">
        <v>0</v>
      </c>
      <c r="AG59" s="699">
        <v>0</v>
      </c>
      <c r="AH59" s="699">
        <v>0</v>
      </c>
      <c r="AI59" s="699">
        <v>0</v>
      </c>
      <c r="AJ59" s="699">
        <v>0</v>
      </c>
      <c r="AK59" s="699">
        <v>0</v>
      </c>
      <c r="AL59" s="699">
        <v>0</v>
      </c>
      <c r="AM59" s="699">
        <v>0</v>
      </c>
      <c r="AN59" s="699">
        <v>0</v>
      </c>
      <c r="AO59" s="700">
        <v>0</v>
      </c>
      <c r="AP59" s="635"/>
      <c r="AQ59" s="698">
        <v>0</v>
      </c>
      <c r="AR59" s="699">
        <v>0</v>
      </c>
      <c r="AS59" s="699">
        <v>129288.798196442</v>
      </c>
      <c r="AT59" s="699">
        <v>129288.798196442</v>
      </c>
      <c r="AU59" s="699">
        <v>127120.738790613</v>
      </c>
      <c r="AV59" s="699">
        <v>109679.568810973</v>
      </c>
      <c r="AW59" s="699">
        <v>36181.239862296999</v>
      </c>
      <c r="AX59" s="699">
        <v>36181.239862296999</v>
      </c>
      <c r="AY59" s="699">
        <v>36181.239862296999</v>
      </c>
      <c r="AZ59" s="699">
        <v>36181.239862296999</v>
      </c>
      <c r="BA59" s="699">
        <v>36181.239862296999</v>
      </c>
      <c r="BB59" s="699">
        <v>36181.239862296999</v>
      </c>
      <c r="BC59" s="699">
        <v>22246.036062398001</v>
      </c>
      <c r="BD59" s="699">
        <v>12444.153999812001</v>
      </c>
      <c r="BE59" s="699">
        <v>0</v>
      </c>
      <c r="BF59" s="699">
        <v>0</v>
      </c>
      <c r="BG59" s="699">
        <v>0</v>
      </c>
      <c r="BH59" s="699">
        <v>0</v>
      </c>
      <c r="BI59" s="699">
        <v>0</v>
      </c>
      <c r="BJ59" s="699">
        <v>0</v>
      </c>
      <c r="BK59" s="699">
        <v>0</v>
      </c>
      <c r="BL59" s="699">
        <v>0</v>
      </c>
      <c r="BM59" s="699">
        <v>0</v>
      </c>
      <c r="BN59" s="699">
        <v>0</v>
      </c>
      <c r="BO59" s="699">
        <v>0</v>
      </c>
      <c r="BP59" s="699">
        <v>0</v>
      </c>
      <c r="BQ59" s="699">
        <v>0</v>
      </c>
      <c r="BR59" s="699">
        <v>0</v>
      </c>
      <c r="BS59" s="699">
        <v>0</v>
      </c>
      <c r="BT59" s="700">
        <v>0</v>
      </c>
    </row>
    <row r="60" spans="2:73" ht="15.75">
      <c r="B60" s="694" t="s">
        <v>207</v>
      </c>
      <c r="C60" s="694" t="s">
        <v>685</v>
      </c>
      <c r="D60" s="694" t="s">
        <v>698</v>
      </c>
      <c r="E60" s="694" t="s">
        <v>686</v>
      </c>
      <c r="F60" s="694" t="s">
        <v>29</v>
      </c>
      <c r="G60" s="694" t="s">
        <v>687</v>
      </c>
      <c r="H60" s="694">
        <v>2013</v>
      </c>
      <c r="I60" s="646" t="s">
        <v>572</v>
      </c>
      <c r="J60" s="646" t="s">
        <v>588</v>
      </c>
      <c r="K60" s="635"/>
      <c r="L60" s="698">
        <v>0</v>
      </c>
      <c r="M60" s="699">
        <v>0</v>
      </c>
      <c r="N60" s="699">
        <v>4.4689178649999999</v>
      </c>
      <c r="O60" s="699">
        <v>4.4689178649999999</v>
      </c>
      <c r="P60" s="699">
        <v>4.3076137660000002</v>
      </c>
      <c r="Q60" s="699">
        <v>3.6926939230000002</v>
      </c>
      <c r="R60" s="699">
        <v>3.6926939230000002</v>
      </c>
      <c r="S60" s="699">
        <v>3.6926939230000002</v>
      </c>
      <c r="T60" s="699">
        <v>3.6926939230000002</v>
      </c>
      <c r="U60" s="699">
        <v>3.687526826</v>
      </c>
      <c r="V60" s="699">
        <v>2.7580565030000002</v>
      </c>
      <c r="W60" s="699">
        <v>2.7580565030000002</v>
      </c>
      <c r="X60" s="699">
        <v>2.2154527270000002</v>
      </c>
      <c r="Y60" s="699">
        <v>2.2153907269999999</v>
      </c>
      <c r="Z60" s="699">
        <v>2.2153907269999999</v>
      </c>
      <c r="AA60" s="699">
        <v>2.2120880070000002</v>
      </c>
      <c r="AB60" s="699">
        <v>2.2120880070000002</v>
      </c>
      <c r="AC60" s="699">
        <v>2.2093824479999999</v>
      </c>
      <c r="AD60" s="699">
        <v>2.1411096860000001</v>
      </c>
      <c r="AE60" s="699">
        <v>1.2567838790000001</v>
      </c>
      <c r="AF60" s="699">
        <v>1.2567838790000001</v>
      </c>
      <c r="AG60" s="699">
        <v>1.2567838790000001</v>
      </c>
      <c r="AH60" s="699">
        <v>0</v>
      </c>
      <c r="AI60" s="699">
        <v>0</v>
      </c>
      <c r="AJ60" s="699">
        <v>0</v>
      </c>
      <c r="AK60" s="699">
        <v>0</v>
      </c>
      <c r="AL60" s="699">
        <v>0</v>
      </c>
      <c r="AM60" s="699">
        <v>0</v>
      </c>
      <c r="AN60" s="699">
        <v>0</v>
      </c>
      <c r="AO60" s="700">
        <v>0</v>
      </c>
      <c r="AP60" s="635"/>
      <c r="AQ60" s="698">
        <v>0</v>
      </c>
      <c r="AR60" s="699">
        <v>0</v>
      </c>
      <c r="AS60" s="699">
        <v>66677.226076221006</v>
      </c>
      <c r="AT60" s="699">
        <v>66677.226076221006</v>
      </c>
      <c r="AU60" s="699">
        <v>64107.760651850003</v>
      </c>
      <c r="AV60" s="699">
        <v>54312.502613990997</v>
      </c>
      <c r="AW60" s="699">
        <v>54312.502613990997</v>
      </c>
      <c r="AX60" s="699">
        <v>54312.502613990997</v>
      </c>
      <c r="AY60" s="699">
        <v>54312.502613990997</v>
      </c>
      <c r="AZ60" s="699">
        <v>54267.238843469</v>
      </c>
      <c r="BA60" s="699">
        <v>39461.40398648</v>
      </c>
      <c r="BB60" s="699">
        <v>39461.40398648</v>
      </c>
      <c r="BC60" s="699">
        <v>35880.128673735999</v>
      </c>
      <c r="BD60" s="699">
        <v>35369.179859946998</v>
      </c>
      <c r="BE60" s="699">
        <v>35369.179859946998</v>
      </c>
      <c r="BF60" s="699">
        <v>35223.782521699002</v>
      </c>
      <c r="BG60" s="699">
        <v>35223.782521699002</v>
      </c>
      <c r="BH60" s="699">
        <v>35193.971086596997</v>
      </c>
      <c r="BI60" s="699">
        <v>34106.432070565003</v>
      </c>
      <c r="BJ60" s="699">
        <v>20019.718884073998</v>
      </c>
      <c r="BK60" s="699">
        <v>20019.718884073998</v>
      </c>
      <c r="BL60" s="699">
        <v>20019.718884073998</v>
      </c>
      <c r="BM60" s="699">
        <v>0</v>
      </c>
      <c r="BN60" s="699">
        <v>0</v>
      </c>
      <c r="BO60" s="699">
        <v>0</v>
      </c>
      <c r="BP60" s="699">
        <v>0</v>
      </c>
      <c r="BQ60" s="699">
        <v>0</v>
      </c>
      <c r="BR60" s="699">
        <v>0</v>
      </c>
      <c r="BS60" s="699">
        <v>0</v>
      </c>
      <c r="BT60" s="700">
        <v>0</v>
      </c>
      <c r="BU60" s="165"/>
    </row>
    <row r="61" spans="2:73">
      <c r="B61" s="694" t="s">
        <v>207</v>
      </c>
      <c r="C61" s="694" t="s">
        <v>685</v>
      </c>
      <c r="D61" s="694" t="s">
        <v>2</v>
      </c>
      <c r="E61" s="694" t="s">
        <v>686</v>
      </c>
      <c r="F61" s="694" t="s">
        <v>29</v>
      </c>
      <c r="G61" s="694" t="s">
        <v>687</v>
      </c>
      <c r="H61" s="694">
        <v>2013</v>
      </c>
      <c r="I61" s="646" t="s">
        <v>572</v>
      </c>
      <c r="J61" s="646" t="s">
        <v>588</v>
      </c>
      <c r="K61" s="635"/>
      <c r="L61" s="698">
        <v>0</v>
      </c>
      <c r="M61" s="699">
        <v>0</v>
      </c>
      <c r="N61" s="699">
        <v>6.0086288720000001</v>
      </c>
      <c r="O61" s="699">
        <v>6.0086288720000001</v>
      </c>
      <c r="P61" s="699">
        <v>6.0086288720000001</v>
      </c>
      <c r="Q61" s="699">
        <v>6.0086288720000001</v>
      </c>
      <c r="R61" s="699">
        <v>0</v>
      </c>
      <c r="S61" s="699">
        <v>0</v>
      </c>
      <c r="T61" s="699">
        <v>0</v>
      </c>
      <c r="U61" s="699">
        <v>0</v>
      </c>
      <c r="V61" s="699">
        <v>0</v>
      </c>
      <c r="W61" s="699">
        <v>0</v>
      </c>
      <c r="X61" s="699">
        <v>0</v>
      </c>
      <c r="Y61" s="699">
        <v>0</v>
      </c>
      <c r="Z61" s="699">
        <v>0</v>
      </c>
      <c r="AA61" s="699">
        <v>0</v>
      </c>
      <c r="AB61" s="699">
        <v>0</v>
      </c>
      <c r="AC61" s="699">
        <v>0</v>
      </c>
      <c r="AD61" s="699">
        <v>0</v>
      </c>
      <c r="AE61" s="699">
        <v>0</v>
      </c>
      <c r="AF61" s="699">
        <v>0</v>
      </c>
      <c r="AG61" s="699">
        <v>0</v>
      </c>
      <c r="AH61" s="699">
        <v>0</v>
      </c>
      <c r="AI61" s="699">
        <v>0</v>
      </c>
      <c r="AJ61" s="699">
        <v>0</v>
      </c>
      <c r="AK61" s="699">
        <v>0</v>
      </c>
      <c r="AL61" s="699">
        <v>0</v>
      </c>
      <c r="AM61" s="699">
        <v>0</v>
      </c>
      <c r="AN61" s="699">
        <v>0</v>
      </c>
      <c r="AO61" s="700">
        <v>0</v>
      </c>
      <c r="AP61" s="635"/>
      <c r="AQ61" s="698">
        <v>0</v>
      </c>
      <c r="AR61" s="699">
        <v>0</v>
      </c>
      <c r="AS61" s="699">
        <v>10713.756460000001</v>
      </c>
      <c r="AT61" s="699">
        <v>10713.756460000001</v>
      </c>
      <c r="AU61" s="699">
        <v>10713.756460000001</v>
      </c>
      <c r="AV61" s="699">
        <v>10713.756460000001</v>
      </c>
      <c r="AW61" s="699">
        <v>0</v>
      </c>
      <c r="AX61" s="699">
        <v>0</v>
      </c>
      <c r="AY61" s="699">
        <v>0</v>
      </c>
      <c r="AZ61" s="699">
        <v>0</v>
      </c>
      <c r="BA61" s="699">
        <v>0</v>
      </c>
      <c r="BB61" s="699">
        <v>0</v>
      </c>
      <c r="BC61" s="699">
        <v>0</v>
      </c>
      <c r="BD61" s="699">
        <v>0</v>
      </c>
      <c r="BE61" s="699">
        <v>0</v>
      </c>
      <c r="BF61" s="699">
        <v>0</v>
      </c>
      <c r="BG61" s="699">
        <v>0</v>
      </c>
      <c r="BH61" s="699">
        <v>0</v>
      </c>
      <c r="BI61" s="699">
        <v>0</v>
      </c>
      <c r="BJ61" s="699">
        <v>0</v>
      </c>
      <c r="BK61" s="699">
        <v>0</v>
      </c>
      <c r="BL61" s="699">
        <v>0</v>
      </c>
      <c r="BM61" s="699">
        <v>0</v>
      </c>
      <c r="BN61" s="699">
        <v>0</v>
      </c>
      <c r="BO61" s="699">
        <v>0</v>
      </c>
      <c r="BP61" s="699">
        <v>0</v>
      </c>
      <c r="BQ61" s="699">
        <v>0</v>
      </c>
      <c r="BR61" s="699">
        <v>0</v>
      </c>
      <c r="BS61" s="699">
        <v>0</v>
      </c>
      <c r="BT61" s="700">
        <v>0</v>
      </c>
    </row>
    <row r="62" spans="2:73">
      <c r="B62" s="694" t="s">
        <v>207</v>
      </c>
      <c r="C62" s="694" t="s">
        <v>685</v>
      </c>
      <c r="D62" s="694" t="s">
        <v>1</v>
      </c>
      <c r="E62" s="694" t="s">
        <v>686</v>
      </c>
      <c r="F62" s="694" t="s">
        <v>29</v>
      </c>
      <c r="G62" s="694" t="s">
        <v>687</v>
      </c>
      <c r="H62" s="694">
        <v>2013</v>
      </c>
      <c r="I62" s="646" t="s">
        <v>572</v>
      </c>
      <c r="J62" s="646" t="s">
        <v>588</v>
      </c>
      <c r="K62" s="635"/>
      <c r="L62" s="698">
        <v>0</v>
      </c>
      <c r="M62" s="699">
        <v>0</v>
      </c>
      <c r="N62" s="699">
        <v>9.2465847869999997</v>
      </c>
      <c r="O62" s="699">
        <v>9.2465847869999997</v>
      </c>
      <c r="P62" s="699">
        <v>9.2465847869999997</v>
      </c>
      <c r="Q62" s="699">
        <v>9.2465847869999997</v>
      </c>
      <c r="R62" s="699">
        <v>5.8258808010000003</v>
      </c>
      <c r="S62" s="699">
        <v>0</v>
      </c>
      <c r="T62" s="699">
        <v>0</v>
      </c>
      <c r="U62" s="699">
        <v>0</v>
      </c>
      <c r="V62" s="699">
        <v>0</v>
      </c>
      <c r="W62" s="699">
        <v>0</v>
      </c>
      <c r="X62" s="699">
        <v>0</v>
      </c>
      <c r="Y62" s="699">
        <v>0</v>
      </c>
      <c r="Z62" s="699">
        <v>0</v>
      </c>
      <c r="AA62" s="699">
        <v>0</v>
      </c>
      <c r="AB62" s="699">
        <v>0</v>
      </c>
      <c r="AC62" s="699">
        <v>0</v>
      </c>
      <c r="AD62" s="699">
        <v>0</v>
      </c>
      <c r="AE62" s="699">
        <v>0</v>
      </c>
      <c r="AF62" s="699">
        <v>0</v>
      </c>
      <c r="AG62" s="699">
        <v>0</v>
      </c>
      <c r="AH62" s="699">
        <v>0</v>
      </c>
      <c r="AI62" s="699">
        <v>0</v>
      </c>
      <c r="AJ62" s="699">
        <v>0</v>
      </c>
      <c r="AK62" s="699">
        <v>0</v>
      </c>
      <c r="AL62" s="699">
        <v>0</v>
      </c>
      <c r="AM62" s="699">
        <v>0</v>
      </c>
      <c r="AN62" s="699">
        <v>0</v>
      </c>
      <c r="AO62" s="700">
        <v>0</v>
      </c>
      <c r="AP62" s="635"/>
      <c r="AQ62" s="698">
        <v>0</v>
      </c>
      <c r="AR62" s="699">
        <v>0</v>
      </c>
      <c r="AS62" s="699">
        <v>61677.666873553004</v>
      </c>
      <c r="AT62" s="699">
        <v>61677.666873553004</v>
      </c>
      <c r="AU62" s="699">
        <v>61677.666873553004</v>
      </c>
      <c r="AV62" s="699">
        <v>61677.666873553004</v>
      </c>
      <c r="AW62" s="699">
        <v>39640.255508062</v>
      </c>
      <c r="AX62" s="699">
        <v>0</v>
      </c>
      <c r="AY62" s="699">
        <v>0</v>
      </c>
      <c r="AZ62" s="699">
        <v>0</v>
      </c>
      <c r="BA62" s="699">
        <v>0</v>
      </c>
      <c r="BB62" s="699">
        <v>0</v>
      </c>
      <c r="BC62" s="699">
        <v>0</v>
      </c>
      <c r="BD62" s="699">
        <v>0</v>
      </c>
      <c r="BE62" s="699">
        <v>0</v>
      </c>
      <c r="BF62" s="699">
        <v>0</v>
      </c>
      <c r="BG62" s="699">
        <v>0</v>
      </c>
      <c r="BH62" s="699">
        <v>0</v>
      </c>
      <c r="BI62" s="699">
        <v>0</v>
      </c>
      <c r="BJ62" s="699">
        <v>0</v>
      </c>
      <c r="BK62" s="699">
        <v>0</v>
      </c>
      <c r="BL62" s="699">
        <v>0</v>
      </c>
      <c r="BM62" s="699">
        <v>0</v>
      </c>
      <c r="BN62" s="699">
        <v>0</v>
      </c>
      <c r="BO62" s="699">
        <v>0</v>
      </c>
      <c r="BP62" s="699">
        <v>0</v>
      </c>
      <c r="BQ62" s="699">
        <v>0</v>
      </c>
      <c r="BR62" s="699">
        <v>0</v>
      </c>
      <c r="BS62" s="699">
        <v>0</v>
      </c>
      <c r="BT62" s="700">
        <v>0</v>
      </c>
    </row>
    <row r="63" spans="2:73">
      <c r="B63" s="694" t="s">
        <v>207</v>
      </c>
      <c r="C63" s="694" t="s">
        <v>685</v>
      </c>
      <c r="D63" s="694" t="s">
        <v>699</v>
      </c>
      <c r="E63" s="694" t="s">
        <v>686</v>
      </c>
      <c r="F63" s="694" t="s">
        <v>29</v>
      </c>
      <c r="G63" s="694" t="s">
        <v>687</v>
      </c>
      <c r="H63" s="694">
        <v>2013</v>
      </c>
      <c r="I63" s="646" t="s">
        <v>572</v>
      </c>
      <c r="J63" s="646" t="s">
        <v>588</v>
      </c>
      <c r="K63" s="635"/>
      <c r="L63" s="698">
        <v>0</v>
      </c>
      <c r="M63" s="699">
        <v>0</v>
      </c>
      <c r="N63" s="699">
        <v>10.239704552999999</v>
      </c>
      <c r="O63" s="699">
        <v>10.239704552999999</v>
      </c>
      <c r="P63" s="699">
        <v>9.6775495859999996</v>
      </c>
      <c r="Q63" s="699">
        <v>7.7590573740000002</v>
      </c>
      <c r="R63" s="699">
        <v>7.7590573740000002</v>
      </c>
      <c r="S63" s="699">
        <v>7.7590573740000002</v>
      </c>
      <c r="T63" s="699">
        <v>7.7590573740000002</v>
      </c>
      <c r="U63" s="699">
        <v>7.7443798230000001</v>
      </c>
      <c r="V63" s="699">
        <v>6.6562186319999999</v>
      </c>
      <c r="W63" s="699">
        <v>6.6562186319999999</v>
      </c>
      <c r="X63" s="699">
        <v>4.8299442819999996</v>
      </c>
      <c r="Y63" s="699">
        <v>3.119794229</v>
      </c>
      <c r="Z63" s="699">
        <v>3.119794229</v>
      </c>
      <c r="AA63" s="699">
        <v>3.058336492</v>
      </c>
      <c r="AB63" s="699">
        <v>3.058336492</v>
      </c>
      <c r="AC63" s="699">
        <v>3.0268069999999998</v>
      </c>
      <c r="AD63" s="699">
        <v>2.612643013</v>
      </c>
      <c r="AE63" s="699">
        <v>1.5335624459999999</v>
      </c>
      <c r="AF63" s="699">
        <v>1.5335624459999999</v>
      </c>
      <c r="AG63" s="699">
        <v>1.5335624459999999</v>
      </c>
      <c r="AH63" s="699">
        <v>0</v>
      </c>
      <c r="AI63" s="699">
        <v>0</v>
      </c>
      <c r="AJ63" s="699">
        <v>0</v>
      </c>
      <c r="AK63" s="699">
        <v>0</v>
      </c>
      <c r="AL63" s="699">
        <v>0</v>
      </c>
      <c r="AM63" s="699">
        <v>0</v>
      </c>
      <c r="AN63" s="699">
        <v>0</v>
      </c>
      <c r="AO63" s="700">
        <v>0</v>
      </c>
      <c r="AP63" s="635"/>
      <c r="AQ63" s="698">
        <v>0</v>
      </c>
      <c r="AR63" s="699">
        <v>0</v>
      </c>
      <c r="AS63" s="699">
        <v>148620.60304883</v>
      </c>
      <c r="AT63" s="699">
        <v>148620.60304883</v>
      </c>
      <c r="AU63" s="699">
        <v>139665.85386660299</v>
      </c>
      <c r="AV63" s="699">
        <v>109105.56789739701</v>
      </c>
      <c r="AW63" s="699">
        <v>109105.56789739701</v>
      </c>
      <c r="AX63" s="699">
        <v>109105.56789739701</v>
      </c>
      <c r="AY63" s="699">
        <v>109105.56789739701</v>
      </c>
      <c r="AZ63" s="699">
        <v>108976.992549246</v>
      </c>
      <c r="BA63" s="699">
        <v>91643.319263644007</v>
      </c>
      <c r="BB63" s="699">
        <v>91643.319263644007</v>
      </c>
      <c r="BC63" s="699">
        <v>79744.471434114006</v>
      </c>
      <c r="BD63" s="699">
        <v>51267.988136737004</v>
      </c>
      <c r="BE63" s="699">
        <v>51267.988136737004</v>
      </c>
      <c r="BF63" s="699">
        <v>48562.402839736002</v>
      </c>
      <c r="BG63" s="699">
        <v>48562.402839736002</v>
      </c>
      <c r="BH63" s="699">
        <v>48214.992455510001</v>
      </c>
      <c r="BI63" s="699">
        <v>41617.63969933</v>
      </c>
      <c r="BJ63" s="699">
        <v>24428.614629296</v>
      </c>
      <c r="BK63" s="699">
        <v>24428.614629296</v>
      </c>
      <c r="BL63" s="699">
        <v>24428.614629296</v>
      </c>
      <c r="BM63" s="699">
        <v>0</v>
      </c>
      <c r="BN63" s="699">
        <v>0</v>
      </c>
      <c r="BO63" s="699">
        <v>0</v>
      </c>
      <c r="BP63" s="699">
        <v>0</v>
      </c>
      <c r="BQ63" s="699">
        <v>0</v>
      </c>
      <c r="BR63" s="699">
        <v>0</v>
      </c>
      <c r="BS63" s="699">
        <v>0</v>
      </c>
      <c r="BT63" s="700">
        <v>0</v>
      </c>
    </row>
    <row r="64" spans="2:73">
      <c r="B64" s="694" t="s">
        <v>207</v>
      </c>
      <c r="C64" s="694" t="s">
        <v>685</v>
      </c>
      <c r="D64" s="694" t="s">
        <v>14</v>
      </c>
      <c r="E64" s="694" t="s">
        <v>686</v>
      </c>
      <c r="F64" s="694" t="s">
        <v>29</v>
      </c>
      <c r="G64" s="694" t="s">
        <v>687</v>
      </c>
      <c r="H64" s="694">
        <v>2013</v>
      </c>
      <c r="I64" s="646" t="s">
        <v>572</v>
      </c>
      <c r="J64" s="646" t="s">
        <v>588</v>
      </c>
      <c r="K64" s="635"/>
      <c r="L64" s="698">
        <v>0</v>
      </c>
      <c r="M64" s="699">
        <v>0</v>
      </c>
      <c r="N64" s="699">
        <v>5.406790537</v>
      </c>
      <c r="O64" s="699">
        <v>5.4047529689999996</v>
      </c>
      <c r="P64" s="699">
        <v>5.4045677349999997</v>
      </c>
      <c r="Q64" s="699">
        <v>5.0615008010000002</v>
      </c>
      <c r="R64" s="699">
        <v>4.8907082590000002</v>
      </c>
      <c r="S64" s="699">
        <v>4.7199157329999997</v>
      </c>
      <c r="T64" s="699">
        <v>4.6574438779999996</v>
      </c>
      <c r="U64" s="699">
        <v>4.6574438779999996</v>
      </c>
      <c r="V64" s="699">
        <v>3.3235091720000001</v>
      </c>
      <c r="W64" s="699">
        <v>3.3235091720000001</v>
      </c>
      <c r="X64" s="699">
        <v>3.3150123360000001</v>
      </c>
      <c r="Y64" s="699">
        <v>3.3150123360000001</v>
      </c>
      <c r="Z64" s="699">
        <v>3.3150123360000001</v>
      </c>
      <c r="AA64" s="699">
        <v>3.3150123360000001</v>
      </c>
      <c r="AB64" s="699">
        <v>0.30539061099999998</v>
      </c>
      <c r="AC64" s="699">
        <v>0.2569227</v>
      </c>
      <c r="AD64" s="699">
        <v>0.2569227</v>
      </c>
      <c r="AE64" s="699">
        <v>0.2569227</v>
      </c>
      <c r="AF64" s="699">
        <v>0.2569227</v>
      </c>
      <c r="AG64" s="699">
        <v>0.2569227</v>
      </c>
      <c r="AH64" s="699">
        <v>0.2569227</v>
      </c>
      <c r="AI64" s="699">
        <v>0</v>
      </c>
      <c r="AJ64" s="699">
        <v>0</v>
      </c>
      <c r="AK64" s="699">
        <v>0</v>
      </c>
      <c r="AL64" s="699">
        <v>0</v>
      </c>
      <c r="AM64" s="699">
        <v>0</v>
      </c>
      <c r="AN64" s="699">
        <v>0</v>
      </c>
      <c r="AO64" s="700">
        <v>0</v>
      </c>
      <c r="AP64" s="635"/>
      <c r="AQ64" s="698">
        <v>0</v>
      </c>
      <c r="AR64" s="699">
        <v>0</v>
      </c>
      <c r="AS64" s="699">
        <v>66032.816413879002</v>
      </c>
      <c r="AT64" s="699">
        <v>65993.591880798005</v>
      </c>
      <c r="AU64" s="699">
        <v>65990.026016235002</v>
      </c>
      <c r="AV64" s="699">
        <v>59385.762853622</v>
      </c>
      <c r="AW64" s="699">
        <v>56097.895929336999</v>
      </c>
      <c r="AX64" s="699">
        <v>52810.027921677</v>
      </c>
      <c r="AY64" s="699">
        <v>51607.403791427998</v>
      </c>
      <c r="AZ64" s="699">
        <v>51607.403791427998</v>
      </c>
      <c r="BA64" s="699">
        <v>25928.288002014</v>
      </c>
      <c r="BB64" s="699">
        <v>25928.288002014</v>
      </c>
      <c r="BC64" s="699">
        <v>25858.220581055</v>
      </c>
      <c r="BD64" s="699">
        <v>25858.220581055</v>
      </c>
      <c r="BE64" s="699">
        <v>25858.220581055</v>
      </c>
      <c r="BF64" s="699">
        <v>25858.220581055</v>
      </c>
      <c r="BG64" s="699">
        <v>2293.8104858400002</v>
      </c>
      <c r="BH64" s="699">
        <v>1894.1297607419999</v>
      </c>
      <c r="BI64" s="699">
        <v>1894.1297607419999</v>
      </c>
      <c r="BJ64" s="699">
        <v>1894.1297607419999</v>
      </c>
      <c r="BK64" s="699">
        <v>1894.1297607419999</v>
      </c>
      <c r="BL64" s="699">
        <v>1894.1297607419999</v>
      </c>
      <c r="BM64" s="699">
        <v>1894.1297607419999</v>
      </c>
      <c r="BN64" s="699">
        <v>0</v>
      </c>
      <c r="BO64" s="699">
        <v>0</v>
      </c>
      <c r="BP64" s="699">
        <v>0</v>
      </c>
      <c r="BQ64" s="699">
        <v>0</v>
      </c>
      <c r="BR64" s="699">
        <v>0</v>
      </c>
      <c r="BS64" s="699">
        <v>0</v>
      </c>
      <c r="BT64" s="700">
        <v>0</v>
      </c>
    </row>
    <row r="65" spans="2:73">
      <c r="B65" s="694" t="s">
        <v>207</v>
      </c>
      <c r="C65" s="694" t="s">
        <v>685</v>
      </c>
      <c r="D65" s="694" t="s">
        <v>700</v>
      </c>
      <c r="E65" s="694" t="s">
        <v>686</v>
      </c>
      <c r="F65" s="694" t="s">
        <v>29</v>
      </c>
      <c r="G65" s="694" t="s">
        <v>687</v>
      </c>
      <c r="H65" s="694">
        <v>2012</v>
      </c>
      <c r="I65" s="646" t="s">
        <v>572</v>
      </c>
      <c r="J65" s="646" t="s">
        <v>581</v>
      </c>
      <c r="K65" s="635"/>
      <c r="L65" s="698">
        <v>0</v>
      </c>
      <c r="M65" s="699">
        <v>3.1899587459999998</v>
      </c>
      <c r="N65" s="699">
        <v>3.1899587459999998</v>
      </c>
      <c r="O65" s="699">
        <v>3.1899587459999998</v>
      </c>
      <c r="P65" s="699">
        <v>3.1899587459999998</v>
      </c>
      <c r="Q65" s="699">
        <v>3.1899587459999998</v>
      </c>
      <c r="R65" s="699">
        <v>3.1899587459999998</v>
      </c>
      <c r="S65" s="699">
        <v>3.1899587459999998</v>
      </c>
      <c r="T65" s="699">
        <v>3.1899587459999998</v>
      </c>
      <c r="U65" s="699">
        <v>3.1899587459999998</v>
      </c>
      <c r="V65" s="699">
        <v>3.1899587459999998</v>
      </c>
      <c r="W65" s="699">
        <v>3.1899587459999998</v>
      </c>
      <c r="X65" s="699">
        <v>3.1899587459999998</v>
      </c>
      <c r="Y65" s="699">
        <v>3.1899587459999998</v>
      </c>
      <c r="Z65" s="699">
        <v>3.1899587459999998</v>
      </c>
      <c r="AA65" s="699">
        <v>3.1899587459999998</v>
      </c>
      <c r="AB65" s="699">
        <v>3.1899587459999998</v>
      </c>
      <c r="AC65" s="699">
        <v>3.1899587459999998</v>
      </c>
      <c r="AD65" s="699">
        <v>3.1899587459999998</v>
      </c>
      <c r="AE65" s="699">
        <v>3.1899587459999998</v>
      </c>
      <c r="AF65" s="699">
        <v>2.756945349</v>
      </c>
      <c r="AG65" s="699">
        <v>0</v>
      </c>
      <c r="AH65" s="699">
        <v>0</v>
      </c>
      <c r="AI65" s="699">
        <v>0</v>
      </c>
      <c r="AJ65" s="699">
        <v>0</v>
      </c>
      <c r="AK65" s="699">
        <v>0</v>
      </c>
      <c r="AL65" s="699">
        <v>0</v>
      </c>
      <c r="AM65" s="699">
        <v>0</v>
      </c>
      <c r="AN65" s="699">
        <v>0</v>
      </c>
      <c r="AO65" s="700">
        <v>0</v>
      </c>
      <c r="AP65" s="635"/>
      <c r="AQ65" s="698">
        <v>0</v>
      </c>
      <c r="AR65" s="699">
        <v>6501.842742115</v>
      </c>
      <c r="AS65" s="699">
        <v>6501.842742115</v>
      </c>
      <c r="AT65" s="699">
        <v>6501.842742115</v>
      </c>
      <c r="AU65" s="699">
        <v>6501.842742115</v>
      </c>
      <c r="AV65" s="699">
        <v>6501.842742115</v>
      </c>
      <c r="AW65" s="699">
        <v>6501.842742115</v>
      </c>
      <c r="AX65" s="699">
        <v>6501.842742115</v>
      </c>
      <c r="AY65" s="699">
        <v>6501.842742115</v>
      </c>
      <c r="AZ65" s="699">
        <v>6501.842742115</v>
      </c>
      <c r="BA65" s="699">
        <v>6501.842742115</v>
      </c>
      <c r="BB65" s="699">
        <v>6501.842742115</v>
      </c>
      <c r="BC65" s="699">
        <v>6501.842742115</v>
      </c>
      <c r="BD65" s="699">
        <v>6501.842742115</v>
      </c>
      <c r="BE65" s="699">
        <v>6501.842742115</v>
      </c>
      <c r="BF65" s="699">
        <v>6501.842742115</v>
      </c>
      <c r="BG65" s="699">
        <v>6501.842742115</v>
      </c>
      <c r="BH65" s="699">
        <v>6501.842742115</v>
      </c>
      <c r="BI65" s="699">
        <v>6501.842742115</v>
      </c>
      <c r="BJ65" s="699">
        <v>6069.7271199979996</v>
      </c>
      <c r="BK65" s="699">
        <v>0</v>
      </c>
      <c r="BL65" s="699">
        <v>0</v>
      </c>
      <c r="BM65" s="699">
        <v>0</v>
      </c>
      <c r="BN65" s="699">
        <v>0</v>
      </c>
      <c r="BO65" s="699">
        <v>0</v>
      </c>
      <c r="BP65" s="699">
        <v>0</v>
      </c>
      <c r="BQ65" s="699">
        <v>0</v>
      </c>
      <c r="BR65" s="699">
        <v>0</v>
      </c>
      <c r="BS65" s="699">
        <v>0</v>
      </c>
      <c r="BT65" s="700">
        <v>0</v>
      </c>
    </row>
    <row r="66" spans="2:73">
      <c r="B66" s="694" t="s">
        <v>207</v>
      </c>
      <c r="C66" s="694" t="s">
        <v>685</v>
      </c>
      <c r="D66" s="694" t="s">
        <v>700</v>
      </c>
      <c r="E66" s="694" t="s">
        <v>686</v>
      </c>
      <c r="F66" s="694" t="s">
        <v>29</v>
      </c>
      <c r="G66" s="694" t="s">
        <v>687</v>
      </c>
      <c r="H66" s="694">
        <v>2013</v>
      </c>
      <c r="I66" s="646" t="s">
        <v>572</v>
      </c>
      <c r="J66" s="646" t="s">
        <v>588</v>
      </c>
      <c r="K66" s="635"/>
      <c r="L66" s="698">
        <v>0</v>
      </c>
      <c r="M66" s="699">
        <v>0</v>
      </c>
      <c r="N66" s="699">
        <v>231.59423398000001</v>
      </c>
      <c r="O66" s="699">
        <v>231.59423398000001</v>
      </c>
      <c r="P66" s="699">
        <v>231.59423398000001</v>
      </c>
      <c r="Q66" s="699">
        <v>231.59423398000001</v>
      </c>
      <c r="R66" s="699">
        <v>231.59423398000001</v>
      </c>
      <c r="S66" s="699">
        <v>231.59423398000001</v>
      </c>
      <c r="T66" s="699">
        <v>231.59423398000001</v>
      </c>
      <c r="U66" s="699">
        <v>231.59423398000001</v>
      </c>
      <c r="V66" s="699">
        <v>231.59423398000001</v>
      </c>
      <c r="W66" s="699">
        <v>231.59423398000001</v>
      </c>
      <c r="X66" s="699">
        <v>231.59423398000001</v>
      </c>
      <c r="Y66" s="699">
        <v>231.59423398000001</v>
      </c>
      <c r="Z66" s="699">
        <v>231.59423398000001</v>
      </c>
      <c r="AA66" s="699">
        <v>231.59423398000001</v>
      </c>
      <c r="AB66" s="699">
        <v>231.59423398000001</v>
      </c>
      <c r="AC66" s="699">
        <v>231.59423398000001</v>
      </c>
      <c r="AD66" s="699">
        <v>231.59423398000001</v>
      </c>
      <c r="AE66" s="699">
        <v>231.59423398000001</v>
      </c>
      <c r="AF66" s="699">
        <v>182.74119982900001</v>
      </c>
      <c r="AG66" s="699">
        <v>0</v>
      </c>
      <c r="AH66" s="699">
        <v>0</v>
      </c>
      <c r="AI66" s="699">
        <v>0</v>
      </c>
      <c r="AJ66" s="699">
        <v>0</v>
      </c>
      <c r="AK66" s="699">
        <v>0</v>
      </c>
      <c r="AL66" s="699">
        <v>0</v>
      </c>
      <c r="AM66" s="699">
        <v>0</v>
      </c>
      <c r="AN66" s="699">
        <v>0</v>
      </c>
      <c r="AO66" s="700">
        <v>0</v>
      </c>
      <c r="AP66" s="635"/>
      <c r="AQ66" s="698">
        <v>0</v>
      </c>
      <c r="AR66" s="699">
        <v>0</v>
      </c>
      <c r="AS66" s="699">
        <v>398520.90540731599</v>
      </c>
      <c r="AT66" s="699">
        <v>398520.90540731599</v>
      </c>
      <c r="AU66" s="699">
        <v>398520.90540731599</v>
      </c>
      <c r="AV66" s="699">
        <v>398520.90540731599</v>
      </c>
      <c r="AW66" s="699">
        <v>398520.90540731599</v>
      </c>
      <c r="AX66" s="699">
        <v>398520.90540731599</v>
      </c>
      <c r="AY66" s="699">
        <v>398520.90540731599</v>
      </c>
      <c r="AZ66" s="699">
        <v>398520.90540731599</v>
      </c>
      <c r="BA66" s="699">
        <v>398520.90540731599</v>
      </c>
      <c r="BB66" s="699">
        <v>398520.90540731599</v>
      </c>
      <c r="BC66" s="699">
        <v>398520.90540731599</v>
      </c>
      <c r="BD66" s="699">
        <v>398520.90540731599</v>
      </c>
      <c r="BE66" s="699">
        <v>398520.90540731599</v>
      </c>
      <c r="BF66" s="699">
        <v>398520.90540731599</v>
      </c>
      <c r="BG66" s="699">
        <v>398520.90540731599</v>
      </c>
      <c r="BH66" s="699">
        <v>398520.90540731599</v>
      </c>
      <c r="BI66" s="699">
        <v>398520.90540731599</v>
      </c>
      <c r="BJ66" s="699">
        <v>398520.90540731599</v>
      </c>
      <c r="BK66" s="699">
        <v>354833.86367191101</v>
      </c>
      <c r="BL66" s="699">
        <v>0</v>
      </c>
      <c r="BM66" s="699">
        <v>0</v>
      </c>
      <c r="BN66" s="699">
        <v>0</v>
      </c>
      <c r="BO66" s="699">
        <v>0</v>
      </c>
      <c r="BP66" s="699">
        <v>0</v>
      </c>
      <c r="BQ66" s="699">
        <v>0</v>
      </c>
      <c r="BR66" s="699">
        <v>0</v>
      </c>
      <c r="BS66" s="699">
        <v>0</v>
      </c>
      <c r="BT66" s="700">
        <v>0</v>
      </c>
    </row>
    <row r="67" spans="2:73">
      <c r="B67" s="694" t="s">
        <v>207</v>
      </c>
      <c r="C67" s="694" t="s">
        <v>685</v>
      </c>
      <c r="D67" s="694" t="s">
        <v>701</v>
      </c>
      <c r="E67" s="694" t="s">
        <v>686</v>
      </c>
      <c r="F67" s="694" t="s">
        <v>29</v>
      </c>
      <c r="G67" s="694" t="s">
        <v>691</v>
      </c>
      <c r="H67" s="694">
        <v>2012</v>
      </c>
      <c r="I67" s="646" t="s">
        <v>572</v>
      </c>
      <c r="J67" s="646" t="s">
        <v>581</v>
      </c>
      <c r="K67" s="635"/>
      <c r="L67" s="698">
        <v>0</v>
      </c>
      <c r="M67" s="699">
        <v>0</v>
      </c>
      <c r="N67" s="699">
        <v>493.5308</v>
      </c>
      <c r="O67" s="699">
        <v>0</v>
      </c>
      <c r="P67" s="699">
        <v>0</v>
      </c>
      <c r="Q67" s="699">
        <v>0</v>
      </c>
      <c r="R67" s="699">
        <v>0</v>
      </c>
      <c r="S67" s="699">
        <v>0</v>
      </c>
      <c r="T67" s="699">
        <v>0</v>
      </c>
      <c r="U67" s="699">
        <v>0</v>
      </c>
      <c r="V67" s="699">
        <v>0</v>
      </c>
      <c r="W67" s="699">
        <v>0</v>
      </c>
      <c r="X67" s="699">
        <v>0</v>
      </c>
      <c r="Y67" s="699">
        <v>0</v>
      </c>
      <c r="Z67" s="699">
        <v>0</v>
      </c>
      <c r="AA67" s="699">
        <v>0</v>
      </c>
      <c r="AB67" s="699">
        <v>0</v>
      </c>
      <c r="AC67" s="699">
        <v>0</v>
      </c>
      <c r="AD67" s="699">
        <v>0</v>
      </c>
      <c r="AE67" s="699">
        <v>0</v>
      </c>
      <c r="AF67" s="699">
        <v>0</v>
      </c>
      <c r="AG67" s="699">
        <v>0</v>
      </c>
      <c r="AH67" s="699">
        <v>0</v>
      </c>
      <c r="AI67" s="699">
        <v>0</v>
      </c>
      <c r="AJ67" s="699">
        <v>0</v>
      </c>
      <c r="AK67" s="699">
        <v>0</v>
      </c>
      <c r="AL67" s="699">
        <v>0</v>
      </c>
      <c r="AM67" s="699">
        <v>0</v>
      </c>
      <c r="AN67" s="699">
        <v>0</v>
      </c>
      <c r="AO67" s="700">
        <v>0</v>
      </c>
      <c r="AP67" s="635"/>
      <c r="AQ67" s="698">
        <v>0</v>
      </c>
      <c r="AR67" s="699">
        <v>0</v>
      </c>
      <c r="AS67" s="699">
        <v>484.029</v>
      </c>
      <c r="AT67" s="699">
        <v>0</v>
      </c>
      <c r="AU67" s="699">
        <v>0</v>
      </c>
      <c r="AV67" s="699">
        <v>0</v>
      </c>
      <c r="AW67" s="699">
        <v>0</v>
      </c>
      <c r="AX67" s="699">
        <v>0</v>
      </c>
      <c r="AY67" s="699">
        <v>0</v>
      </c>
      <c r="AZ67" s="699">
        <v>0</v>
      </c>
      <c r="BA67" s="699">
        <v>0</v>
      </c>
      <c r="BB67" s="699">
        <v>0</v>
      </c>
      <c r="BC67" s="699">
        <v>0</v>
      </c>
      <c r="BD67" s="699">
        <v>0</v>
      </c>
      <c r="BE67" s="699">
        <v>0</v>
      </c>
      <c r="BF67" s="699">
        <v>0</v>
      </c>
      <c r="BG67" s="699">
        <v>0</v>
      </c>
      <c r="BH67" s="699">
        <v>0</v>
      </c>
      <c r="BI67" s="699">
        <v>0</v>
      </c>
      <c r="BJ67" s="699">
        <v>0</v>
      </c>
      <c r="BK67" s="699">
        <v>0</v>
      </c>
      <c r="BL67" s="699">
        <v>0</v>
      </c>
      <c r="BM67" s="699">
        <v>0</v>
      </c>
      <c r="BN67" s="699">
        <v>0</v>
      </c>
      <c r="BO67" s="699">
        <v>0</v>
      </c>
      <c r="BP67" s="699">
        <v>0</v>
      </c>
      <c r="BQ67" s="699">
        <v>0</v>
      </c>
      <c r="BR67" s="699">
        <v>0</v>
      </c>
      <c r="BS67" s="699">
        <v>0</v>
      </c>
      <c r="BT67" s="700">
        <v>0</v>
      </c>
    </row>
    <row r="68" spans="2:73">
      <c r="B68" s="694" t="s">
        <v>207</v>
      </c>
      <c r="C68" s="694" t="s">
        <v>685</v>
      </c>
      <c r="D68" s="694" t="s">
        <v>701</v>
      </c>
      <c r="E68" s="694" t="s">
        <v>686</v>
      </c>
      <c r="F68" s="694" t="s">
        <v>29</v>
      </c>
      <c r="G68" s="694" t="s">
        <v>691</v>
      </c>
      <c r="H68" s="694">
        <v>2013</v>
      </c>
      <c r="I68" s="646" t="s">
        <v>572</v>
      </c>
      <c r="J68" s="646" t="s">
        <v>588</v>
      </c>
      <c r="K68" s="635"/>
      <c r="L68" s="698">
        <v>0</v>
      </c>
      <c r="M68" s="699">
        <v>0</v>
      </c>
      <c r="N68" s="699">
        <v>1389.8240000000001</v>
      </c>
      <c r="O68" s="699">
        <v>0</v>
      </c>
      <c r="P68" s="699">
        <v>0</v>
      </c>
      <c r="Q68" s="699">
        <v>0</v>
      </c>
      <c r="R68" s="699">
        <v>0</v>
      </c>
      <c r="S68" s="699">
        <v>0</v>
      </c>
      <c r="T68" s="699">
        <v>0</v>
      </c>
      <c r="U68" s="699">
        <v>0</v>
      </c>
      <c r="V68" s="699">
        <v>0</v>
      </c>
      <c r="W68" s="699">
        <v>0</v>
      </c>
      <c r="X68" s="699">
        <v>0</v>
      </c>
      <c r="Y68" s="699">
        <v>0</v>
      </c>
      <c r="Z68" s="699">
        <v>0</v>
      </c>
      <c r="AA68" s="699">
        <v>0</v>
      </c>
      <c r="AB68" s="699">
        <v>0</v>
      </c>
      <c r="AC68" s="699">
        <v>0</v>
      </c>
      <c r="AD68" s="699">
        <v>0</v>
      </c>
      <c r="AE68" s="699">
        <v>0</v>
      </c>
      <c r="AF68" s="699">
        <v>0</v>
      </c>
      <c r="AG68" s="699">
        <v>0</v>
      </c>
      <c r="AH68" s="699">
        <v>0</v>
      </c>
      <c r="AI68" s="699">
        <v>0</v>
      </c>
      <c r="AJ68" s="699">
        <v>0</v>
      </c>
      <c r="AK68" s="699">
        <v>0</v>
      </c>
      <c r="AL68" s="699">
        <v>0</v>
      </c>
      <c r="AM68" s="699">
        <v>0</v>
      </c>
      <c r="AN68" s="699">
        <v>0</v>
      </c>
      <c r="AO68" s="700">
        <v>0</v>
      </c>
      <c r="AP68" s="635"/>
      <c r="AQ68" s="698">
        <v>0</v>
      </c>
      <c r="AR68" s="699">
        <v>0</v>
      </c>
      <c r="AS68" s="699">
        <v>1001.236</v>
      </c>
      <c r="AT68" s="699">
        <v>0</v>
      </c>
      <c r="AU68" s="699">
        <v>0</v>
      </c>
      <c r="AV68" s="699">
        <v>0</v>
      </c>
      <c r="AW68" s="699">
        <v>0</v>
      </c>
      <c r="AX68" s="699">
        <v>0</v>
      </c>
      <c r="AY68" s="699">
        <v>0</v>
      </c>
      <c r="AZ68" s="699">
        <v>0</v>
      </c>
      <c r="BA68" s="699">
        <v>0</v>
      </c>
      <c r="BB68" s="699">
        <v>0</v>
      </c>
      <c r="BC68" s="699">
        <v>0</v>
      </c>
      <c r="BD68" s="699">
        <v>0</v>
      </c>
      <c r="BE68" s="699">
        <v>0</v>
      </c>
      <c r="BF68" s="699">
        <v>0</v>
      </c>
      <c r="BG68" s="699">
        <v>0</v>
      </c>
      <c r="BH68" s="699">
        <v>0</v>
      </c>
      <c r="BI68" s="699">
        <v>0</v>
      </c>
      <c r="BJ68" s="699">
        <v>0</v>
      </c>
      <c r="BK68" s="699">
        <v>0</v>
      </c>
      <c r="BL68" s="699">
        <v>0</v>
      </c>
      <c r="BM68" s="699">
        <v>0</v>
      </c>
      <c r="BN68" s="699">
        <v>0</v>
      </c>
      <c r="BO68" s="699">
        <v>0</v>
      </c>
      <c r="BP68" s="699">
        <v>0</v>
      </c>
      <c r="BQ68" s="699">
        <v>0</v>
      </c>
      <c r="BR68" s="699">
        <v>0</v>
      </c>
      <c r="BS68" s="699">
        <v>0</v>
      </c>
      <c r="BT68" s="700">
        <v>0</v>
      </c>
    </row>
    <row r="69" spans="2:73">
      <c r="B69" s="694" t="s">
        <v>207</v>
      </c>
      <c r="C69" s="694" t="s">
        <v>685</v>
      </c>
      <c r="D69" s="694" t="s">
        <v>702</v>
      </c>
      <c r="E69" s="694" t="s">
        <v>686</v>
      </c>
      <c r="F69" s="694" t="s">
        <v>29</v>
      </c>
      <c r="G69" s="694" t="s">
        <v>691</v>
      </c>
      <c r="H69" s="694">
        <v>2012</v>
      </c>
      <c r="I69" s="646" t="s">
        <v>572</v>
      </c>
      <c r="J69" s="646" t="s">
        <v>581</v>
      </c>
      <c r="K69" s="635"/>
      <c r="L69" s="698">
        <v>0</v>
      </c>
      <c r="M69" s="699">
        <v>0</v>
      </c>
      <c r="N69" s="699">
        <v>0</v>
      </c>
      <c r="O69" s="699">
        <v>0</v>
      </c>
      <c r="P69" s="699">
        <v>0</v>
      </c>
      <c r="Q69" s="699">
        <v>0</v>
      </c>
      <c r="R69" s="699">
        <v>0</v>
      </c>
      <c r="S69" s="699">
        <v>0</v>
      </c>
      <c r="T69" s="699">
        <v>0</v>
      </c>
      <c r="U69" s="699">
        <v>0</v>
      </c>
      <c r="V69" s="699">
        <v>0</v>
      </c>
      <c r="W69" s="699">
        <v>0</v>
      </c>
      <c r="X69" s="699">
        <v>0</v>
      </c>
      <c r="Y69" s="699">
        <v>0</v>
      </c>
      <c r="Z69" s="699">
        <v>0</v>
      </c>
      <c r="AA69" s="699">
        <v>0</v>
      </c>
      <c r="AB69" s="699">
        <v>0</v>
      </c>
      <c r="AC69" s="699">
        <v>0</v>
      </c>
      <c r="AD69" s="699">
        <v>0</v>
      </c>
      <c r="AE69" s="699">
        <v>0</v>
      </c>
      <c r="AF69" s="699">
        <v>0</v>
      </c>
      <c r="AG69" s="699">
        <v>0</v>
      </c>
      <c r="AH69" s="699">
        <v>0</v>
      </c>
      <c r="AI69" s="699">
        <v>0</v>
      </c>
      <c r="AJ69" s="699">
        <v>0</v>
      </c>
      <c r="AK69" s="699">
        <v>0</v>
      </c>
      <c r="AL69" s="699">
        <v>0</v>
      </c>
      <c r="AM69" s="699">
        <v>0</v>
      </c>
      <c r="AN69" s="699">
        <v>0</v>
      </c>
      <c r="AO69" s="700">
        <v>0</v>
      </c>
      <c r="AP69" s="635"/>
      <c r="AQ69" s="698">
        <v>0</v>
      </c>
      <c r="AR69" s="699">
        <v>0</v>
      </c>
      <c r="AS69" s="699">
        <v>0</v>
      </c>
      <c r="AT69" s="699">
        <v>0</v>
      </c>
      <c r="AU69" s="699">
        <v>0</v>
      </c>
      <c r="AV69" s="699">
        <v>0</v>
      </c>
      <c r="AW69" s="699">
        <v>0</v>
      </c>
      <c r="AX69" s="699">
        <v>0</v>
      </c>
      <c r="AY69" s="699">
        <v>0</v>
      </c>
      <c r="AZ69" s="699">
        <v>0</v>
      </c>
      <c r="BA69" s="699">
        <v>0</v>
      </c>
      <c r="BB69" s="699">
        <v>0</v>
      </c>
      <c r="BC69" s="699">
        <v>0</v>
      </c>
      <c r="BD69" s="699">
        <v>0</v>
      </c>
      <c r="BE69" s="699">
        <v>0</v>
      </c>
      <c r="BF69" s="699">
        <v>0</v>
      </c>
      <c r="BG69" s="699">
        <v>0</v>
      </c>
      <c r="BH69" s="699">
        <v>0</v>
      </c>
      <c r="BI69" s="699">
        <v>0</v>
      </c>
      <c r="BJ69" s="699">
        <v>0</v>
      </c>
      <c r="BK69" s="699">
        <v>0</v>
      </c>
      <c r="BL69" s="699">
        <v>0</v>
      </c>
      <c r="BM69" s="699">
        <v>0</v>
      </c>
      <c r="BN69" s="699">
        <v>0</v>
      </c>
      <c r="BO69" s="699">
        <v>0</v>
      </c>
      <c r="BP69" s="699">
        <v>0</v>
      </c>
      <c r="BQ69" s="699">
        <v>0</v>
      </c>
      <c r="BR69" s="699">
        <v>0</v>
      </c>
      <c r="BS69" s="699">
        <v>0</v>
      </c>
      <c r="BT69" s="700">
        <v>0</v>
      </c>
    </row>
    <row r="70" spans="2:73">
      <c r="B70" s="694" t="s">
        <v>207</v>
      </c>
      <c r="C70" s="694" t="s">
        <v>685</v>
      </c>
      <c r="D70" s="694" t="s">
        <v>702</v>
      </c>
      <c r="E70" s="694" t="s">
        <v>686</v>
      </c>
      <c r="F70" s="694" t="s">
        <v>29</v>
      </c>
      <c r="G70" s="694" t="s">
        <v>691</v>
      </c>
      <c r="H70" s="694">
        <v>2013</v>
      </c>
      <c r="I70" s="646" t="s">
        <v>572</v>
      </c>
      <c r="J70" s="646" t="s">
        <v>588</v>
      </c>
      <c r="K70" s="635"/>
      <c r="L70" s="698">
        <v>0</v>
      </c>
      <c r="M70" s="699">
        <v>0</v>
      </c>
      <c r="N70" s="699">
        <v>0</v>
      </c>
      <c r="O70" s="699">
        <v>0</v>
      </c>
      <c r="P70" s="699">
        <v>0</v>
      </c>
      <c r="Q70" s="699">
        <v>0</v>
      </c>
      <c r="R70" s="699">
        <v>0</v>
      </c>
      <c r="S70" s="699">
        <v>0</v>
      </c>
      <c r="T70" s="699">
        <v>0</v>
      </c>
      <c r="U70" s="699">
        <v>0</v>
      </c>
      <c r="V70" s="699">
        <v>0</v>
      </c>
      <c r="W70" s="699">
        <v>0</v>
      </c>
      <c r="X70" s="699">
        <v>0</v>
      </c>
      <c r="Y70" s="699">
        <v>0</v>
      </c>
      <c r="Z70" s="699">
        <v>0</v>
      </c>
      <c r="AA70" s="699">
        <v>0</v>
      </c>
      <c r="AB70" s="699">
        <v>0</v>
      </c>
      <c r="AC70" s="699">
        <v>0</v>
      </c>
      <c r="AD70" s="699">
        <v>0</v>
      </c>
      <c r="AE70" s="699">
        <v>0</v>
      </c>
      <c r="AF70" s="699">
        <v>0</v>
      </c>
      <c r="AG70" s="699">
        <v>0</v>
      </c>
      <c r="AH70" s="699">
        <v>0</v>
      </c>
      <c r="AI70" s="699">
        <v>0</v>
      </c>
      <c r="AJ70" s="699">
        <v>0</v>
      </c>
      <c r="AK70" s="699">
        <v>0</v>
      </c>
      <c r="AL70" s="699">
        <v>0</v>
      </c>
      <c r="AM70" s="699">
        <v>0</v>
      </c>
      <c r="AN70" s="699">
        <v>0</v>
      </c>
      <c r="AO70" s="700">
        <v>0</v>
      </c>
      <c r="AP70" s="635"/>
      <c r="AQ70" s="698">
        <v>0</v>
      </c>
      <c r="AR70" s="699">
        <v>0</v>
      </c>
      <c r="AS70" s="699">
        <v>0</v>
      </c>
      <c r="AT70" s="699">
        <v>0</v>
      </c>
      <c r="AU70" s="699">
        <v>0</v>
      </c>
      <c r="AV70" s="699">
        <v>0</v>
      </c>
      <c r="AW70" s="699">
        <v>0</v>
      </c>
      <c r="AX70" s="699">
        <v>0</v>
      </c>
      <c r="AY70" s="699">
        <v>0</v>
      </c>
      <c r="AZ70" s="699">
        <v>0</v>
      </c>
      <c r="BA70" s="699">
        <v>0</v>
      </c>
      <c r="BB70" s="699">
        <v>0</v>
      </c>
      <c r="BC70" s="699">
        <v>0</v>
      </c>
      <c r="BD70" s="699">
        <v>0</v>
      </c>
      <c r="BE70" s="699">
        <v>0</v>
      </c>
      <c r="BF70" s="699">
        <v>0</v>
      </c>
      <c r="BG70" s="699">
        <v>0</v>
      </c>
      <c r="BH70" s="699">
        <v>0</v>
      </c>
      <c r="BI70" s="699">
        <v>0</v>
      </c>
      <c r="BJ70" s="699">
        <v>0</v>
      </c>
      <c r="BK70" s="699">
        <v>0</v>
      </c>
      <c r="BL70" s="699">
        <v>0</v>
      </c>
      <c r="BM70" s="699">
        <v>0</v>
      </c>
      <c r="BN70" s="699">
        <v>0</v>
      </c>
      <c r="BO70" s="699">
        <v>0</v>
      </c>
      <c r="BP70" s="699">
        <v>0</v>
      </c>
      <c r="BQ70" s="699">
        <v>0</v>
      </c>
      <c r="BR70" s="699">
        <v>0</v>
      </c>
      <c r="BS70" s="699">
        <v>0</v>
      </c>
      <c r="BT70" s="700">
        <v>0</v>
      </c>
    </row>
    <row r="71" spans="2:73">
      <c r="B71" s="694" t="s">
        <v>207</v>
      </c>
      <c r="C71" s="694" t="s">
        <v>692</v>
      </c>
      <c r="D71" s="694" t="s">
        <v>696</v>
      </c>
      <c r="E71" s="694" t="s">
        <v>686</v>
      </c>
      <c r="F71" s="694" t="s">
        <v>692</v>
      </c>
      <c r="G71" s="694" t="s">
        <v>691</v>
      </c>
      <c r="H71" s="694">
        <v>2013</v>
      </c>
      <c r="I71" s="646" t="s">
        <v>572</v>
      </c>
      <c r="J71" s="646" t="s">
        <v>588</v>
      </c>
      <c r="K71" s="635"/>
      <c r="L71" s="698">
        <v>0</v>
      </c>
      <c r="M71" s="699">
        <v>0</v>
      </c>
      <c r="N71" s="699">
        <v>493.95370000000003</v>
      </c>
      <c r="O71" s="699">
        <v>0</v>
      </c>
      <c r="P71" s="699">
        <v>0</v>
      </c>
      <c r="Q71" s="699">
        <v>0</v>
      </c>
      <c r="R71" s="699">
        <v>0</v>
      </c>
      <c r="S71" s="699">
        <v>0</v>
      </c>
      <c r="T71" s="699">
        <v>0</v>
      </c>
      <c r="U71" s="699">
        <v>0</v>
      </c>
      <c r="V71" s="699">
        <v>0</v>
      </c>
      <c r="W71" s="699">
        <v>0</v>
      </c>
      <c r="X71" s="699">
        <v>0</v>
      </c>
      <c r="Y71" s="699">
        <v>0</v>
      </c>
      <c r="Z71" s="699">
        <v>0</v>
      </c>
      <c r="AA71" s="699">
        <v>0</v>
      </c>
      <c r="AB71" s="699">
        <v>0</v>
      </c>
      <c r="AC71" s="699">
        <v>0</v>
      </c>
      <c r="AD71" s="699">
        <v>0</v>
      </c>
      <c r="AE71" s="699">
        <v>0</v>
      </c>
      <c r="AF71" s="699">
        <v>0</v>
      </c>
      <c r="AG71" s="699">
        <v>0</v>
      </c>
      <c r="AH71" s="699">
        <v>0</v>
      </c>
      <c r="AI71" s="699">
        <v>0</v>
      </c>
      <c r="AJ71" s="699">
        <v>0</v>
      </c>
      <c r="AK71" s="699">
        <v>0</v>
      </c>
      <c r="AL71" s="699">
        <v>0</v>
      </c>
      <c r="AM71" s="699">
        <v>0</v>
      </c>
      <c r="AN71" s="699">
        <v>0</v>
      </c>
      <c r="AO71" s="700">
        <v>0</v>
      </c>
      <c r="AP71" s="635"/>
      <c r="AQ71" s="701">
        <v>0</v>
      </c>
      <c r="AR71" s="702">
        <v>0</v>
      </c>
      <c r="AS71" s="702">
        <v>11247.63</v>
      </c>
      <c r="AT71" s="702">
        <v>0</v>
      </c>
      <c r="AU71" s="702">
        <v>0</v>
      </c>
      <c r="AV71" s="702">
        <v>0</v>
      </c>
      <c r="AW71" s="702">
        <v>0</v>
      </c>
      <c r="AX71" s="702">
        <v>0</v>
      </c>
      <c r="AY71" s="702">
        <v>0</v>
      </c>
      <c r="AZ71" s="702">
        <v>0</v>
      </c>
      <c r="BA71" s="702">
        <v>0</v>
      </c>
      <c r="BB71" s="702">
        <v>0</v>
      </c>
      <c r="BC71" s="702">
        <v>0</v>
      </c>
      <c r="BD71" s="702">
        <v>0</v>
      </c>
      <c r="BE71" s="702">
        <v>0</v>
      </c>
      <c r="BF71" s="702">
        <v>0</v>
      </c>
      <c r="BG71" s="702">
        <v>0</v>
      </c>
      <c r="BH71" s="702">
        <v>0</v>
      </c>
      <c r="BI71" s="702">
        <v>0</v>
      </c>
      <c r="BJ71" s="702">
        <v>0</v>
      </c>
      <c r="BK71" s="702">
        <v>0</v>
      </c>
      <c r="BL71" s="702">
        <v>0</v>
      </c>
      <c r="BM71" s="702">
        <v>0</v>
      </c>
      <c r="BN71" s="702">
        <v>0</v>
      </c>
      <c r="BO71" s="702">
        <v>0</v>
      </c>
      <c r="BP71" s="702">
        <v>0</v>
      </c>
      <c r="BQ71" s="702">
        <v>0</v>
      </c>
      <c r="BR71" s="702">
        <v>0</v>
      </c>
      <c r="BS71" s="702">
        <v>0</v>
      </c>
      <c r="BT71" s="703">
        <v>0</v>
      </c>
    </row>
    <row r="72" spans="2:73">
      <c r="B72" s="694" t="s">
        <v>207</v>
      </c>
      <c r="C72" s="694" t="s">
        <v>685</v>
      </c>
      <c r="D72" s="694" t="s">
        <v>1</v>
      </c>
      <c r="E72" s="694" t="s">
        <v>686</v>
      </c>
      <c r="F72" s="694" t="s">
        <v>29</v>
      </c>
      <c r="G72" s="694" t="s">
        <v>687</v>
      </c>
      <c r="H72" s="694">
        <v>2013</v>
      </c>
      <c r="I72" s="646" t="s">
        <v>572</v>
      </c>
      <c r="J72" s="646" t="s">
        <v>588</v>
      </c>
      <c r="K72" s="635"/>
      <c r="L72" s="698">
        <v>0</v>
      </c>
      <c r="M72" s="699">
        <v>0</v>
      </c>
      <c r="N72" s="699">
        <v>7.5597331806244519E-3</v>
      </c>
      <c r="O72" s="699">
        <v>7.5597331806244519E-3</v>
      </c>
      <c r="P72" s="699">
        <v>7.5597331806244519E-3</v>
      </c>
      <c r="Q72" s="699">
        <v>7.5597331806244519E-3</v>
      </c>
      <c r="R72" s="699">
        <v>4.1999123692547363E-3</v>
      </c>
      <c r="S72" s="699">
        <v>0</v>
      </c>
      <c r="T72" s="699">
        <v>0</v>
      </c>
      <c r="U72" s="699">
        <v>0</v>
      </c>
      <c r="V72" s="699">
        <v>0</v>
      </c>
      <c r="W72" s="699">
        <v>0</v>
      </c>
      <c r="X72" s="699">
        <v>0</v>
      </c>
      <c r="Y72" s="699">
        <v>0</v>
      </c>
      <c r="Z72" s="699">
        <v>0</v>
      </c>
      <c r="AA72" s="699">
        <v>0</v>
      </c>
      <c r="AB72" s="699">
        <v>0</v>
      </c>
      <c r="AC72" s="699">
        <v>0</v>
      </c>
      <c r="AD72" s="699">
        <v>0</v>
      </c>
      <c r="AE72" s="699">
        <v>0</v>
      </c>
      <c r="AF72" s="699">
        <v>0</v>
      </c>
      <c r="AG72" s="699">
        <v>0</v>
      </c>
      <c r="AH72" s="699">
        <v>0</v>
      </c>
      <c r="AI72" s="699">
        <v>0</v>
      </c>
      <c r="AJ72" s="699">
        <v>0</v>
      </c>
      <c r="AK72" s="699">
        <v>0</v>
      </c>
      <c r="AL72" s="699">
        <v>0</v>
      </c>
      <c r="AM72" s="699">
        <v>0</v>
      </c>
      <c r="AN72" s="699">
        <v>0</v>
      </c>
      <c r="AO72" s="700">
        <v>0</v>
      </c>
      <c r="AP72" s="635"/>
      <c r="AQ72" s="695">
        <v>0</v>
      </c>
      <c r="AR72" s="696">
        <v>0</v>
      </c>
      <c r="AS72" s="696">
        <v>52.903910583893328</v>
      </c>
      <c r="AT72" s="696">
        <v>52.903910583893328</v>
      </c>
      <c r="AU72" s="696">
        <v>52.903910583893328</v>
      </c>
      <c r="AV72" s="696">
        <v>52.903910583893328</v>
      </c>
      <c r="AW72" s="696">
        <v>28.576897645147252</v>
      </c>
      <c r="AX72" s="696">
        <v>0</v>
      </c>
      <c r="AY72" s="696">
        <v>0</v>
      </c>
      <c r="AZ72" s="696">
        <v>0</v>
      </c>
      <c r="BA72" s="696">
        <v>0</v>
      </c>
      <c r="BB72" s="696">
        <v>0</v>
      </c>
      <c r="BC72" s="696">
        <v>0</v>
      </c>
      <c r="BD72" s="696">
        <v>0</v>
      </c>
      <c r="BE72" s="696">
        <v>0</v>
      </c>
      <c r="BF72" s="696">
        <v>0</v>
      </c>
      <c r="BG72" s="696">
        <v>0</v>
      </c>
      <c r="BH72" s="696">
        <v>0</v>
      </c>
      <c r="BI72" s="696">
        <v>0</v>
      </c>
      <c r="BJ72" s="696">
        <v>0</v>
      </c>
      <c r="BK72" s="696">
        <v>0</v>
      </c>
      <c r="BL72" s="696">
        <v>0</v>
      </c>
      <c r="BM72" s="696">
        <v>0</v>
      </c>
      <c r="BN72" s="696">
        <v>0</v>
      </c>
      <c r="BO72" s="696">
        <v>0</v>
      </c>
      <c r="BP72" s="696">
        <v>0</v>
      </c>
      <c r="BQ72" s="696">
        <v>0</v>
      </c>
      <c r="BR72" s="696">
        <v>0</v>
      </c>
      <c r="BS72" s="696">
        <v>0</v>
      </c>
      <c r="BT72" s="697">
        <v>0</v>
      </c>
    </row>
    <row r="73" spans="2:73">
      <c r="B73" s="694" t="s">
        <v>207</v>
      </c>
      <c r="C73" s="694" t="s">
        <v>685</v>
      </c>
      <c r="D73" s="694" t="s">
        <v>700</v>
      </c>
      <c r="E73" s="694" t="s">
        <v>686</v>
      </c>
      <c r="F73" s="694" t="s">
        <v>29</v>
      </c>
      <c r="G73" s="694" t="s">
        <v>687</v>
      </c>
      <c r="H73" s="694">
        <v>2012</v>
      </c>
      <c r="I73" s="646" t="s">
        <v>572</v>
      </c>
      <c r="J73" s="646" t="s">
        <v>581</v>
      </c>
      <c r="K73" s="635"/>
      <c r="L73" s="698">
        <v>0</v>
      </c>
      <c r="M73" s="699">
        <v>3.5315843803788591E-2</v>
      </c>
      <c r="N73" s="699">
        <v>3.5315843803788591E-2</v>
      </c>
      <c r="O73" s="699">
        <v>3.5315843803788591E-2</v>
      </c>
      <c r="P73" s="699">
        <v>3.5315843803788591E-2</v>
      </c>
      <c r="Q73" s="699">
        <v>3.5315843803788591E-2</v>
      </c>
      <c r="R73" s="699">
        <v>3.5315843803788591E-2</v>
      </c>
      <c r="S73" s="699">
        <v>3.5315843803788591E-2</v>
      </c>
      <c r="T73" s="699">
        <v>3.5315843803788591E-2</v>
      </c>
      <c r="U73" s="699">
        <v>3.5315843803788591E-2</v>
      </c>
      <c r="V73" s="699">
        <v>3.5315843803788591E-2</v>
      </c>
      <c r="W73" s="699">
        <v>3.5315843803788591E-2</v>
      </c>
      <c r="X73" s="699">
        <v>3.5315843803788591E-2</v>
      </c>
      <c r="Y73" s="699">
        <v>3.5315843803788591E-2</v>
      </c>
      <c r="Z73" s="699">
        <v>3.5315843803788591E-2</v>
      </c>
      <c r="AA73" s="699">
        <v>3.5315843803788591E-2</v>
      </c>
      <c r="AB73" s="699">
        <v>3.5315843803788591E-2</v>
      </c>
      <c r="AC73" s="699">
        <v>3.5315843803788591E-2</v>
      </c>
      <c r="AD73" s="699">
        <v>3.5315843803788591E-2</v>
      </c>
      <c r="AE73" s="699">
        <v>3.5315843803788591E-2</v>
      </c>
      <c r="AF73" s="699">
        <v>3.035452126928178E-2</v>
      </c>
      <c r="AG73" s="699">
        <v>0</v>
      </c>
      <c r="AH73" s="699">
        <v>0</v>
      </c>
      <c r="AI73" s="699">
        <v>0</v>
      </c>
      <c r="AJ73" s="699">
        <v>0</v>
      </c>
      <c r="AK73" s="699">
        <v>0</v>
      </c>
      <c r="AL73" s="699">
        <v>0</v>
      </c>
      <c r="AM73" s="699">
        <v>0</v>
      </c>
      <c r="AN73" s="699">
        <v>0</v>
      </c>
      <c r="AO73" s="700">
        <v>0</v>
      </c>
      <c r="AP73" s="635"/>
      <c r="AQ73" s="698">
        <v>0</v>
      </c>
      <c r="AR73" s="699">
        <v>71.801760766748941</v>
      </c>
      <c r="AS73" s="699">
        <v>71.801760766748941</v>
      </c>
      <c r="AT73" s="699">
        <v>71.801760766748941</v>
      </c>
      <c r="AU73" s="699">
        <v>71.801760766748941</v>
      </c>
      <c r="AV73" s="699">
        <v>71.801760766748941</v>
      </c>
      <c r="AW73" s="699">
        <v>71.801760766748941</v>
      </c>
      <c r="AX73" s="699">
        <v>71.801760766748941</v>
      </c>
      <c r="AY73" s="699">
        <v>71.801760766748941</v>
      </c>
      <c r="AZ73" s="699">
        <v>71.801760766748941</v>
      </c>
      <c r="BA73" s="699">
        <v>71.801760766748941</v>
      </c>
      <c r="BB73" s="699">
        <v>71.801760766748941</v>
      </c>
      <c r="BC73" s="699">
        <v>71.801760766748941</v>
      </c>
      <c r="BD73" s="699">
        <v>71.801760766748941</v>
      </c>
      <c r="BE73" s="699">
        <v>71.801760766748941</v>
      </c>
      <c r="BF73" s="699">
        <v>71.801760766748941</v>
      </c>
      <c r="BG73" s="699">
        <v>71.801760766748941</v>
      </c>
      <c r="BH73" s="699">
        <v>71.801760766748941</v>
      </c>
      <c r="BI73" s="699">
        <v>71.801760766748941</v>
      </c>
      <c r="BJ73" s="699">
        <v>66.828913033884575</v>
      </c>
      <c r="BK73" s="699">
        <v>0</v>
      </c>
      <c r="BL73" s="699">
        <v>0</v>
      </c>
      <c r="BM73" s="699">
        <v>0</v>
      </c>
      <c r="BN73" s="699">
        <v>0</v>
      </c>
      <c r="BO73" s="699">
        <v>0</v>
      </c>
      <c r="BP73" s="699">
        <v>0</v>
      </c>
      <c r="BQ73" s="699">
        <v>0</v>
      </c>
      <c r="BR73" s="699">
        <v>0</v>
      </c>
      <c r="BS73" s="699">
        <v>0</v>
      </c>
      <c r="BT73" s="700">
        <v>0</v>
      </c>
    </row>
    <row r="74" spans="2:73" s="763" customFormat="1">
      <c r="B74" s="694" t="s">
        <v>207</v>
      </c>
      <c r="C74" s="694" t="s">
        <v>688</v>
      </c>
      <c r="D74" s="694" t="s">
        <v>21</v>
      </c>
      <c r="E74" s="694" t="s">
        <v>686</v>
      </c>
      <c r="F74" s="694" t="s">
        <v>703</v>
      </c>
      <c r="G74" s="694" t="s">
        <v>687</v>
      </c>
      <c r="H74" s="694">
        <v>2014</v>
      </c>
      <c r="I74" s="646" t="s">
        <v>573</v>
      </c>
      <c r="J74" s="646" t="s">
        <v>588</v>
      </c>
      <c r="K74" s="760"/>
      <c r="L74" s="698">
        <v>0</v>
      </c>
      <c r="M74" s="699">
        <v>0</v>
      </c>
      <c r="N74" s="699">
        <v>0</v>
      </c>
      <c r="O74" s="699">
        <v>199.85445469999999</v>
      </c>
      <c r="P74" s="699">
        <v>198.96491459999999</v>
      </c>
      <c r="Q74" s="699">
        <v>174.56773039999999</v>
      </c>
      <c r="R74" s="699">
        <v>142.9186163</v>
      </c>
      <c r="S74" s="699">
        <v>142.9186163</v>
      </c>
      <c r="T74" s="699">
        <v>142.9186163</v>
      </c>
      <c r="U74" s="699">
        <v>142.9186163</v>
      </c>
      <c r="V74" s="699">
        <v>141.06447750000001</v>
      </c>
      <c r="W74" s="699">
        <v>141.06447750000001</v>
      </c>
      <c r="X74" s="699">
        <v>141.06447750000001</v>
      </c>
      <c r="Y74" s="699">
        <v>138.70423969999999</v>
      </c>
      <c r="Z74" s="699">
        <v>30.456401360000001</v>
      </c>
      <c r="AA74" s="699">
        <v>0</v>
      </c>
      <c r="AB74" s="699">
        <v>0</v>
      </c>
      <c r="AC74" s="699">
        <v>0</v>
      </c>
      <c r="AD74" s="699">
        <v>0</v>
      </c>
      <c r="AE74" s="699">
        <v>0</v>
      </c>
      <c r="AF74" s="699">
        <v>0</v>
      </c>
      <c r="AG74" s="699">
        <v>0</v>
      </c>
      <c r="AH74" s="699">
        <v>0</v>
      </c>
      <c r="AI74" s="699">
        <v>0</v>
      </c>
      <c r="AJ74" s="699">
        <v>0</v>
      </c>
      <c r="AK74" s="699">
        <v>0</v>
      </c>
      <c r="AL74" s="699">
        <v>0</v>
      </c>
      <c r="AM74" s="699">
        <v>0</v>
      </c>
      <c r="AN74" s="699">
        <v>0</v>
      </c>
      <c r="AO74" s="700">
        <v>0</v>
      </c>
      <c r="AP74" s="760"/>
      <c r="AQ74" s="698">
        <v>0</v>
      </c>
      <c r="AR74" s="699">
        <v>0</v>
      </c>
      <c r="AS74" s="699">
        <v>0</v>
      </c>
      <c r="AT74" s="699">
        <v>779547.71539999999</v>
      </c>
      <c r="AU74" s="699">
        <v>776206.79709999997</v>
      </c>
      <c r="AV74" s="699">
        <v>675991.29859999998</v>
      </c>
      <c r="AW74" s="699">
        <v>565228.73970000003</v>
      </c>
      <c r="AX74" s="699">
        <v>565228.73970000003</v>
      </c>
      <c r="AY74" s="699">
        <v>565228.73970000003</v>
      </c>
      <c r="AZ74" s="699">
        <v>565228.73970000003</v>
      </c>
      <c r="BA74" s="699">
        <v>563375.92220000003</v>
      </c>
      <c r="BB74" s="699">
        <v>563375.92220000003</v>
      </c>
      <c r="BC74" s="699">
        <v>563375.92220000003</v>
      </c>
      <c r="BD74" s="699">
        <v>541612.09360000002</v>
      </c>
      <c r="BE74" s="699">
        <v>104782.48820000001</v>
      </c>
      <c r="BF74" s="699">
        <v>0</v>
      </c>
      <c r="BG74" s="699">
        <v>0</v>
      </c>
      <c r="BH74" s="699">
        <v>0</v>
      </c>
      <c r="BI74" s="699">
        <v>0</v>
      </c>
      <c r="BJ74" s="699">
        <v>0</v>
      </c>
      <c r="BK74" s="699">
        <v>0</v>
      </c>
      <c r="BL74" s="699">
        <v>0</v>
      </c>
      <c r="BM74" s="699">
        <v>0</v>
      </c>
      <c r="BN74" s="699">
        <v>0</v>
      </c>
      <c r="BO74" s="699">
        <v>0</v>
      </c>
      <c r="BP74" s="699">
        <v>0</v>
      </c>
      <c r="BQ74" s="699">
        <v>0</v>
      </c>
      <c r="BR74" s="699">
        <v>0</v>
      </c>
      <c r="BS74" s="699">
        <v>0</v>
      </c>
      <c r="BT74" s="700">
        <v>0</v>
      </c>
      <c r="BU74" s="761"/>
    </row>
    <row r="75" spans="2:73">
      <c r="B75" s="694" t="s">
        <v>207</v>
      </c>
      <c r="C75" s="694" t="s">
        <v>688</v>
      </c>
      <c r="D75" s="694" t="s">
        <v>20</v>
      </c>
      <c r="E75" s="694" t="s">
        <v>686</v>
      </c>
      <c r="F75" s="694" t="s">
        <v>703</v>
      </c>
      <c r="G75" s="694" t="s">
        <v>687</v>
      </c>
      <c r="H75" s="694">
        <v>2014</v>
      </c>
      <c r="I75" s="646" t="s">
        <v>573</v>
      </c>
      <c r="J75" s="646" t="s">
        <v>588</v>
      </c>
      <c r="K75" s="635"/>
      <c r="L75" s="698">
        <v>0</v>
      </c>
      <c r="M75" s="699">
        <v>0</v>
      </c>
      <c r="N75" s="699">
        <v>0</v>
      </c>
      <c r="O75" s="699">
        <v>93.568513609999997</v>
      </c>
      <c r="P75" s="699">
        <v>93.568513609999997</v>
      </c>
      <c r="Q75" s="699">
        <v>93.568513609999997</v>
      </c>
      <c r="R75" s="699">
        <v>93.568513609999997</v>
      </c>
      <c r="S75" s="699">
        <v>0</v>
      </c>
      <c r="T75" s="699">
        <v>0</v>
      </c>
      <c r="U75" s="699">
        <v>0</v>
      </c>
      <c r="V75" s="699">
        <v>0</v>
      </c>
      <c r="W75" s="699">
        <v>0</v>
      </c>
      <c r="X75" s="699">
        <v>0</v>
      </c>
      <c r="Y75" s="699">
        <v>0</v>
      </c>
      <c r="Z75" s="699">
        <v>0</v>
      </c>
      <c r="AA75" s="699">
        <v>0</v>
      </c>
      <c r="AB75" s="699">
        <v>0</v>
      </c>
      <c r="AC75" s="699">
        <v>0</v>
      </c>
      <c r="AD75" s="699">
        <v>0</v>
      </c>
      <c r="AE75" s="699">
        <v>0</v>
      </c>
      <c r="AF75" s="699">
        <v>0</v>
      </c>
      <c r="AG75" s="699">
        <v>0</v>
      </c>
      <c r="AH75" s="699">
        <v>0</v>
      </c>
      <c r="AI75" s="699">
        <v>0</v>
      </c>
      <c r="AJ75" s="699">
        <v>0</v>
      </c>
      <c r="AK75" s="699">
        <v>0</v>
      </c>
      <c r="AL75" s="699">
        <v>0</v>
      </c>
      <c r="AM75" s="699">
        <v>0</v>
      </c>
      <c r="AN75" s="699">
        <v>0</v>
      </c>
      <c r="AO75" s="700">
        <v>0</v>
      </c>
      <c r="AP75" s="635"/>
      <c r="AQ75" s="698">
        <v>0</v>
      </c>
      <c r="AR75" s="699">
        <v>0</v>
      </c>
      <c r="AS75" s="699">
        <v>0</v>
      </c>
      <c r="AT75" s="699">
        <v>456914.99040000001</v>
      </c>
      <c r="AU75" s="699">
        <v>456914.99040000001</v>
      </c>
      <c r="AV75" s="699">
        <v>456914.99040000001</v>
      </c>
      <c r="AW75" s="699">
        <v>456914.99040000001</v>
      </c>
      <c r="AX75" s="699">
        <v>0</v>
      </c>
      <c r="AY75" s="699">
        <v>0</v>
      </c>
      <c r="AZ75" s="699">
        <v>0</v>
      </c>
      <c r="BA75" s="699">
        <v>0</v>
      </c>
      <c r="BB75" s="699">
        <v>0</v>
      </c>
      <c r="BC75" s="699">
        <v>0</v>
      </c>
      <c r="BD75" s="699">
        <v>0</v>
      </c>
      <c r="BE75" s="699">
        <v>0</v>
      </c>
      <c r="BF75" s="699">
        <v>0</v>
      </c>
      <c r="BG75" s="699">
        <v>0</v>
      </c>
      <c r="BH75" s="699">
        <v>0</v>
      </c>
      <c r="BI75" s="699">
        <v>0</v>
      </c>
      <c r="BJ75" s="699">
        <v>0</v>
      </c>
      <c r="BK75" s="699">
        <v>0</v>
      </c>
      <c r="BL75" s="699">
        <v>0</v>
      </c>
      <c r="BM75" s="699">
        <v>0</v>
      </c>
      <c r="BN75" s="699">
        <v>0</v>
      </c>
      <c r="BO75" s="699">
        <v>0</v>
      </c>
      <c r="BP75" s="699">
        <v>0</v>
      </c>
      <c r="BQ75" s="699">
        <v>0</v>
      </c>
      <c r="BR75" s="699">
        <v>0</v>
      </c>
      <c r="BS75" s="699">
        <v>0</v>
      </c>
      <c r="BT75" s="700">
        <v>0</v>
      </c>
    </row>
    <row r="76" spans="2:73">
      <c r="B76" s="694" t="s">
        <v>207</v>
      </c>
      <c r="C76" s="694" t="s">
        <v>688</v>
      </c>
      <c r="D76" s="694" t="s">
        <v>17</v>
      </c>
      <c r="E76" s="694" t="s">
        <v>686</v>
      </c>
      <c r="F76" s="694" t="s">
        <v>703</v>
      </c>
      <c r="G76" s="694" t="s">
        <v>687</v>
      </c>
      <c r="H76" s="694">
        <v>2013</v>
      </c>
      <c r="I76" s="646" t="s">
        <v>573</v>
      </c>
      <c r="J76" s="646" t="s">
        <v>581</v>
      </c>
      <c r="K76" s="635"/>
      <c r="L76" s="698">
        <v>0</v>
      </c>
      <c r="M76" s="699">
        <v>0</v>
      </c>
      <c r="N76" s="699">
        <v>1.325698753</v>
      </c>
      <c r="O76" s="699">
        <v>1.325698753</v>
      </c>
      <c r="P76" s="699">
        <v>1.325698753</v>
      </c>
      <c r="Q76" s="699">
        <v>1.325698753</v>
      </c>
      <c r="R76" s="699">
        <v>1.325698753</v>
      </c>
      <c r="S76" s="699">
        <v>1.325698753</v>
      </c>
      <c r="T76" s="699">
        <v>1.325698753</v>
      </c>
      <c r="U76" s="699">
        <v>1.325698753</v>
      </c>
      <c r="V76" s="699">
        <v>1.325698753</v>
      </c>
      <c r="W76" s="699">
        <v>1.325698753</v>
      </c>
      <c r="X76" s="699">
        <v>1.325698753</v>
      </c>
      <c r="Y76" s="699">
        <v>1.325698753</v>
      </c>
      <c r="Z76" s="699">
        <v>1.325698753</v>
      </c>
      <c r="AA76" s="699">
        <v>1.325698753</v>
      </c>
      <c r="AB76" s="699">
        <v>1.325698753</v>
      </c>
      <c r="AC76" s="699">
        <v>0</v>
      </c>
      <c r="AD76" s="699">
        <v>0</v>
      </c>
      <c r="AE76" s="699">
        <v>0</v>
      </c>
      <c r="AF76" s="699">
        <v>0</v>
      </c>
      <c r="AG76" s="699">
        <v>0</v>
      </c>
      <c r="AH76" s="699">
        <v>0</v>
      </c>
      <c r="AI76" s="699">
        <v>0</v>
      </c>
      <c r="AJ76" s="699">
        <v>0</v>
      </c>
      <c r="AK76" s="699">
        <v>0</v>
      </c>
      <c r="AL76" s="699">
        <v>0</v>
      </c>
      <c r="AM76" s="699">
        <v>0</v>
      </c>
      <c r="AN76" s="699">
        <v>0</v>
      </c>
      <c r="AO76" s="700">
        <v>0</v>
      </c>
      <c r="AP76" s="635"/>
      <c r="AQ76" s="698">
        <v>0</v>
      </c>
      <c r="AR76" s="699">
        <v>0</v>
      </c>
      <c r="AS76" s="699">
        <v>10662.84</v>
      </c>
      <c r="AT76" s="699">
        <v>10662.84</v>
      </c>
      <c r="AU76" s="699">
        <v>10662.84</v>
      </c>
      <c r="AV76" s="699">
        <v>10662.84</v>
      </c>
      <c r="AW76" s="699">
        <v>10662.84</v>
      </c>
      <c r="AX76" s="699">
        <v>10662.84</v>
      </c>
      <c r="AY76" s="699">
        <v>10662.84</v>
      </c>
      <c r="AZ76" s="699">
        <v>10662.84</v>
      </c>
      <c r="BA76" s="699">
        <v>10662.84</v>
      </c>
      <c r="BB76" s="699">
        <v>10662.84</v>
      </c>
      <c r="BC76" s="699">
        <v>10662.84</v>
      </c>
      <c r="BD76" s="699">
        <v>10662.84</v>
      </c>
      <c r="BE76" s="699">
        <v>10662.84</v>
      </c>
      <c r="BF76" s="699">
        <v>10662.84</v>
      </c>
      <c r="BG76" s="699">
        <v>10662.84</v>
      </c>
      <c r="BH76" s="699">
        <v>0</v>
      </c>
      <c r="BI76" s="699">
        <v>0</v>
      </c>
      <c r="BJ76" s="699">
        <v>0</v>
      </c>
      <c r="BK76" s="699">
        <v>0</v>
      </c>
      <c r="BL76" s="699">
        <v>0</v>
      </c>
      <c r="BM76" s="699">
        <v>0</v>
      </c>
      <c r="BN76" s="699">
        <v>0</v>
      </c>
      <c r="BO76" s="699">
        <v>0</v>
      </c>
      <c r="BP76" s="699">
        <v>0</v>
      </c>
      <c r="BQ76" s="699">
        <v>0</v>
      </c>
      <c r="BR76" s="699">
        <v>0</v>
      </c>
      <c r="BS76" s="699">
        <v>0</v>
      </c>
      <c r="BT76" s="700">
        <v>0</v>
      </c>
    </row>
    <row r="77" spans="2:73">
      <c r="B77" s="694" t="s">
        <v>207</v>
      </c>
      <c r="C77" s="694" t="s">
        <v>688</v>
      </c>
      <c r="D77" s="694" t="s">
        <v>17</v>
      </c>
      <c r="E77" s="694" t="s">
        <v>686</v>
      </c>
      <c r="F77" s="694" t="s">
        <v>703</v>
      </c>
      <c r="G77" s="694" t="s">
        <v>687</v>
      </c>
      <c r="H77" s="694">
        <v>2014</v>
      </c>
      <c r="I77" s="646" t="s">
        <v>573</v>
      </c>
      <c r="J77" s="646" t="s">
        <v>588</v>
      </c>
      <c r="K77" s="635"/>
      <c r="L77" s="698">
        <v>0</v>
      </c>
      <c r="M77" s="699">
        <v>0</v>
      </c>
      <c r="N77" s="699">
        <v>0</v>
      </c>
      <c r="O77" s="699">
        <v>33.562511999999998</v>
      </c>
      <c r="P77" s="699">
        <v>33.562511999999998</v>
      </c>
      <c r="Q77" s="699">
        <v>33.562511999999998</v>
      </c>
      <c r="R77" s="699">
        <v>33.562511999999998</v>
      </c>
      <c r="S77" s="699">
        <v>33.562511999999998</v>
      </c>
      <c r="T77" s="699">
        <v>33.562511999999998</v>
      </c>
      <c r="U77" s="699">
        <v>33.562511999999998</v>
      </c>
      <c r="V77" s="699">
        <v>33.562511999999998</v>
      </c>
      <c r="W77" s="699">
        <v>33.562511999999998</v>
      </c>
      <c r="X77" s="699">
        <v>33.562511999999998</v>
      </c>
      <c r="Y77" s="699">
        <v>29.97</v>
      </c>
      <c r="Z77" s="699">
        <v>29.97</v>
      </c>
      <c r="AA77" s="699">
        <v>29.97</v>
      </c>
      <c r="AB77" s="699">
        <v>29.97</v>
      </c>
      <c r="AC77" s="699">
        <v>29.97</v>
      </c>
      <c r="AD77" s="699">
        <v>0</v>
      </c>
      <c r="AE77" s="699">
        <v>0</v>
      </c>
      <c r="AF77" s="699">
        <v>0</v>
      </c>
      <c r="AG77" s="699">
        <v>0</v>
      </c>
      <c r="AH77" s="699">
        <v>0</v>
      </c>
      <c r="AI77" s="699">
        <v>0</v>
      </c>
      <c r="AJ77" s="699">
        <v>0</v>
      </c>
      <c r="AK77" s="699">
        <v>0</v>
      </c>
      <c r="AL77" s="699">
        <v>0</v>
      </c>
      <c r="AM77" s="699">
        <v>0</v>
      </c>
      <c r="AN77" s="699">
        <v>0</v>
      </c>
      <c r="AO77" s="700">
        <v>0</v>
      </c>
      <c r="AP77" s="635"/>
      <c r="AQ77" s="698">
        <v>0</v>
      </c>
      <c r="AR77" s="699">
        <v>0</v>
      </c>
      <c r="AS77" s="699">
        <v>0</v>
      </c>
      <c r="AT77" s="699">
        <v>165882.53520000001</v>
      </c>
      <c r="AU77" s="699">
        <v>165882.53520000001</v>
      </c>
      <c r="AV77" s="699">
        <v>165882.53520000001</v>
      </c>
      <c r="AW77" s="699">
        <v>165882.53520000001</v>
      </c>
      <c r="AX77" s="699">
        <v>165882.53520000001</v>
      </c>
      <c r="AY77" s="699">
        <v>165882.53520000001</v>
      </c>
      <c r="AZ77" s="699">
        <v>165882.53520000001</v>
      </c>
      <c r="BA77" s="699">
        <v>165882.53520000001</v>
      </c>
      <c r="BB77" s="699">
        <v>165882.53520000001</v>
      </c>
      <c r="BC77" s="699">
        <v>165882.53520000001</v>
      </c>
      <c r="BD77" s="699">
        <v>143524.98000000001</v>
      </c>
      <c r="BE77" s="699">
        <v>143524.98000000001</v>
      </c>
      <c r="BF77" s="699">
        <v>143524.98000000001</v>
      </c>
      <c r="BG77" s="699">
        <v>143524.98000000001</v>
      </c>
      <c r="BH77" s="699">
        <v>143524.98000000001</v>
      </c>
      <c r="BI77" s="699">
        <v>0</v>
      </c>
      <c r="BJ77" s="699">
        <v>0</v>
      </c>
      <c r="BK77" s="699">
        <v>0</v>
      </c>
      <c r="BL77" s="699">
        <v>0</v>
      </c>
      <c r="BM77" s="699">
        <v>0</v>
      </c>
      <c r="BN77" s="699">
        <v>0</v>
      </c>
      <c r="BO77" s="699">
        <v>0</v>
      </c>
      <c r="BP77" s="699">
        <v>0</v>
      </c>
      <c r="BQ77" s="699">
        <v>0</v>
      </c>
      <c r="BR77" s="699">
        <v>0</v>
      </c>
      <c r="BS77" s="699">
        <v>0</v>
      </c>
      <c r="BT77" s="700">
        <v>0</v>
      </c>
    </row>
    <row r="78" spans="2:73">
      <c r="B78" s="694" t="s">
        <v>207</v>
      </c>
      <c r="C78" s="694" t="s">
        <v>688</v>
      </c>
      <c r="D78" s="694" t="s">
        <v>22</v>
      </c>
      <c r="E78" s="694" t="s">
        <v>686</v>
      </c>
      <c r="F78" s="694" t="s">
        <v>703</v>
      </c>
      <c r="G78" s="694" t="s">
        <v>687</v>
      </c>
      <c r="H78" s="694">
        <v>2012</v>
      </c>
      <c r="I78" s="646" t="s">
        <v>573</v>
      </c>
      <c r="J78" s="646" t="s">
        <v>581</v>
      </c>
      <c r="K78" s="635"/>
      <c r="L78" s="698">
        <v>0</v>
      </c>
      <c r="M78" s="699">
        <v>0</v>
      </c>
      <c r="N78" s="699">
        <v>0</v>
      </c>
      <c r="O78" s="699">
        <v>0</v>
      </c>
      <c r="P78" s="699">
        <v>0</v>
      </c>
      <c r="Q78" s="699">
        <v>0</v>
      </c>
      <c r="R78" s="699">
        <v>0</v>
      </c>
      <c r="S78" s="699">
        <v>0</v>
      </c>
      <c r="T78" s="699">
        <v>0</v>
      </c>
      <c r="U78" s="699">
        <v>0</v>
      </c>
      <c r="V78" s="699">
        <v>0</v>
      </c>
      <c r="W78" s="699">
        <v>0</v>
      </c>
      <c r="X78" s="699">
        <v>0</v>
      </c>
      <c r="Y78" s="699">
        <v>0</v>
      </c>
      <c r="Z78" s="699">
        <v>0</v>
      </c>
      <c r="AA78" s="699">
        <v>0</v>
      </c>
      <c r="AB78" s="699">
        <v>0</v>
      </c>
      <c r="AC78" s="699">
        <v>0</v>
      </c>
      <c r="AD78" s="699">
        <v>0</v>
      </c>
      <c r="AE78" s="699">
        <v>0</v>
      </c>
      <c r="AF78" s="699">
        <v>0</v>
      </c>
      <c r="AG78" s="699">
        <v>0</v>
      </c>
      <c r="AH78" s="699">
        <v>0</v>
      </c>
      <c r="AI78" s="699">
        <v>0</v>
      </c>
      <c r="AJ78" s="699">
        <v>0</v>
      </c>
      <c r="AK78" s="699">
        <v>0</v>
      </c>
      <c r="AL78" s="699">
        <v>0</v>
      </c>
      <c r="AM78" s="699">
        <v>0</v>
      </c>
      <c r="AN78" s="699">
        <v>0</v>
      </c>
      <c r="AO78" s="700">
        <v>0</v>
      </c>
      <c r="AP78" s="635"/>
      <c r="AQ78" s="698">
        <v>0</v>
      </c>
      <c r="AR78" s="699">
        <v>0</v>
      </c>
      <c r="AS78" s="699">
        <v>0</v>
      </c>
      <c r="AT78" s="699">
        <v>0</v>
      </c>
      <c r="AU78" s="699">
        <v>0</v>
      </c>
      <c r="AV78" s="699">
        <v>0</v>
      </c>
      <c r="AW78" s="699">
        <v>0</v>
      </c>
      <c r="AX78" s="699">
        <v>0</v>
      </c>
      <c r="AY78" s="699">
        <v>0</v>
      </c>
      <c r="AZ78" s="699">
        <v>0</v>
      </c>
      <c r="BA78" s="699">
        <v>0</v>
      </c>
      <c r="BB78" s="699">
        <v>0</v>
      </c>
      <c r="BC78" s="699">
        <v>0</v>
      </c>
      <c r="BD78" s="699">
        <v>0</v>
      </c>
      <c r="BE78" s="699">
        <v>0</v>
      </c>
      <c r="BF78" s="699">
        <v>0</v>
      </c>
      <c r="BG78" s="699">
        <v>0</v>
      </c>
      <c r="BH78" s="699">
        <v>0</v>
      </c>
      <c r="BI78" s="699">
        <v>0</v>
      </c>
      <c r="BJ78" s="699">
        <v>0</v>
      </c>
      <c r="BK78" s="699">
        <v>0</v>
      </c>
      <c r="BL78" s="699">
        <v>0</v>
      </c>
      <c r="BM78" s="699">
        <v>0</v>
      </c>
      <c r="BN78" s="699">
        <v>0</v>
      </c>
      <c r="BO78" s="699">
        <v>0</v>
      </c>
      <c r="BP78" s="699">
        <v>0</v>
      </c>
      <c r="BQ78" s="699">
        <v>0</v>
      </c>
      <c r="BR78" s="699">
        <v>0</v>
      </c>
      <c r="BS78" s="699">
        <v>0</v>
      </c>
      <c r="BT78" s="700">
        <v>0</v>
      </c>
    </row>
    <row r="79" spans="2:73" ht="15.75">
      <c r="B79" s="694" t="s">
        <v>207</v>
      </c>
      <c r="C79" s="694" t="s">
        <v>688</v>
      </c>
      <c r="D79" s="694" t="s">
        <v>22</v>
      </c>
      <c r="E79" s="694" t="s">
        <v>686</v>
      </c>
      <c r="F79" s="694" t="s">
        <v>703</v>
      </c>
      <c r="G79" s="694" t="s">
        <v>687</v>
      </c>
      <c r="H79" s="694">
        <v>2013</v>
      </c>
      <c r="I79" s="646" t="s">
        <v>573</v>
      </c>
      <c r="J79" s="646" t="s">
        <v>581</v>
      </c>
      <c r="K79" s="635"/>
      <c r="L79" s="698">
        <v>0</v>
      </c>
      <c r="M79" s="699">
        <v>0</v>
      </c>
      <c r="N79" s="699">
        <v>101.0009769</v>
      </c>
      <c r="O79" s="699">
        <v>98.921217240000004</v>
      </c>
      <c r="P79" s="699">
        <v>98.849480869999994</v>
      </c>
      <c r="Q79" s="699">
        <v>98.849480869999994</v>
      </c>
      <c r="R79" s="699">
        <v>98.387009129999996</v>
      </c>
      <c r="S79" s="699">
        <v>97.72320268</v>
      </c>
      <c r="T79" s="699">
        <v>97.72320268</v>
      </c>
      <c r="U79" s="699">
        <v>97.482047170000001</v>
      </c>
      <c r="V79" s="699">
        <v>95.004730039999998</v>
      </c>
      <c r="W79" s="699">
        <v>90.165743140000004</v>
      </c>
      <c r="X79" s="699">
        <v>81.554164240000006</v>
      </c>
      <c r="Y79" s="699">
        <v>79.554632269999999</v>
      </c>
      <c r="Z79" s="699">
        <v>75.220611410000004</v>
      </c>
      <c r="AA79" s="699">
        <v>70.202318099999999</v>
      </c>
      <c r="AB79" s="699">
        <v>70.202318099999999</v>
      </c>
      <c r="AC79" s="699">
        <v>56.838566479999997</v>
      </c>
      <c r="AD79" s="699">
        <v>1.5326174910000001</v>
      </c>
      <c r="AE79" s="699">
        <v>1.4334160220000001</v>
      </c>
      <c r="AF79" s="699">
        <v>1.4334160220000001</v>
      </c>
      <c r="AG79" s="699">
        <v>1.4334160220000001</v>
      </c>
      <c r="AH79" s="699">
        <v>0</v>
      </c>
      <c r="AI79" s="699">
        <v>0</v>
      </c>
      <c r="AJ79" s="699">
        <v>0</v>
      </c>
      <c r="AK79" s="699">
        <v>0</v>
      </c>
      <c r="AL79" s="699">
        <v>0</v>
      </c>
      <c r="AM79" s="699">
        <v>0</v>
      </c>
      <c r="AN79" s="699">
        <v>0</v>
      </c>
      <c r="AO79" s="700">
        <v>0</v>
      </c>
      <c r="AP79" s="635"/>
      <c r="AQ79" s="698">
        <v>0</v>
      </c>
      <c r="AR79" s="699">
        <v>0</v>
      </c>
      <c r="AS79" s="699">
        <v>298471.37430000002</v>
      </c>
      <c r="AT79" s="699">
        <v>290890.11859999999</v>
      </c>
      <c r="AU79" s="699">
        <v>290640.22570000001</v>
      </c>
      <c r="AV79" s="699">
        <v>290640.22570000001</v>
      </c>
      <c r="AW79" s="699">
        <v>289029.2107</v>
      </c>
      <c r="AX79" s="699">
        <v>284649.3774</v>
      </c>
      <c r="AY79" s="699">
        <v>284649.3774</v>
      </c>
      <c r="AZ79" s="699">
        <v>283225.37959999999</v>
      </c>
      <c r="BA79" s="699">
        <v>272650.9289</v>
      </c>
      <c r="BB79" s="699">
        <v>240723.01329999999</v>
      </c>
      <c r="BC79" s="699">
        <v>179599.1611</v>
      </c>
      <c r="BD79" s="699">
        <v>167792.13630000001</v>
      </c>
      <c r="BE79" s="699">
        <v>149044.0172</v>
      </c>
      <c r="BF79" s="699">
        <v>130704.18119999999</v>
      </c>
      <c r="BG79" s="699">
        <v>130704.18119999999</v>
      </c>
      <c r="BH79" s="699">
        <v>105689.10430000001</v>
      </c>
      <c r="BI79" s="699">
        <v>1385.5554</v>
      </c>
      <c r="BJ79" s="699">
        <v>1012.7746239999999</v>
      </c>
      <c r="BK79" s="699">
        <v>1012.7746239999999</v>
      </c>
      <c r="BL79" s="699">
        <v>1012.7746239999999</v>
      </c>
      <c r="BM79" s="699">
        <v>0</v>
      </c>
      <c r="BN79" s="699">
        <v>0</v>
      </c>
      <c r="BO79" s="699">
        <v>0</v>
      </c>
      <c r="BP79" s="699">
        <v>0</v>
      </c>
      <c r="BQ79" s="699">
        <v>0</v>
      </c>
      <c r="BR79" s="699">
        <v>0</v>
      </c>
      <c r="BS79" s="699">
        <v>0</v>
      </c>
      <c r="BT79" s="700">
        <v>0</v>
      </c>
      <c r="BU79" s="165"/>
    </row>
    <row r="80" spans="2:73" ht="15.75">
      <c r="B80" s="694" t="s">
        <v>207</v>
      </c>
      <c r="C80" s="694" t="s">
        <v>688</v>
      </c>
      <c r="D80" s="694" t="s">
        <v>22</v>
      </c>
      <c r="E80" s="694" t="s">
        <v>686</v>
      </c>
      <c r="F80" s="694" t="s">
        <v>703</v>
      </c>
      <c r="G80" s="694" t="s">
        <v>687</v>
      </c>
      <c r="H80" s="694">
        <v>2014</v>
      </c>
      <c r="I80" s="646" t="s">
        <v>573</v>
      </c>
      <c r="J80" s="646" t="s">
        <v>588</v>
      </c>
      <c r="K80" s="635"/>
      <c r="L80" s="698">
        <v>0</v>
      </c>
      <c r="M80" s="699">
        <v>0</v>
      </c>
      <c r="N80" s="699">
        <v>0</v>
      </c>
      <c r="O80" s="699">
        <v>295.05080329999998</v>
      </c>
      <c r="P80" s="699">
        <v>294.93124269999998</v>
      </c>
      <c r="Q80" s="699">
        <v>294.93124269999998</v>
      </c>
      <c r="R80" s="699">
        <v>287.09418199999999</v>
      </c>
      <c r="S80" s="699">
        <v>287.09418199999999</v>
      </c>
      <c r="T80" s="699">
        <v>287.09418199999999</v>
      </c>
      <c r="U80" s="699">
        <v>282.13911919999998</v>
      </c>
      <c r="V80" s="699">
        <v>282.13911919999998</v>
      </c>
      <c r="W80" s="699">
        <v>254.6667831</v>
      </c>
      <c r="X80" s="699">
        <v>233.67473050000001</v>
      </c>
      <c r="Y80" s="699">
        <v>198.23196469999999</v>
      </c>
      <c r="Z80" s="699">
        <v>178.70733440000001</v>
      </c>
      <c r="AA80" s="699">
        <v>33.620175969999998</v>
      </c>
      <c r="AB80" s="699">
        <v>30.556452749999998</v>
      </c>
      <c r="AC80" s="699">
        <v>30.556452749999998</v>
      </c>
      <c r="AD80" s="699">
        <v>25.941777980000001</v>
      </c>
      <c r="AE80" s="699">
        <v>10.49002877</v>
      </c>
      <c r="AF80" s="699">
        <v>10.49002877</v>
      </c>
      <c r="AG80" s="699">
        <v>10.49002877</v>
      </c>
      <c r="AH80" s="699">
        <v>10.49002877</v>
      </c>
      <c r="AI80" s="699">
        <v>0</v>
      </c>
      <c r="AJ80" s="699">
        <v>0</v>
      </c>
      <c r="AK80" s="699">
        <v>0</v>
      </c>
      <c r="AL80" s="699">
        <v>0</v>
      </c>
      <c r="AM80" s="699">
        <v>0</v>
      </c>
      <c r="AN80" s="699">
        <v>0</v>
      </c>
      <c r="AO80" s="700">
        <v>0</v>
      </c>
      <c r="AP80" s="635"/>
      <c r="AQ80" s="698">
        <v>0</v>
      </c>
      <c r="AR80" s="699">
        <v>0</v>
      </c>
      <c r="AS80" s="699">
        <v>0</v>
      </c>
      <c r="AT80" s="699">
        <v>2346163.3289999999</v>
      </c>
      <c r="AU80" s="699">
        <v>2345746.84</v>
      </c>
      <c r="AV80" s="699">
        <v>2345746.84</v>
      </c>
      <c r="AW80" s="699">
        <v>2318355.9810000001</v>
      </c>
      <c r="AX80" s="699">
        <v>2318355.9810000001</v>
      </c>
      <c r="AY80" s="699">
        <v>2318355.9810000001</v>
      </c>
      <c r="AZ80" s="699">
        <v>2285450.2179999999</v>
      </c>
      <c r="BA80" s="699">
        <v>2285450.2179999999</v>
      </c>
      <c r="BB80" s="699">
        <v>2077333.86</v>
      </c>
      <c r="BC80" s="699">
        <v>1882296.6370000001</v>
      </c>
      <c r="BD80" s="699">
        <v>1596429.574</v>
      </c>
      <c r="BE80" s="699">
        <v>1401160.3330000001</v>
      </c>
      <c r="BF80" s="699">
        <v>274022.68400000001</v>
      </c>
      <c r="BG80" s="699">
        <v>263350.23920000001</v>
      </c>
      <c r="BH80" s="699">
        <v>263350.23920000001</v>
      </c>
      <c r="BI80" s="699">
        <v>212225.1746</v>
      </c>
      <c r="BJ80" s="699">
        <v>26898.709060000001</v>
      </c>
      <c r="BK80" s="699">
        <v>26898.709060000001</v>
      </c>
      <c r="BL80" s="699">
        <v>26898.709060000001</v>
      </c>
      <c r="BM80" s="699">
        <v>26898.709060000001</v>
      </c>
      <c r="BN80" s="699">
        <v>0</v>
      </c>
      <c r="BO80" s="699">
        <v>0</v>
      </c>
      <c r="BP80" s="699">
        <v>0</v>
      </c>
      <c r="BQ80" s="699">
        <v>0</v>
      </c>
      <c r="BR80" s="699">
        <v>0</v>
      </c>
      <c r="BS80" s="699">
        <v>0</v>
      </c>
      <c r="BT80" s="700">
        <v>0</v>
      </c>
      <c r="BU80" s="165"/>
    </row>
    <row r="81" spans="2:73">
      <c r="B81" s="694" t="s">
        <v>207</v>
      </c>
      <c r="C81" s="694" t="s">
        <v>685</v>
      </c>
      <c r="D81" s="694" t="s">
        <v>2</v>
      </c>
      <c r="E81" s="694" t="s">
        <v>686</v>
      </c>
      <c r="F81" s="694" t="s">
        <v>29</v>
      </c>
      <c r="G81" s="694" t="s">
        <v>687</v>
      </c>
      <c r="H81" s="694">
        <v>2014</v>
      </c>
      <c r="I81" s="646" t="s">
        <v>573</v>
      </c>
      <c r="J81" s="646" t="s">
        <v>588</v>
      </c>
      <c r="K81" s="635"/>
      <c r="L81" s="698">
        <v>0</v>
      </c>
      <c r="M81" s="699">
        <v>0</v>
      </c>
      <c r="N81" s="699">
        <v>0</v>
      </c>
      <c r="O81" s="699">
        <v>8.7021521600000007</v>
      </c>
      <c r="P81" s="699">
        <v>8.7021521600000007</v>
      </c>
      <c r="Q81" s="699">
        <v>8.7021521600000007</v>
      </c>
      <c r="R81" s="699">
        <v>8.7021521600000007</v>
      </c>
      <c r="S81" s="699">
        <v>0</v>
      </c>
      <c r="T81" s="699">
        <v>0</v>
      </c>
      <c r="U81" s="699">
        <v>0</v>
      </c>
      <c r="V81" s="699">
        <v>0</v>
      </c>
      <c r="W81" s="699">
        <v>0</v>
      </c>
      <c r="X81" s="699">
        <v>0</v>
      </c>
      <c r="Y81" s="699">
        <v>0</v>
      </c>
      <c r="Z81" s="699">
        <v>0</v>
      </c>
      <c r="AA81" s="699">
        <v>0</v>
      </c>
      <c r="AB81" s="699">
        <v>0</v>
      </c>
      <c r="AC81" s="699">
        <v>0</v>
      </c>
      <c r="AD81" s="699">
        <v>0</v>
      </c>
      <c r="AE81" s="699">
        <v>0</v>
      </c>
      <c r="AF81" s="699">
        <v>0</v>
      </c>
      <c r="AG81" s="699">
        <v>0</v>
      </c>
      <c r="AH81" s="699">
        <v>0</v>
      </c>
      <c r="AI81" s="699">
        <v>0</v>
      </c>
      <c r="AJ81" s="699">
        <v>0</v>
      </c>
      <c r="AK81" s="699">
        <v>0</v>
      </c>
      <c r="AL81" s="699">
        <v>0</v>
      </c>
      <c r="AM81" s="699">
        <v>0</v>
      </c>
      <c r="AN81" s="699">
        <v>0</v>
      </c>
      <c r="AO81" s="700">
        <v>0</v>
      </c>
      <c r="AP81" s="635"/>
      <c r="AQ81" s="698">
        <v>0</v>
      </c>
      <c r="AR81" s="699">
        <v>0</v>
      </c>
      <c r="AS81" s="699">
        <v>0</v>
      </c>
      <c r="AT81" s="699">
        <v>15516.47487</v>
      </c>
      <c r="AU81" s="699">
        <v>15516.47487</v>
      </c>
      <c r="AV81" s="699">
        <v>15516.47487</v>
      </c>
      <c r="AW81" s="699">
        <v>15516.47487</v>
      </c>
      <c r="AX81" s="699">
        <v>0</v>
      </c>
      <c r="AY81" s="699">
        <v>0</v>
      </c>
      <c r="AZ81" s="699">
        <v>0</v>
      </c>
      <c r="BA81" s="699">
        <v>0</v>
      </c>
      <c r="BB81" s="699">
        <v>0</v>
      </c>
      <c r="BC81" s="699">
        <v>0</v>
      </c>
      <c r="BD81" s="699">
        <v>0</v>
      </c>
      <c r="BE81" s="699">
        <v>0</v>
      </c>
      <c r="BF81" s="699">
        <v>0</v>
      </c>
      <c r="BG81" s="699">
        <v>0</v>
      </c>
      <c r="BH81" s="699">
        <v>0</v>
      </c>
      <c r="BI81" s="699">
        <v>0</v>
      </c>
      <c r="BJ81" s="699">
        <v>0</v>
      </c>
      <c r="BK81" s="699">
        <v>0</v>
      </c>
      <c r="BL81" s="699">
        <v>0</v>
      </c>
      <c r="BM81" s="699">
        <v>0</v>
      </c>
      <c r="BN81" s="699">
        <v>0</v>
      </c>
      <c r="BO81" s="699">
        <v>0</v>
      </c>
      <c r="BP81" s="699">
        <v>0</v>
      </c>
      <c r="BQ81" s="699">
        <v>0</v>
      </c>
      <c r="BR81" s="699">
        <v>0</v>
      </c>
      <c r="BS81" s="699">
        <v>0</v>
      </c>
      <c r="BT81" s="700">
        <v>0</v>
      </c>
    </row>
    <row r="82" spans="2:73" ht="15.75">
      <c r="B82" s="694" t="s">
        <v>207</v>
      </c>
      <c r="C82" s="694" t="s">
        <v>685</v>
      </c>
      <c r="D82" s="694" t="s">
        <v>1</v>
      </c>
      <c r="E82" s="694" t="s">
        <v>686</v>
      </c>
      <c r="F82" s="694" t="s">
        <v>29</v>
      </c>
      <c r="G82" s="694" t="s">
        <v>687</v>
      </c>
      <c r="H82" s="694">
        <v>2014</v>
      </c>
      <c r="I82" s="646" t="s">
        <v>573</v>
      </c>
      <c r="J82" s="646" t="s">
        <v>588</v>
      </c>
      <c r="K82" s="635"/>
      <c r="L82" s="698">
        <v>0</v>
      </c>
      <c r="M82" s="699">
        <v>0</v>
      </c>
      <c r="N82" s="699">
        <v>0</v>
      </c>
      <c r="O82" s="699">
        <v>0.23350859500000001</v>
      </c>
      <c r="P82" s="699">
        <v>0.23350859500000001</v>
      </c>
      <c r="Q82" s="699">
        <v>0.23350859500000001</v>
      </c>
      <c r="R82" s="699">
        <v>0</v>
      </c>
      <c r="S82" s="699">
        <v>0</v>
      </c>
      <c r="T82" s="699">
        <v>0</v>
      </c>
      <c r="U82" s="699">
        <v>0</v>
      </c>
      <c r="V82" s="699">
        <v>0</v>
      </c>
      <c r="W82" s="699">
        <v>0</v>
      </c>
      <c r="X82" s="699">
        <v>0</v>
      </c>
      <c r="Y82" s="699">
        <v>0</v>
      </c>
      <c r="Z82" s="699">
        <v>0</v>
      </c>
      <c r="AA82" s="699">
        <v>0</v>
      </c>
      <c r="AB82" s="699">
        <v>0</v>
      </c>
      <c r="AC82" s="699">
        <v>0</v>
      </c>
      <c r="AD82" s="699">
        <v>0</v>
      </c>
      <c r="AE82" s="699">
        <v>0</v>
      </c>
      <c r="AF82" s="699">
        <v>0</v>
      </c>
      <c r="AG82" s="699">
        <v>0</v>
      </c>
      <c r="AH82" s="699">
        <v>0</v>
      </c>
      <c r="AI82" s="699">
        <v>0</v>
      </c>
      <c r="AJ82" s="699">
        <v>0</v>
      </c>
      <c r="AK82" s="699">
        <v>0</v>
      </c>
      <c r="AL82" s="699">
        <v>0</v>
      </c>
      <c r="AM82" s="699">
        <v>0</v>
      </c>
      <c r="AN82" s="699">
        <v>0</v>
      </c>
      <c r="AO82" s="700">
        <v>0</v>
      </c>
      <c r="AP82" s="635"/>
      <c r="AQ82" s="698">
        <v>0</v>
      </c>
      <c r="AR82" s="699">
        <v>0</v>
      </c>
      <c r="AS82" s="699">
        <v>0</v>
      </c>
      <c r="AT82" s="699">
        <v>208.81609320000001</v>
      </c>
      <c r="AU82" s="699">
        <v>208.81609320000001</v>
      </c>
      <c r="AV82" s="699">
        <v>208.81609320000001</v>
      </c>
      <c r="AW82" s="699">
        <v>0</v>
      </c>
      <c r="AX82" s="699">
        <v>0</v>
      </c>
      <c r="AY82" s="699">
        <v>0</v>
      </c>
      <c r="AZ82" s="699">
        <v>0</v>
      </c>
      <c r="BA82" s="699">
        <v>0</v>
      </c>
      <c r="BB82" s="699">
        <v>0</v>
      </c>
      <c r="BC82" s="699">
        <v>0</v>
      </c>
      <c r="BD82" s="699">
        <v>0</v>
      </c>
      <c r="BE82" s="699">
        <v>0</v>
      </c>
      <c r="BF82" s="699">
        <v>0</v>
      </c>
      <c r="BG82" s="699">
        <v>0</v>
      </c>
      <c r="BH82" s="699">
        <v>0</v>
      </c>
      <c r="BI82" s="699">
        <v>0</v>
      </c>
      <c r="BJ82" s="699">
        <v>0</v>
      </c>
      <c r="BK82" s="699">
        <v>0</v>
      </c>
      <c r="BL82" s="699">
        <v>0</v>
      </c>
      <c r="BM82" s="699">
        <v>0</v>
      </c>
      <c r="BN82" s="699">
        <v>0</v>
      </c>
      <c r="BO82" s="699">
        <v>0</v>
      </c>
      <c r="BP82" s="699">
        <v>0</v>
      </c>
      <c r="BQ82" s="699">
        <v>0</v>
      </c>
      <c r="BR82" s="699">
        <v>0</v>
      </c>
      <c r="BS82" s="699">
        <v>0</v>
      </c>
      <c r="BT82" s="700">
        <v>0</v>
      </c>
      <c r="BU82" s="165"/>
    </row>
    <row r="83" spans="2:73" ht="15.75">
      <c r="B83" s="694" t="s">
        <v>207</v>
      </c>
      <c r="C83" s="694" t="s">
        <v>685</v>
      </c>
      <c r="D83" s="694" t="s">
        <v>1</v>
      </c>
      <c r="E83" s="694" t="s">
        <v>686</v>
      </c>
      <c r="F83" s="694" t="s">
        <v>29</v>
      </c>
      <c r="G83" s="694" t="s">
        <v>687</v>
      </c>
      <c r="H83" s="694">
        <v>2014</v>
      </c>
      <c r="I83" s="646" t="s">
        <v>573</v>
      </c>
      <c r="J83" s="646" t="s">
        <v>588</v>
      </c>
      <c r="K83" s="635"/>
      <c r="L83" s="698">
        <v>0</v>
      </c>
      <c r="M83" s="699">
        <v>0</v>
      </c>
      <c r="N83" s="699">
        <v>0</v>
      </c>
      <c r="O83" s="699">
        <v>0.17698983400000001</v>
      </c>
      <c r="P83" s="699">
        <v>0.17698983400000001</v>
      </c>
      <c r="Q83" s="699">
        <v>0.17698983400000001</v>
      </c>
      <c r="R83" s="699">
        <v>0.17698983400000001</v>
      </c>
      <c r="S83" s="699">
        <v>0</v>
      </c>
      <c r="T83" s="699">
        <v>0</v>
      </c>
      <c r="U83" s="699">
        <v>0</v>
      </c>
      <c r="V83" s="699">
        <v>0</v>
      </c>
      <c r="W83" s="699">
        <v>0</v>
      </c>
      <c r="X83" s="699">
        <v>0</v>
      </c>
      <c r="Y83" s="699">
        <v>0</v>
      </c>
      <c r="Z83" s="699">
        <v>0</v>
      </c>
      <c r="AA83" s="699">
        <v>0</v>
      </c>
      <c r="AB83" s="699">
        <v>0</v>
      </c>
      <c r="AC83" s="699">
        <v>0</v>
      </c>
      <c r="AD83" s="699">
        <v>0</v>
      </c>
      <c r="AE83" s="699">
        <v>0</v>
      </c>
      <c r="AF83" s="699">
        <v>0</v>
      </c>
      <c r="AG83" s="699">
        <v>0</v>
      </c>
      <c r="AH83" s="699">
        <v>0</v>
      </c>
      <c r="AI83" s="699">
        <v>0</v>
      </c>
      <c r="AJ83" s="699">
        <v>0</v>
      </c>
      <c r="AK83" s="699">
        <v>0</v>
      </c>
      <c r="AL83" s="699">
        <v>0</v>
      </c>
      <c r="AM83" s="699">
        <v>0</v>
      </c>
      <c r="AN83" s="699">
        <v>0</v>
      </c>
      <c r="AO83" s="700">
        <v>0</v>
      </c>
      <c r="AP83" s="635"/>
      <c r="AQ83" s="698">
        <v>0</v>
      </c>
      <c r="AR83" s="699">
        <v>0</v>
      </c>
      <c r="AS83" s="699">
        <v>0</v>
      </c>
      <c r="AT83" s="699">
        <v>315.58380820000002</v>
      </c>
      <c r="AU83" s="699">
        <v>315.58380820000002</v>
      </c>
      <c r="AV83" s="699">
        <v>315.58380820000002</v>
      </c>
      <c r="AW83" s="699">
        <v>315.58380820000002</v>
      </c>
      <c r="AX83" s="699">
        <v>0</v>
      </c>
      <c r="AY83" s="699">
        <v>0</v>
      </c>
      <c r="AZ83" s="699">
        <v>0</v>
      </c>
      <c r="BA83" s="699">
        <v>0</v>
      </c>
      <c r="BB83" s="699">
        <v>0</v>
      </c>
      <c r="BC83" s="699">
        <v>0</v>
      </c>
      <c r="BD83" s="699">
        <v>0</v>
      </c>
      <c r="BE83" s="699">
        <v>0</v>
      </c>
      <c r="BF83" s="699">
        <v>0</v>
      </c>
      <c r="BG83" s="699">
        <v>0</v>
      </c>
      <c r="BH83" s="699">
        <v>0</v>
      </c>
      <c r="BI83" s="699">
        <v>0</v>
      </c>
      <c r="BJ83" s="699">
        <v>0</v>
      </c>
      <c r="BK83" s="699">
        <v>0</v>
      </c>
      <c r="BL83" s="699">
        <v>0</v>
      </c>
      <c r="BM83" s="699">
        <v>0</v>
      </c>
      <c r="BN83" s="699">
        <v>0</v>
      </c>
      <c r="BO83" s="699">
        <v>0</v>
      </c>
      <c r="BP83" s="699">
        <v>0</v>
      </c>
      <c r="BQ83" s="699">
        <v>0</v>
      </c>
      <c r="BR83" s="699">
        <v>0</v>
      </c>
      <c r="BS83" s="699">
        <v>0</v>
      </c>
      <c r="BT83" s="700">
        <v>0</v>
      </c>
      <c r="BU83" s="165"/>
    </row>
    <row r="84" spans="2:73" ht="15.75">
      <c r="B84" s="694" t="s">
        <v>207</v>
      </c>
      <c r="C84" s="694" t="s">
        <v>685</v>
      </c>
      <c r="D84" s="694" t="s">
        <v>1</v>
      </c>
      <c r="E84" s="694" t="s">
        <v>686</v>
      </c>
      <c r="F84" s="694" t="s">
        <v>29</v>
      </c>
      <c r="G84" s="694" t="s">
        <v>687</v>
      </c>
      <c r="H84" s="694">
        <v>2014</v>
      </c>
      <c r="I84" s="646" t="s">
        <v>573</v>
      </c>
      <c r="J84" s="646" t="s">
        <v>588</v>
      </c>
      <c r="K84" s="635"/>
      <c r="L84" s="698">
        <v>0</v>
      </c>
      <c r="M84" s="699">
        <v>0</v>
      </c>
      <c r="N84" s="699">
        <v>0</v>
      </c>
      <c r="O84" s="699">
        <v>2.5789923168035234</v>
      </c>
      <c r="P84" s="699">
        <v>2.5789923168035234</v>
      </c>
      <c r="Q84" s="699">
        <v>2.5789923168035234</v>
      </c>
      <c r="R84" s="699">
        <v>2.5789923168035234</v>
      </c>
      <c r="S84" s="699">
        <v>0</v>
      </c>
      <c r="T84" s="699">
        <v>0</v>
      </c>
      <c r="U84" s="699">
        <v>0</v>
      </c>
      <c r="V84" s="699">
        <v>0</v>
      </c>
      <c r="W84" s="699">
        <v>0</v>
      </c>
      <c r="X84" s="699">
        <v>0</v>
      </c>
      <c r="Y84" s="699">
        <v>0</v>
      </c>
      <c r="Z84" s="699">
        <v>0</v>
      </c>
      <c r="AA84" s="699">
        <v>0</v>
      </c>
      <c r="AB84" s="699">
        <v>0</v>
      </c>
      <c r="AC84" s="699">
        <v>0</v>
      </c>
      <c r="AD84" s="699">
        <v>0</v>
      </c>
      <c r="AE84" s="699">
        <v>0</v>
      </c>
      <c r="AF84" s="699">
        <v>0</v>
      </c>
      <c r="AG84" s="699">
        <v>0</v>
      </c>
      <c r="AH84" s="699">
        <v>0</v>
      </c>
      <c r="AI84" s="699">
        <v>0</v>
      </c>
      <c r="AJ84" s="699">
        <v>0</v>
      </c>
      <c r="AK84" s="699">
        <v>0</v>
      </c>
      <c r="AL84" s="699">
        <v>0</v>
      </c>
      <c r="AM84" s="699">
        <v>0</v>
      </c>
      <c r="AN84" s="699">
        <v>0</v>
      </c>
      <c r="AO84" s="700">
        <v>0</v>
      </c>
      <c r="AP84" s="635"/>
      <c r="AQ84" s="698">
        <v>0</v>
      </c>
      <c r="AR84" s="699">
        <v>0</v>
      </c>
      <c r="AS84" s="699">
        <v>0</v>
      </c>
      <c r="AT84" s="699">
        <v>18673.370697660241</v>
      </c>
      <c r="AU84" s="699">
        <v>18673.370697660241</v>
      </c>
      <c r="AV84" s="699">
        <v>18673.370697660241</v>
      </c>
      <c r="AW84" s="699">
        <v>18673.370697660241</v>
      </c>
      <c r="AX84" s="699">
        <v>0</v>
      </c>
      <c r="AY84" s="699">
        <v>0</v>
      </c>
      <c r="AZ84" s="699">
        <v>0</v>
      </c>
      <c r="BA84" s="699">
        <v>0</v>
      </c>
      <c r="BB84" s="699">
        <v>0</v>
      </c>
      <c r="BC84" s="699">
        <v>0</v>
      </c>
      <c r="BD84" s="699">
        <v>0</v>
      </c>
      <c r="BE84" s="699">
        <v>0</v>
      </c>
      <c r="BF84" s="699">
        <v>0</v>
      </c>
      <c r="BG84" s="699">
        <v>0</v>
      </c>
      <c r="BH84" s="699">
        <v>0</v>
      </c>
      <c r="BI84" s="699">
        <v>0</v>
      </c>
      <c r="BJ84" s="699">
        <v>0</v>
      </c>
      <c r="BK84" s="699">
        <v>0</v>
      </c>
      <c r="BL84" s="699">
        <v>0</v>
      </c>
      <c r="BM84" s="699">
        <v>0</v>
      </c>
      <c r="BN84" s="699">
        <v>0</v>
      </c>
      <c r="BO84" s="699">
        <v>0</v>
      </c>
      <c r="BP84" s="699">
        <v>0</v>
      </c>
      <c r="BQ84" s="699">
        <v>0</v>
      </c>
      <c r="BR84" s="699">
        <v>0</v>
      </c>
      <c r="BS84" s="699">
        <v>0</v>
      </c>
      <c r="BT84" s="700">
        <v>0</v>
      </c>
      <c r="BU84" s="165"/>
    </row>
    <row r="85" spans="2:73">
      <c r="B85" s="694" t="s">
        <v>207</v>
      </c>
      <c r="C85" s="694" t="s">
        <v>685</v>
      </c>
      <c r="D85" s="694" t="s">
        <v>1</v>
      </c>
      <c r="E85" s="694" t="s">
        <v>686</v>
      </c>
      <c r="F85" s="694" t="s">
        <v>29</v>
      </c>
      <c r="G85" s="694" t="s">
        <v>687</v>
      </c>
      <c r="H85" s="694">
        <v>2014</v>
      </c>
      <c r="I85" s="646" t="s">
        <v>573</v>
      </c>
      <c r="J85" s="646" t="s">
        <v>588</v>
      </c>
      <c r="K85" s="635"/>
      <c r="L85" s="698">
        <v>0</v>
      </c>
      <c r="M85" s="699">
        <v>0</v>
      </c>
      <c r="N85" s="699">
        <v>0</v>
      </c>
      <c r="O85" s="699">
        <v>4.2045977624726323</v>
      </c>
      <c r="P85" s="699">
        <v>4.2045977624726323</v>
      </c>
      <c r="Q85" s="699">
        <v>4.2045977624726323</v>
      </c>
      <c r="R85" s="699">
        <v>4.2045977624726323</v>
      </c>
      <c r="S85" s="699">
        <v>4.2045977624726323</v>
      </c>
      <c r="T85" s="699">
        <v>0</v>
      </c>
      <c r="U85" s="699">
        <v>0</v>
      </c>
      <c r="V85" s="699">
        <v>0</v>
      </c>
      <c r="W85" s="699">
        <v>0</v>
      </c>
      <c r="X85" s="699">
        <v>0</v>
      </c>
      <c r="Y85" s="699">
        <v>0</v>
      </c>
      <c r="Z85" s="699">
        <v>0</v>
      </c>
      <c r="AA85" s="699">
        <v>0</v>
      </c>
      <c r="AB85" s="699">
        <v>0</v>
      </c>
      <c r="AC85" s="699">
        <v>0</v>
      </c>
      <c r="AD85" s="699">
        <v>0</v>
      </c>
      <c r="AE85" s="699">
        <v>0</v>
      </c>
      <c r="AF85" s="699">
        <v>0</v>
      </c>
      <c r="AG85" s="699">
        <v>0</v>
      </c>
      <c r="AH85" s="699">
        <v>0</v>
      </c>
      <c r="AI85" s="699">
        <v>0</v>
      </c>
      <c r="AJ85" s="699">
        <v>0</v>
      </c>
      <c r="AK85" s="699">
        <v>0</v>
      </c>
      <c r="AL85" s="699">
        <v>0</v>
      </c>
      <c r="AM85" s="699">
        <v>0</v>
      </c>
      <c r="AN85" s="699">
        <v>0</v>
      </c>
      <c r="AO85" s="700">
        <v>0</v>
      </c>
      <c r="AP85" s="635"/>
      <c r="AQ85" s="698">
        <v>0</v>
      </c>
      <c r="AR85" s="699">
        <v>0</v>
      </c>
      <c r="AS85" s="699">
        <v>0</v>
      </c>
      <c r="AT85" s="699">
        <v>28609.682625422112</v>
      </c>
      <c r="AU85" s="699">
        <v>28609.682625422112</v>
      </c>
      <c r="AV85" s="699">
        <v>28609.682625422112</v>
      </c>
      <c r="AW85" s="699">
        <v>28609.682625422112</v>
      </c>
      <c r="AX85" s="699">
        <v>28609.682625422112</v>
      </c>
      <c r="AY85" s="699">
        <v>0</v>
      </c>
      <c r="AZ85" s="699">
        <v>0</v>
      </c>
      <c r="BA85" s="699">
        <v>0</v>
      </c>
      <c r="BB85" s="699">
        <v>0</v>
      </c>
      <c r="BC85" s="699">
        <v>0</v>
      </c>
      <c r="BD85" s="699">
        <v>0</v>
      </c>
      <c r="BE85" s="699">
        <v>0</v>
      </c>
      <c r="BF85" s="699">
        <v>0</v>
      </c>
      <c r="BG85" s="699">
        <v>0</v>
      </c>
      <c r="BH85" s="699">
        <v>0</v>
      </c>
      <c r="BI85" s="699">
        <v>0</v>
      </c>
      <c r="BJ85" s="699">
        <v>0</v>
      </c>
      <c r="BK85" s="699">
        <v>0</v>
      </c>
      <c r="BL85" s="699">
        <v>0</v>
      </c>
      <c r="BM85" s="699">
        <v>0</v>
      </c>
      <c r="BN85" s="699">
        <v>0</v>
      </c>
      <c r="BO85" s="699">
        <v>0</v>
      </c>
      <c r="BP85" s="699">
        <v>0</v>
      </c>
      <c r="BQ85" s="699">
        <v>0</v>
      </c>
      <c r="BR85" s="699">
        <v>0</v>
      </c>
      <c r="BS85" s="699">
        <v>0</v>
      </c>
      <c r="BT85" s="700">
        <v>0</v>
      </c>
    </row>
    <row r="86" spans="2:73">
      <c r="B86" s="694" t="s">
        <v>207</v>
      </c>
      <c r="C86" s="694" t="s">
        <v>685</v>
      </c>
      <c r="D86" s="694" t="s">
        <v>5</v>
      </c>
      <c r="E86" s="694" t="s">
        <v>686</v>
      </c>
      <c r="F86" s="694" t="s">
        <v>29</v>
      </c>
      <c r="G86" s="694" t="s">
        <v>687</v>
      </c>
      <c r="H86" s="694">
        <v>2014</v>
      </c>
      <c r="I86" s="646" t="s">
        <v>573</v>
      </c>
      <c r="J86" s="646" t="s">
        <v>588</v>
      </c>
      <c r="K86" s="635"/>
      <c r="L86" s="698">
        <v>0</v>
      </c>
      <c r="M86" s="699">
        <v>0</v>
      </c>
      <c r="N86" s="699">
        <v>0</v>
      </c>
      <c r="O86" s="699">
        <v>69.582491730000001</v>
      </c>
      <c r="P86" s="699">
        <v>60.737963440000001</v>
      </c>
      <c r="Q86" s="699">
        <v>56.128685019999999</v>
      </c>
      <c r="R86" s="699">
        <v>56.128685019999999</v>
      </c>
      <c r="S86" s="699">
        <v>56.128685019999999</v>
      </c>
      <c r="T86" s="699">
        <v>56.128685019999999</v>
      </c>
      <c r="U86" s="699">
        <v>56.128685019999999</v>
      </c>
      <c r="V86" s="699">
        <v>56.08670635</v>
      </c>
      <c r="W86" s="699">
        <v>56.08670635</v>
      </c>
      <c r="X86" s="699">
        <v>52.360839740000003</v>
      </c>
      <c r="Y86" s="699">
        <v>47.651579720000001</v>
      </c>
      <c r="Z86" s="699">
        <v>40.365281660000001</v>
      </c>
      <c r="AA86" s="699">
        <v>40.365281660000001</v>
      </c>
      <c r="AB86" s="699">
        <v>40.171044770000002</v>
      </c>
      <c r="AC86" s="699">
        <v>40.171044770000002</v>
      </c>
      <c r="AD86" s="699">
        <v>40.08899263</v>
      </c>
      <c r="AE86" s="699">
        <v>32.589717229999998</v>
      </c>
      <c r="AF86" s="699">
        <v>32.589717229999998</v>
      </c>
      <c r="AG86" s="699">
        <v>32.589717229999998</v>
      </c>
      <c r="AH86" s="699">
        <v>32.589717229999998</v>
      </c>
      <c r="AI86" s="699">
        <v>0</v>
      </c>
      <c r="AJ86" s="699">
        <v>0</v>
      </c>
      <c r="AK86" s="699">
        <v>0</v>
      </c>
      <c r="AL86" s="699">
        <v>0</v>
      </c>
      <c r="AM86" s="699">
        <v>0</v>
      </c>
      <c r="AN86" s="699">
        <v>0</v>
      </c>
      <c r="AO86" s="700">
        <v>0</v>
      </c>
      <c r="AP86" s="635"/>
      <c r="AQ86" s="698">
        <v>0</v>
      </c>
      <c r="AR86" s="699">
        <v>0</v>
      </c>
      <c r="AS86" s="699">
        <v>0</v>
      </c>
      <c r="AT86" s="699">
        <v>1063216.1089999999</v>
      </c>
      <c r="AU86" s="699">
        <v>922328.74360000005</v>
      </c>
      <c r="AV86" s="699">
        <v>848906.04960000003</v>
      </c>
      <c r="AW86" s="699">
        <v>848906.04960000003</v>
      </c>
      <c r="AX86" s="699">
        <v>848906.04960000003</v>
      </c>
      <c r="AY86" s="699">
        <v>848906.04960000003</v>
      </c>
      <c r="AZ86" s="699">
        <v>848906.04960000003</v>
      </c>
      <c r="BA86" s="699">
        <v>848538.31640000001</v>
      </c>
      <c r="BB86" s="699">
        <v>848538.31640000001</v>
      </c>
      <c r="BC86" s="699">
        <v>789187.77619999996</v>
      </c>
      <c r="BD86" s="699">
        <v>767240.80610000005</v>
      </c>
      <c r="BE86" s="699">
        <v>648785.24040000001</v>
      </c>
      <c r="BF86" s="699">
        <v>648785.24040000001</v>
      </c>
      <c r="BG86" s="699">
        <v>639494.69160000002</v>
      </c>
      <c r="BH86" s="699">
        <v>639494.69160000002</v>
      </c>
      <c r="BI86" s="699">
        <v>638590.59310000006</v>
      </c>
      <c r="BJ86" s="699">
        <v>519132.19779999997</v>
      </c>
      <c r="BK86" s="699">
        <v>519132.19779999997</v>
      </c>
      <c r="BL86" s="699">
        <v>519132.19779999997</v>
      </c>
      <c r="BM86" s="699">
        <v>519132.19779999997</v>
      </c>
      <c r="BN86" s="699">
        <v>0</v>
      </c>
      <c r="BO86" s="699">
        <v>0</v>
      </c>
      <c r="BP86" s="699">
        <v>0</v>
      </c>
      <c r="BQ86" s="699">
        <v>0</v>
      </c>
      <c r="BR86" s="699">
        <v>0</v>
      </c>
      <c r="BS86" s="699">
        <v>0</v>
      </c>
      <c r="BT86" s="700">
        <v>0</v>
      </c>
    </row>
    <row r="87" spans="2:73">
      <c r="B87" s="694" t="s">
        <v>207</v>
      </c>
      <c r="C87" s="694" t="s">
        <v>685</v>
      </c>
      <c r="D87" s="694" t="s">
        <v>4</v>
      </c>
      <c r="E87" s="694" t="s">
        <v>686</v>
      </c>
      <c r="F87" s="694" t="s">
        <v>29</v>
      </c>
      <c r="G87" s="694" t="s">
        <v>687</v>
      </c>
      <c r="H87" s="694">
        <v>2013</v>
      </c>
      <c r="I87" s="646" t="s">
        <v>573</v>
      </c>
      <c r="J87" s="646" t="s">
        <v>581</v>
      </c>
      <c r="K87" s="635"/>
      <c r="L87" s="698">
        <v>0</v>
      </c>
      <c r="M87" s="699">
        <v>0</v>
      </c>
      <c r="N87" s="699">
        <v>1.4E-2</v>
      </c>
      <c r="O87" s="699">
        <v>1.4E-2</v>
      </c>
      <c r="P87" s="699">
        <v>1.4E-2</v>
      </c>
      <c r="Q87" s="699">
        <v>1.2E-2</v>
      </c>
      <c r="R87" s="699">
        <v>1.2E-2</v>
      </c>
      <c r="S87" s="699">
        <v>1.2E-2</v>
      </c>
      <c r="T87" s="699">
        <v>1.2E-2</v>
      </c>
      <c r="U87" s="699">
        <v>1.2E-2</v>
      </c>
      <c r="V87" s="699">
        <v>0.01</v>
      </c>
      <c r="W87" s="699">
        <v>0.01</v>
      </c>
      <c r="X87" s="699">
        <v>8.0000000000000002E-3</v>
      </c>
      <c r="Y87" s="699">
        <v>8.0000000000000002E-3</v>
      </c>
      <c r="Z87" s="699">
        <v>8.0000000000000002E-3</v>
      </c>
      <c r="AA87" s="699">
        <v>8.0000000000000002E-3</v>
      </c>
      <c r="AB87" s="699">
        <v>8.0000000000000002E-3</v>
      </c>
      <c r="AC87" s="699">
        <v>8.0000000000000002E-3</v>
      </c>
      <c r="AD87" s="699">
        <v>4.0000000000000001E-3</v>
      </c>
      <c r="AE87" s="699">
        <v>4.0000000000000001E-3</v>
      </c>
      <c r="AF87" s="699">
        <v>4.0000000000000001E-3</v>
      </c>
      <c r="AG87" s="699">
        <v>4.0000000000000001E-3</v>
      </c>
      <c r="AH87" s="699">
        <v>0</v>
      </c>
      <c r="AI87" s="699">
        <v>0</v>
      </c>
      <c r="AJ87" s="699">
        <v>0</v>
      </c>
      <c r="AK87" s="699">
        <v>0</v>
      </c>
      <c r="AL87" s="699">
        <v>0</v>
      </c>
      <c r="AM87" s="699">
        <v>0</v>
      </c>
      <c r="AN87" s="699">
        <v>0</v>
      </c>
      <c r="AO87" s="700">
        <v>0</v>
      </c>
      <c r="AP87" s="635"/>
      <c r="AQ87" s="698">
        <v>0</v>
      </c>
      <c r="AR87" s="699">
        <v>0</v>
      </c>
      <c r="AS87" s="699">
        <v>204</v>
      </c>
      <c r="AT87" s="699">
        <v>204</v>
      </c>
      <c r="AU87" s="699">
        <v>194</v>
      </c>
      <c r="AV87" s="699">
        <v>168</v>
      </c>
      <c r="AW87" s="699">
        <v>168</v>
      </c>
      <c r="AX87" s="699">
        <v>168</v>
      </c>
      <c r="AY87" s="699">
        <v>168</v>
      </c>
      <c r="AZ87" s="699">
        <v>168</v>
      </c>
      <c r="BA87" s="699">
        <v>141</v>
      </c>
      <c r="BB87" s="699">
        <v>141</v>
      </c>
      <c r="BC87" s="699">
        <v>134</v>
      </c>
      <c r="BD87" s="699">
        <v>134</v>
      </c>
      <c r="BE87" s="699">
        <v>134</v>
      </c>
      <c r="BF87" s="699">
        <v>134</v>
      </c>
      <c r="BG87" s="699">
        <v>134</v>
      </c>
      <c r="BH87" s="699">
        <v>134</v>
      </c>
      <c r="BI87" s="699">
        <v>70</v>
      </c>
      <c r="BJ87" s="699">
        <v>70</v>
      </c>
      <c r="BK87" s="699">
        <v>70</v>
      </c>
      <c r="BL87" s="699">
        <v>70</v>
      </c>
      <c r="BM87" s="699">
        <v>0</v>
      </c>
      <c r="BN87" s="699">
        <v>0</v>
      </c>
      <c r="BO87" s="699">
        <v>0</v>
      </c>
      <c r="BP87" s="699">
        <v>0</v>
      </c>
      <c r="BQ87" s="699">
        <v>0</v>
      </c>
      <c r="BR87" s="699">
        <v>0</v>
      </c>
      <c r="BS87" s="699">
        <v>0</v>
      </c>
      <c r="BT87" s="700">
        <v>0</v>
      </c>
    </row>
    <row r="88" spans="2:73">
      <c r="B88" s="694" t="s">
        <v>207</v>
      </c>
      <c r="C88" s="694" t="s">
        <v>685</v>
      </c>
      <c r="D88" s="694" t="s">
        <v>4</v>
      </c>
      <c r="E88" s="694" t="s">
        <v>686</v>
      </c>
      <c r="F88" s="694" t="s">
        <v>29</v>
      </c>
      <c r="G88" s="694" t="s">
        <v>687</v>
      </c>
      <c r="H88" s="694">
        <v>2014</v>
      </c>
      <c r="I88" s="646" t="s">
        <v>573</v>
      </c>
      <c r="J88" s="646" t="s">
        <v>588</v>
      </c>
      <c r="K88" s="635"/>
      <c r="L88" s="698">
        <v>0</v>
      </c>
      <c r="M88" s="699">
        <v>0</v>
      </c>
      <c r="N88" s="699">
        <v>0</v>
      </c>
      <c r="O88" s="699">
        <v>18.318523890000002</v>
      </c>
      <c r="P88" s="699">
        <v>17.261716329999999</v>
      </c>
      <c r="Q88" s="699">
        <v>16.749156159999998</v>
      </c>
      <c r="R88" s="699">
        <v>16.749156159999998</v>
      </c>
      <c r="S88" s="699">
        <v>16.749156159999998</v>
      </c>
      <c r="T88" s="699">
        <v>16.749156159999998</v>
      </c>
      <c r="U88" s="699">
        <v>16.749156159999998</v>
      </c>
      <c r="V88" s="699">
        <v>16.69736674</v>
      </c>
      <c r="W88" s="699">
        <v>16.69736674</v>
      </c>
      <c r="X88" s="699">
        <v>14.687124949999999</v>
      </c>
      <c r="Y88" s="699">
        <v>10.67478427</v>
      </c>
      <c r="Z88" s="699">
        <v>10.67452143</v>
      </c>
      <c r="AA88" s="699">
        <v>10.67452143</v>
      </c>
      <c r="AB88" s="699">
        <v>10.65344108</v>
      </c>
      <c r="AC88" s="699">
        <v>10.65344108</v>
      </c>
      <c r="AD88" s="699">
        <v>10.63507534</v>
      </c>
      <c r="AE88" s="699">
        <v>4.7878682780000004</v>
      </c>
      <c r="AF88" s="699">
        <v>4.7878682780000004</v>
      </c>
      <c r="AG88" s="699">
        <v>4.7878682780000004</v>
      </c>
      <c r="AH88" s="699">
        <v>4.7878682780000004</v>
      </c>
      <c r="AI88" s="699">
        <v>0</v>
      </c>
      <c r="AJ88" s="699">
        <v>0</v>
      </c>
      <c r="AK88" s="699">
        <v>0</v>
      </c>
      <c r="AL88" s="699">
        <v>0</v>
      </c>
      <c r="AM88" s="699">
        <v>0</v>
      </c>
      <c r="AN88" s="699">
        <v>0</v>
      </c>
      <c r="AO88" s="700">
        <v>0</v>
      </c>
      <c r="AP88" s="635"/>
      <c r="AQ88" s="701">
        <v>0</v>
      </c>
      <c r="AR88" s="702">
        <v>0</v>
      </c>
      <c r="AS88" s="702">
        <v>0</v>
      </c>
      <c r="AT88" s="702">
        <v>245066.6292</v>
      </c>
      <c r="AU88" s="702">
        <v>228236.80619999999</v>
      </c>
      <c r="AV88" s="702">
        <v>220076.47659999999</v>
      </c>
      <c r="AW88" s="702">
        <v>220076.47659999999</v>
      </c>
      <c r="AX88" s="702">
        <v>220076.47659999999</v>
      </c>
      <c r="AY88" s="702">
        <v>220076.47659999999</v>
      </c>
      <c r="AZ88" s="702">
        <v>220076.47659999999</v>
      </c>
      <c r="BA88" s="702">
        <v>219599.4896</v>
      </c>
      <c r="BB88" s="702">
        <v>219599.4896</v>
      </c>
      <c r="BC88" s="702">
        <v>187577.6948</v>
      </c>
      <c r="BD88" s="702">
        <v>172781.40760000001</v>
      </c>
      <c r="BE88" s="702">
        <v>170615.3432</v>
      </c>
      <c r="BF88" s="702">
        <v>170615.3432</v>
      </c>
      <c r="BG88" s="702">
        <v>169594.4914</v>
      </c>
      <c r="BH88" s="702">
        <v>169594.4914</v>
      </c>
      <c r="BI88" s="702">
        <v>169392.12700000001</v>
      </c>
      <c r="BJ88" s="702">
        <v>76267.509919999997</v>
      </c>
      <c r="BK88" s="702">
        <v>76267.509919999997</v>
      </c>
      <c r="BL88" s="702">
        <v>76267.509919999997</v>
      </c>
      <c r="BM88" s="702">
        <v>76267.509919999997</v>
      </c>
      <c r="BN88" s="702">
        <v>0</v>
      </c>
      <c r="BO88" s="702">
        <v>0</v>
      </c>
      <c r="BP88" s="702">
        <v>0</v>
      </c>
      <c r="BQ88" s="702">
        <v>0</v>
      </c>
      <c r="BR88" s="702">
        <v>0</v>
      </c>
      <c r="BS88" s="702">
        <v>0</v>
      </c>
      <c r="BT88" s="703">
        <v>0</v>
      </c>
    </row>
    <row r="89" spans="2:73">
      <c r="B89" s="694" t="s">
        <v>207</v>
      </c>
      <c r="C89" s="694" t="s">
        <v>704</v>
      </c>
      <c r="D89" s="694" t="s">
        <v>14</v>
      </c>
      <c r="E89" s="694" t="s">
        <v>686</v>
      </c>
      <c r="F89" s="694" t="s">
        <v>29</v>
      </c>
      <c r="G89" s="694" t="s">
        <v>687</v>
      </c>
      <c r="H89" s="694">
        <v>2014</v>
      </c>
      <c r="I89" s="646" t="s">
        <v>573</v>
      </c>
      <c r="J89" s="646" t="s">
        <v>588</v>
      </c>
      <c r="K89" s="635"/>
      <c r="L89" s="698">
        <v>0</v>
      </c>
      <c r="M89" s="699">
        <v>0</v>
      </c>
      <c r="N89" s="699">
        <v>0</v>
      </c>
      <c r="O89" s="699">
        <v>8.7284133090000005</v>
      </c>
      <c r="P89" s="699">
        <v>8.7178315620000006</v>
      </c>
      <c r="Q89" s="699">
        <v>8.2548981819999998</v>
      </c>
      <c r="R89" s="699">
        <v>8.0271527440000003</v>
      </c>
      <c r="S89" s="699">
        <v>7.8031554229999998</v>
      </c>
      <c r="T89" s="699">
        <v>7.8031554229999998</v>
      </c>
      <c r="U89" s="699">
        <v>7.7720854089999998</v>
      </c>
      <c r="V89" s="699">
        <v>7.7720854089999998</v>
      </c>
      <c r="W89" s="699">
        <v>6.0223349580000001</v>
      </c>
      <c r="X89" s="699">
        <v>5.8135349549999997</v>
      </c>
      <c r="Y89" s="699">
        <v>5.8101766780000004</v>
      </c>
      <c r="Z89" s="699">
        <v>5.8101766780000004</v>
      </c>
      <c r="AA89" s="699">
        <v>5.6670997810000001</v>
      </c>
      <c r="AB89" s="699">
        <v>5.6670997810000001</v>
      </c>
      <c r="AC89" s="699">
        <v>0.17180000200000001</v>
      </c>
      <c r="AD89" s="699">
        <v>0.17180000200000001</v>
      </c>
      <c r="AE89" s="699">
        <v>0.17180000200000001</v>
      </c>
      <c r="AF89" s="699">
        <v>0.17180000200000001</v>
      </c>
      <c r="AG89" s="699">
        <v>0.17180000200000001</v>
      </c>
      <c r="AH89" s="699">
        <v>0.17180000200000001</v>
      </c>
      <c r="AI89" s="699">
        <v>0.17180000200000001</v>
      </c>
      <c r="AJ89" s="699">
        <v>0</v>
      </c>
      <c r="AK89" s="699">
        <v>0</v>
      </c>
      <c r="AL89" s="699">
        <v>0</v>
      </c>
      <c r="AM89" s="699">
        <v>0</v>
      </c>
      <c r="AN89" s="699">
        <v>0</v>
      </c>
      <c r="AO89" s="700">
        <v>0</v>
      </c>
      <c r="AP89" s="635"/>
      <c r="AQ89" s="695">
        <v>0</v>
      </c>
      <c r="AR89" s="696">
        <v>0</v>
      </c>
      <c r="AS89" s="696">
        <v>0</v>
      </c>
      <c r="AT89" s="696">
        <v>99080.249219999998</v>
      </c>
      <c r="AU89" s="696">
        <v>98875.874490000002</v>
      </c>
      <c r="AV89" s="696">
        <v>89998.820860000007</v>
      </c>
      <c r="AW89" s="696">
        <v>85633.254620000007</v>
      </c>
      <c r="AX89" s="696">
        <v>81339.971909999993</v>
      </c>
      <c r="AY89" s="696">
        <v>81339.971909999993</v>
      </c>
      <c r="AZ89" s="696">
        <v>80743.934909999996</v>
      </c>
      <c r="BA89" s="696">
        <v>80743.934909999996</v>
      </c>
      <c r="BB89" s="696">
        <v>47191.777410000002</v>
      </c>
      <c r="BC89" s="696">
        <v>46996.777410000002</v>
      </c>
      <c r="BD89" s="696">
        <v>46922.615449999998</v>
      </c>
      <c r="BE89" s="696">
        <v>46922.615449999998</v>
      </c>
      <c r="BF89" s="696">
        <v>46447</v>
      </c>
      <c r="BG89" s="696">
        <v>46447</v>
      </c>
      <c r="BH89" s="696">
        <v>1266</v>
      </c>
      <c r="BI89" s="696">
        <v>1266</v>
      </c>
      <c r="BJ89" s="696">
        <v>1266</v>
      </c>
      <c r="BK89" s="696">
        <v>1266</v>
      </c>
      <c r="BL89" s="696">
        <v>1266</v>
      </c>
      <c r="BM89" s="696">
        <v>1266</v>
      </c>
      <c r="BN89" s="696">
        <v>1266</v>
      </c>
      <c r="BO89" s="696">
        <v>0</v>
      </c>
      <c r="BP89" s="696">
        <v>0</v>
      </c>
      <c r="BQ89" s="696">
        <v>0</v>
      </c>
      <c r="BR89" s="696">
        <v>0</v>
      </c>
      <c r="BS89" s="696">
        <v>0</v>
      </c>
      <c r="BT89" s="697">
        <v>0</v>
      </c>
    </row>
    <row r="90" spans="2:73">
      <c r="B90" s="694" t="s">
        <v>207</v>
      </c>
      <c r="C90" s="694" t="s">
        <v>685</v>
      </c>
      <c r="D90" s="694" t="s">
        <v>3</v>
      </c>
      <c r="E90" s="694" t="s">
        <v>686</v>
      </c>
      <c r="F90" s="694" t="s">
        <v>29</v>
      </c>
      <c r="G90" s="694" t="s">
        <v>691</v>
      </c>
      <c r="H90" s="694">
        <v>2013</v>
      </c>
      <c r="I90" s="646" t="s">
        <v>573</v>
      </c>
      <c r="J90" s="646" t="s">
        <v>581</v>
      </c>
      <c r="K90" s="635"/>
      <c r="L90" s="698">
        <v>0</v>
      </c>
      <c r="M90" s="699">
        <v>0</v>
      </c>
      <c r="N90" s="699">
        <v>11.778405764999999</v>
      </c>
      <c r="O90" s="699">
        <v>11.778405764999999</v>
      </c>
      <c r="P90" s="699">
        <v>11.778405764999999</v>
      </c>
      <c r="Q90" s="699">
        <v>11.778405764999999</v>
      </c>
      <c r="R90" s="699">
        <v>11.778405764999999</v>
      </c>
      <c r="S90" s="699">
        <v>11.778405764999999</v>
      </c>
      <c r="T90" s="699">
        <v>11.778405764999999</v>
      </c>
      <c r="U90" s="699">
        <v>11.778405764999999</v>
      </c>
      <c r="V90" s="699">
        <v>11.778405764999999</v>
      </c>
      <c r="W90" s="699">
        <v>11.778405764999999</v>
      </c>
      <c r="X90" s="699">
        <v>11.778405764999999</v>
      </c>
      <c r="Y90" s="699">
        <v>11.778405764999999</v>
      </c>
      <c r="Z90" s="699">
        <v>11.778405764999999</v>
      </c>
      <c r="AA90" s="699">
        <v>11.778405764999999</v>
      </c>
      <c r="AB90" s="699">
        <v>11.778405764999999</v>
      </c>
      <c r="AC90" s="699">
        <v>11.778405764999999</v>
      </c>
      <c r="AD90" s="699">
        <v>11.778405764999999</v>
      </c>
      <c r="AE90" s="699">
        <v>11.778405764999999</v>
      </c>
      <c r="AF90" s="699">
        <v>9.4657312139999998</v>
      </c>
      <c r="AG90" s="699">
        <v>0</v>
      </c>
      <c r="AH90" s="699">
        <v>0</v>
      </c>
      <c r="AI90" s="699">
        <v>0</v>
      </c>
      <c r="AJ90" s="699">
        <v>0</v>
      </c>
      <c r="AK90" s="699">
        <v>0</v>
      </c>
      <c r="AL90" s="699">
        <v>0</v>
      </c>
      <c r="AM90" s="699">
        <v>0</v>
      </c>
      <c r="AN90" s="699">
        <v>0</v>
      </c>
      <c r="AO90" s="700">
        <v>0</v>
      </c>
      <c r="AP90" s="635"/>
      <c r="AQ90" s="698">
        <v>0</v>
      </c>
      <c r="AR90" s="699">
        <v>0</v>
      </c>
      <c r="AS90" s="699">
        <v>20448.003029700001</v>
      </c>
      <c r="AT90" s="699">
        <v>20448.003029700001</v>
      </c>
      <c r="AU90" s="699">
        <v>20448.003029700001</v>
      </c>
      <c r="AV90" s="699">
        <v>20448.003029700001</v>
      </c>
      <c r="AW90" s="699">
        <v>20448.003029700001</v>
      </c>
      <c r="AX90" s="699">
        <v>20448.003029700001</v>
      </c>
      <c r="AY90" s="699">
        <v>20448.003029700001</v>
      </c>
      <c r="AZ90" s="699">
        <v>20448.003029700001</v>
      </c>
      <c r="BA90" s="699">
        <v>20448.003029700001</v>
      </c>
      <c r="BB90" s="699">
        <v>20448.003029700001</v>
      </c>
      <c r="BC90" s="699">
        <v>20448.003029700001</v>
      </c>
      <c r="BD90" s="699">
        <v>20448.003029700001</v>
      </c>
      <c r="BE90" s="699">
        <v>20448.003029700001</v>
      </c>
      <c r="BF90" s="699">
        <v>20448.003029700001</v>
      </c>
      <c r="BG90" s="699">
        <v>20448.003029700001</v>
      </c>
      <c r="BH90" s="699">
        <v>20448.003029700001</v>
      </c>
      <c r="BI90" s="699">
        <v>20448.003029700001</v>
      </c>
      <c r="BJ90" s="699">
        <v>20448.003029700001</v>
      </c>
      <c r="BK90" s="699">
        <v>18379.883590000001</v>
      </c>
      <c r="BL90" s="699">
        <v>0</v>
      </c>
      <c r="BM90" s="699">
        <v>0</v>
      </c>
      <c r="BN90" s="699">
        <v>0</v>
      </c>
      <c r="BO90" s="699">
        <v>0</v>
      </c>
      <c r="BP90" s="699">
        <v>0</v>
      </c>
      <c r="BQ90" s="699">
        <v>0</v>
      </c>
      <c r="BR90" s="699">
        <v>0</v>
      </c>
      <c r="BS90" s="699">
        <v>0</v>
      </c>
      <c r="BT90" s="700">
        <v>0</v>
      </c>
    </row>
    <row r="91" spans="2:73">
      <c r="B91" s="694" t="s">
        <v>207</v>
      </c>
      <c r="C91" s="694" t="s">
        <v>685</v>
      </c>
      <c r="D91" s="694" t="s">
        <v>3</v>
      </c>
      <c r="E91" s="694" t="s">
        <v>686</v>
      </c>
      <c r="F91" s="694" t="s">
        <v>29</v>
      </c>
      <c r="G91" s="694" t="s">
        <v>687</v>
      </c>
      <c r="H91" s="694">
        <v>2014</v>
      </c>
      <c r="I91" s="646" t="s">
        <v>573</v>
      </c>
      <c r="J91" s="646" t="s">
        <v>588</v>
      </c>
      <c r="K91" s="635"/>
      <c r="L91" s="698">
        <v>0</v>
      </c>
      <c r="M91" s="699">
        <v>0</v>
      </c>
      <c r="N91" s="699">
        <v>0</v>
      </c>
      <c r="O91" s="699">
        <v>280.76822601100002</v>
      </c>
      <c r="P91" s="699">
        <v>280.76822601100002</v>
      </c>
      <c r="Q91" s="699">
        <v>280.76822601100002</v>
      </c>
      <c r="R91" s="699">
        <v>280.76822601100002</v>
      </c>
      <c r="S91" s="699">
        <v>280.76822601100002</v>
      </c>
      <c r="T91" s="699">
        <v>280.76822601100002</v>
      </c>
      <c r="U91" s="699">
        <v>280.76822601100002</v>
      </c>
      <c r="V91" s="699">
        <v>280.76822601100002</v>
      </c>
      <c r="W91" s="699">
        <v>280.76822601100002</v>
      </c>
      <c r="X91" s="699">
        <v>280.76822601100002</v>
      </c>
      <c r="Y91" s="699">
        <v>280.76822601100002</v>
      </c>
      <c r="Z91" s="699">
        <v>280.76822601100002</v>
      </c>
      <c r="AA91" s="699">
        <v>280.76822601100002</v>
      </c>
      <c r="AB91" s="699">
        <v>280.76822601100002</v>
      </c>
      <c r="AC91" s="699">
        <v>280.76822601100002</v>
      </c>
      <c r="AD91" s="699">
        <v>280.76822601100002</v>
      </c>
      <c r="AE91" s="699">
        <v>280.76822601100002</v>
      </c>
      <c r="AF91" s="699">
        <v>280.76822601100002</v>
      </c>
      <c r="AG91" s="699">
        <v>252.52014779999999</v>
      </c>
      <c r="AH91" s="699">
        <v>0</v>
      </c>
      <c r="AI91" s="699">
        <v>0</v>
      </c>
      <c r="AJ91" s="699">
        <v>0</v>
      </c>
      <c r="AK91" s="699">
        <v>0</v>
      </c>
      <c r="AL91" s="699">
        <v>0</v>
      </c>
      <c r="AM91" s="699">
        <v>0</v>
      </c>
      <c r="AN91" s="699">
        <v>0</v>
      </c>
      <c r="AO91" s="700">
        <v>0</v>
      </c>
      <c r="AP91" s="635"/>
      <c r="AQ91" s="698">
        <v>0</v>
      </c>
      <c r="AR91" s="699">
        <v>0</v>
      </c>
      <c r="AS91" s="699">
        <v>0</v>
      </c>
      <c r="AT91" s="699">
        <v>518947.36750400002</v>
      </c>
      <c r="AU91" s="699">
        <v>518947.36750400002</v>
      </c>
      <c r="AV91" s="699">
        <v>518947.36750400002</v>
      </c>
      <c r="AW91" s="699">
        <v>518947.36750400002</v>
      </c>
      <c r="AX91" s="699">
        <v>518947.36750400002</v>
      </c>
      <c r="AY91" s="699">
        <v>518947.36750400002</v>
      </c>
      <c r="AZ91" s="699">
        <v>518947.36750400002</v>
      </c>
      <c r="BA91" s="699">
        <v>518947.36750400002</v>
      </c>
      <c r="BB91" s="699">
        <v>518947.36750400002</v>
      </c>
      <c r="BC91" s="699">
        <v>518947.36750400002</v>
      </c>
      <c r="BD91" s="699">
        <v>518947.36750400002</v>
      </c>
      <c r="BE91" s="699">
        <v>518947.36750400002</v>
      </c>
      <c r="BF91" s="699">
        <v>518947.36750400002</v>
      </c>
      <c r="BG91" s="699">
        <v>518947.36750400002</v>
      </c>
      <c r="BH91" s="699">
        <v>518947.36750400002</v>
      </c>
      <c r="BI91" s="699">
        <v>518947.36750400002</v>
      </c>
      <c r="BJ91" s="699">
        <v>518947.36750400002</v>
      </c>
      <c r="BK91" s="699">
        <v>518947.36750400002</v>
      </c>
      <c r="BL91" s="699">
        <v>493686.39870000002</v>
      </c>
      <c r="BM91" s="699">
        <v>0</v>
      </c>
      <c r="BN91" s="699">
        <v>0</v>
      </c>
      <c r="BO91" s="699">
        <v>0</v>
      </c>
      <c r="BP91" s="699">
        <v>0</v>
      </c>
      <c r="BQ91" s="699">
        <v>0</v>
      </c>
      <c r="BR91" s="699">
        <v>0</v>
      </c>
      <c r="BS91" s="699">
        <v>0</v>
      </c>
      <c r="BT91" s="700">
        <v>0</v>
      </c>
    </row>
    <row r="92" spans="2:73">
      <c r="B92" s="694" t="s">
        <v>207</v>
      </c>
      <c r="C92" s="694" t="s">
        <v>685</v>
      </c>
      <c r="D92" s="694" t="s">
        <v>7</v>
      </c>
      <c r="E92" s="694" t="s">
        <v>686</v>
      </c>
      <c r="F92" s="694" t="s">
        <v>29</v>
      </c>
      <c r="G92" s="694" t="s">
        <v>687</v>
      </c>
      <c r="H92" s="694">
        <v>2013</v>
      </c>
      <c r="I92" s="646" t="s">
        <v>573</v>
      </c>
      <c r="J92" s="646" t="s">
        <v>581</v>
      </c>
      <c r="K92" s="635"/>
      <c r="L92" s="698">
        <v>0</v>
      </c>
      <c r="M92" s="699">
        <v>0</v>
      </c>
      <c r="N92" s="699">
        <v>1.3513500000000001</v>
      </c>
      <c r="O92" s="699">
        <v>1.3513500000000001</v>
      </c>
      <c r="P92" s="699">
        <v>1.3513500000000001</v>
      </c>
      <c r="Q92" s="699">
        <v>1.3513500000000001</v>
      </c>
      <c r="R92" s="699">
        <v>1.3513500000000001</v>
      </c>
      <c r="S92" s="699">
        <v>1.3513500000000001</v>
      </c>
      <c r="T92" s="699">
        <v>1.3513500000000001</v>
      </c>
      <c r="U92" s="699">
        <v>1.3513500000000001</v>
      </c>
      <c r="V92" s="699">
        <v>1.3513500000000001</v>
      </c>
      <c r="W92" s="699">
        <v>1.3513500000000001</v>
      </c>
      <c r="X92" s="699">
        <v>1.3513500000000001</v>
      </c>
      <c r="Y92" s="699">
        <v>1.3513500000000001</v>
      </c>
      <c r="Z92" s="699">
        <v>0.67567500000000003</v>
      </c>
      <c r="AA92" s="699">
        <v>0</v>
      </c>
      <c r="AB92" s="699">
        <v>0</v>
      </c>
      <c r="AC92" s="699">
        <v>0</v>
      </c>
      <c r="AD92" s="699">
        <v>0</v>
      </c>
      <c r="AE92" s="699">
        <v>0</v>
      </c>
      <c r="AF92" s="699">
        <v>0</v>
      </c>
      <c r="AG92" s="699">
        <v>0</v>
      </c>
      <c r="AH92" s="699">
        <v>0</v>
      </c>
      <c r="AI92" s="699">
        <v>0</v>
      </c>
      <c r="AJ92" s="699">
        <v>0</v>
      </c>
      <c r="AK92" s="699">
        <v>0</v>
      </c>
      <c r="AL92" s="699">
        <v>0</v>
      </c>
      <c r="AM92" s="699">
        <v>0</v>
      </c>
      <c r="AN92" s="699">
        <v>0</v>
      </c>
      <c r="AO92" s="700">
        <v>0</v>
      </c>
      <c r="AP92" s="635"/>
      <c r="AQ92" s="698">
        <v>0</v>
      </c>
      <c r="AR92" s="699">
        <v>0</v>
      </c>
      <c r="AS92" s="699">
        <v>20661.379199999999</v>
      </c>
      <c r="AT92" s="699">
        <v>20661.379199999999</v>
      </c>
      <c r="AU92" s="699">
        <v>20661.379199999999</v>
      </c>
      <c r="AV92" s="699">
        <v>20661.379199999999</v>
      </c>
      <c r="AW92" s="699">
        <v>20661.379199999999</v>
      </c>
      <c r="AX92" s="699">
        <v>20661.379199999999</v>
      </c>
      <c r="AY92" s="699">
        <v>20661.379199999999</v>
      </c>
      <c r="AZ92" s="699">
        <v>20661.379199999999</v>
      </c>
      <c r="BA92" s="699">
        <v>20661.379199999999</v>
      </c>
      <c r="BB92" s="699">
        <v>20661.379199999999</v>
      </c>
      <c r="BC92" s="699">
        <v>20661.379199999999</v>
      </c>
      <c r="BD92" s="699">
        <v>20661.379199999999</v>
      </c>
      <c r="BE92" s="699">
        <v>10330.6896</v>
      </c>
      <c r="BF92" s="699">
        <v>0</v>
      </c>
      <c r="BG92" s="699">
        <v>0</v>
      </c>
      <c r="BH92" s="699">
        <v>0</v>
      </c>
      <c r="BI92" s="699">
        <v>0</v>
      </c>
      <c r="BJ92" s="699">
        <v>0</v>
      </c>
      <c r="BK92" s="699">
        <v>0</v>
      </c>
      <c r="BL92" s="699">
        <v>0</v>
      </c>
      <c r="BM92" s="699">
        <v>0</v>
      </c>
      <c r="BN92" s="699">
        <v>0</v>
      </c>
      <c r="BO92" s="699">
        <v>0</v>
      </c>
      <c r="BP92" s="699">
        <v>0</v>
      </c>
      <c r="BQ92" s="699">
        <v>0</v>
      </c>
      <c r="BR92" s="699">
        <v>0</v>
      </c>
      <c r="BS92" s="699">
        <v>0</v>
      </c>
      <c r="BT92" s="700">
        <v>0</v>
      </c>
    </row>
    <row r="93" spans="2:73">
      <c r="B93" s="694" t="s">
        <v>207</v>
      </c>
      <c r="C93" s="694" t="s">
        <v>692</v>
      </c>
      <c r="D93" s="694" t="s">
        <v>12</v>
      </c>
      <c r="E93" s="694" t="s">
        <v>686</v>
      </c>
      <c r="F93" s="694" t="s">
        <v>692</v>
      </c>
      <c r="G93" s="694" t="s">
        <v>687</v>
      </c>
      <c r="H93" s="694">
        <v>2013</v>
      </c>
      <c r="I93" s="646" t="s">
        <v>573</v>
      </c>
      <c r="J93" s="646" t="s">
        <v>581</v>
      </c>
      <c r="K93" s="635"/>
      <c r="L93" s="698">
        <v>0</v>
      </c>
      <c r="M93" s="699">
        <v>0</v>
      </c>
      <c r="N93" s="699">
        <v>54.26</v>
      </c>
      <c r="O93" s="699">
        <v>54.26</v>
      </c>
      <c r="P93" s="699">
        <v>54.26</v>
      </c>
      <c r="Q93" s="699">
        <v>54.26</v>
      </c>
      <c r="R93" s="699">
        <v>54.26</v>
      </c>
      <c r="S93" s="699">
        <v>0</v>
      </c>
      <c r="T93" s="699">
        <v>0</v>
      </c>
      <c r="U93" s="699">
        <v>0</v>
      </c>
      <c r="V93" s="699">
        <v>0</v>
      </c>
      <c r="W93" s="699">
        <v>0</v>
      </c>
      <c r="X93" s="699">
        <v>0</v>
      </c>
      <c r="Y93" s="699">
        <v>0</v>
      </c>
      <c r="Z93" s="699">
        <v>0</v>
      </c>
      <c r="AA93" s="699">
        <v>0</v>
      </c>
      <c r="AB93" s="699">
        <v>0</v>
      </c>
      <c r="AC93" s="699">
        <v>0</v>
      </c>
      <c r="AD93" s="699">
        <v>0</v>
      </c>
      <c r="AE93" s="699">
        <v>0</v>
      </c>
      <c r="AF93" s="699">
        <v>0</v>
      </c>
      <c r="AG93" s="699">
        <v>0</v>
      </c>
      <c r="AH93" s="699">
        <v>0</v>
      </c>
      <c r="AI93" s="699">
        <v>0</v>
      </c>
      <c r="AJ93" s="699">
        <v>0</v>
      </c>
      <c r="AK93" s="699">
        <v>0</v>
      </c>
      <c r="AL93" s="699">
        <v>0</v>
      </c>
      <c r="AM93" s="699">
        <v>0</v>
      </c>
      <c r="AN93" s="699">
        <v>0</v>
      </c>
      <c r="AO93" s="700">
        <v>0</v>
      </c>
      <c r="AP93" s="635"/>
      <c r="AQ93" s="698">
        <v>0</v>
      </c>
      <c r="AR93" s="699">
        <v>0</v>
      </c>
      <c r="AS93" s="699">
        <v>148348</v>
      </c>
      <c r="AT93" s="699">
        <v>148348</v>
      </c>
      <c r="AU93" s="699">
        <v>148348</v>
      </c>
      <c r="AV93" s="699">
        <v>148348</v>
      </c>
      <c r="AW93" s="699">
        <v>148348</v>
      </c>
      <c r="AX93" s="699">
        <v>0</v>
      </c>
      <c r="AY93" s="699">
        <v>0</v>
      </c>
      <c r="AZ93" s="699">
        <v>0</v>
      </c>
      <c r="BA93" s="699">
        <v>0</v>
      </c>
      <c r="BB93" s="699">
        <v>0</v>
      </c>
      <c r="BC93" s="699">
        <v>0</v>
      </c>
      <c r="BD93" s="699">
        <v>0</v>
      </c>
      <c r="BE93" s="699">
        <v>0</v>
      </c>
      <c r="BF93" s="699">
        <v>0</v>
      </c>
      <c r="BG93" s="699">
        <v>0</v>
      </c>
      <c r="BH93" s="699">
        <v>0</v>
      </c>
      <c r="BI93" s="699">
        <v>0</v>
      </c>
      <c r="BJ93" s="699">
        <v>0</v>
      </c>
      <c r="BK93" s="699">
        <v>0</v>
      </c>
      <c r="BL93" s="699">
        <v>0</v>
      </c>
      <c r="BM93" s="699">
        <v>0</v>
      </c>
      <c r="BN93" s="699">
        <v>0</v>
      </c>
      <c r="BO93" s="699">
        <v>0</v>
      </c>
      <c r="BP93" s="699">
        <v>0</v>
      </c>
      <c r="BQ93" s="699">
        <v>0</v>
      </c>
      <c r="BR93" s="699">
        <v>0</v>
      </c>
      <c r="BS93" s="699">
        <v>0</v>
      </c>
      <c r="BT93" s="700">
        <v>0</v>
      </c>
    </row>
    <row r="94" spans="2:73">
      <c r="B94" s="694" t="s">
        <v>207</v>
      </c>
      <c r="C94" s="694" t="s">
        <v>485</v>
      </c>
      <c r="D94" s="694" t="s">
        <v>705</v>
      </c>
      <c r="E94" s="694" t="s">
        <v>686</v>
      </c>
      <c r="F94" s="694" t="s">
        <v>485</v>
      </c>
      <c r="G94" s="694" t="s">
        <v>691</v>
      </c>
      <c r="H94" s="694">
        <v>2014</v>
      </c>
      <c r="I94" s="646" t="s">
        <v>573</v>
      </c>
      <c r="J94" s="646" t="s">
        <v>588</v>
      </c>
      <c r="K94" s="635"/>
      <c r="L94" s="698">
        <v>0</v>
      </c>
      <c r="M94" s="699">
        <v>0</v>
      </c>
      <c r="N94" s="699">
        <v>0</v>
      </c>
      <c r="O94" s="699">
        <v>449.0617135</v>
      </c>
      <c r="P94" s="699">
        <v>0</v>
      </c>
      <c r="Q94" s="699">
        <v>0</v>
      </c>
      <c r="R94" s="699">
        <v>0</v>
      </c>
      <c r="S94" s="699">
        <v>0</v>
      </c>
      <c r="T94" s="699">
        <v>0</v>
      </c>
      <c r="U94" s="699">
        <v>0</v>
      </c>
      <c r="V94" s="699">
        <v>0</v>
      </c>
      <c r="W94" s="699">
        <v>0</v>
      </c>
      <c r="X94" s="699">
        <v>0</v>
      </c>
      <c r="Y94" s="699">
        <v>0</v>
      </c>
      <c r="Z94" s="699">
        <v>0</v>
      </c>
      <c r="AA94" s="699">
        <v>0</v>
      </c>
      <c r="AB94" s="699">
        <v>0</v>
      </c>
      <c r="AC94" s="699">
        <v>0</v>
      </c>
      <c r="AD94" s="699">
        <v>0</v>
      </c>
      <c r="AE94" s="699">
        <v>0</v>
      </c>
      <c r="AF94" s="699">
        <v>0</v>
      </c>
      <c r="AG94" s="699">
        <v>0</v>
      </c>
      <c r="AH94" s="699">
        <v>0</v>
      </c>
      <c r="AI94" s="699">
        <v>0</v>
      </c>
      <c r="AJ94" s="699">
        <v>0</v>
      </c>
      <c r="AK94" s="699">
        <v>0</v>
      </c>
      <c r="AL94" s="699">
        <v>0</v>
      </c>
      <c r="AM94" s="699">
        <v>0</v>
      </c>
      <c r="AN94" s="699">
        <v>0</v>
      </c>
      <c r="AO94" s="700">
        <v>0</v>
      </c>
      <c r="AP94" s="635"/>
      <c r="AQ94" s="698">
        <v>0</v>
      </c>
      <c r="AR94" s="699">
        <v>0</v>
      </c>
      <c r="AS94" s="699">
        <v>0</v>
      </c>
      <c r="AT94" s="699">
        <v>0</v>
      </c>
      <c r="AU94" s="699">
        <v>0</v>
      </c>
      <c r="AV94" s="699">
        <v>0</v>
      </c>
      <c r="AW94" s="699">
        <v>0</v>
      </c>
      <c r="AX94" s="699">
        <v>0</v>
      </c>
      <c r="AY94" s="699">
        <v>0</v>
      </c>
      <c r="AZ94" s="699">
        <v>0</v>
      </c>
      <c r="BA94" s="699">
        <v>0</v>
      </c>
      <c r="BB94" s="699">
        <v>0</v>
      </c>
      <c r="BC94" s="699">
        <v>0</v>
      </c>
      <c r="BD94" s="699">
        <v>0</v>
      </c>
      <c r="BE94" s="699">
        <v>0</v>
      </c>
      <c r="BF94" s="699">
        <v>0</v>
      </c>
      <c r="BG94" s="699">
        <v>0</v>
      </c>
      <c r="BH94" s="699">
        <v>0</v>
      </c>
      <c r="BI94" s="699">
        <v>0</v>
      </c>
      <c r="BJ94" s="699">
        <v>0</v>
      </c>
      <c r="BK94" s="699">
        <v>0</v>
      </c>
      <c r="BL94" s="699">
        <v>0</v>
      </c>
      <c r="BM94" s="699">
        <v>0</v>
      </c>
      <c r="BN94" s="699">
        <v>0</v>
      </c>
      <c r="BO94" s="699">
        <v>0</v>
      </c>
      <c r="BP94" s="699">
        <v>0</v>
      </c>
      <c r="BQ94" s="699">
        <v>0</v>
      </c>
      <c r="BR94" s="699">
        <v>0</v>
      </c>
      <c r="BS94" s="699">
        <v>0</v>
      </c>
      <c r="BT94" s="700">
        <v>0</v>
      </c>
    </row>
    <row r="95" spans="2:73">
      <c r="B95" s="694" t="s">
        <v>684</v>
      </c>
      <c r="C95" s="694" t="s">
        <v>688</v>
      </c>
      <c r="D95" s="694" t="s">
        <v>706</v>
      </c>
      <c r="E95" s="694" t="s">
        <v>686</v>
      </c>
      <c r="F95" s="694" t="s">
        <v>703</v>
      </c>
      <c r="G95" s="694" t="s">
        <v>691</v>
      </c>
      <c r="H95" s="694">
        <v>2014</v>
      </c>
      <c r="I95" s="646" t="s">
        <v>573</v>
      </c>
      <c r="J95" s="646" t="s">
        <v>588</v>
      </c>
      <c r="K95" s="635"/>
      <c r="L95" s="698">
        <v>0</v>
      </c>
      <c r="M95" s="699">
        <v>0</v>
      </c>
      <c r="N95" s="699">
        <v>0</v>
      </c>
      <c r="O95" s="699">
        <v>76.37697</v>
      </c>
      <c r="P95" s="699">
        <v>0</v>
      </c>
      <c r="Q95" s="699">
        <v>0</v>
      </c>
      <c r="R95" s="699">
        <v>0</v>
      </c>
      <c r="S95" s="699">
        <v>0</v>
      </c>
      <c r="T95" s="699">
        <v>0</v>
      </c>
      <c r="U95" s="699">
        <v>0</v>
      </c>
      <c r="V95" s="699">
        <v>0</v>
      </c>
      <c r="W95" s="699">
        <v>0</v>
      </c>
      <c r="X95" s="699">
        <v>0</v>
      </c>
      <c r="Y95" s="699">
        <v>0</v>
      </c>
      <c r="Z95" s="699">
        <v>0</v>
      </c>
      <c r="AA95" s="699">
        <v>0</v>
      </c>
      <c r="AB95" s="699">
        <v>0</v>
      </c>
      <c r="AC95" s="699">
        <v>0</v>
      </c>
      <c r="AD95" s="699">
        <v>0</v>
      </c>
      <c r="AE95" s="699">
        <v>0</v>
      </c>
      <c r="AF95" s="699">
        <v>0</v>
      </c>
      <c r="AG95" s="699">
        <v>0</v>
      </c>
      <c r="AH95" s="699">
        <v>0</v>
      </c>
      <c r="AI95" s="699">
        <v>0</v>
      </c>
      <c r="AJ95" s="699">
        <v>0</v>
      </c>
      <c r="AK95" s="699">
        <v>0</v>
      </c>
      <c r="AL95" s="699">
        <v>0</v>
      </c>
      <c r="AM95" s="699">
        <v>0</v>
      </c>
      <c r="AN95" s="699">
        <v>0</v>
      </c>
      <c r="AO95" s="700">
        <v>0</v>
      </c>
      <c r="AP95" s="635"/>
      <c r="AQ95" s="698">
        <v>0</v>
      </c>
      <c r="AR95" s="699">
        <v>0</v>
      </c>
      <c r="AS95" s="699">
        <v>0</v>
      </c>
      <c r="AT95" s="699">
        <v>0</v>
      </c>
      <c r="AU95" s="699">
        <v>0</v>
      </c>
      <c r="AV95" s="699">
        <v>0</v>
      </c>
      <c r="AW95" s="699">
        <v>0</v>
      </c>
      <c r="AX95" s="699">
        <v>0</v>
      </c>
      <c r="AY95" s="699">
        <v>0</v>
      </c>
      <c r="AZ95" s="699">
        <v>0</v>
      </c>
      <c r="BA95" s="699">
        <v>0</v>
      </c>
      <c r="BB95" s="699">
        <v>0</v>
      </c>
      <c r="BC95" s="699">
        <v>0</v>
      </c>
      <c r="BD95" s="699">
        <v>0</v>
      </c>
      <c r="BE95" s="699">
        <v>0</v>
      </c>
      <c r="BF95" s="699">
        <v>0</v>
      </c>
      <c r="BG95" s="699">
        <v>0</v>
      </c>
      <c r="BH95" s="699">
        <v>0</v>
      </c>
      <c r="BI95" s="699">
        <v>0</v>
      </c>
      <c r="BJ95" s="699">
        <v>0</v>
      </c>
      <c r="BK95" s="699">
        <v>0</v>
      </c>
      <c r="BL95" s="699">
        <v>0</v>
      </c>
      <c r="BM95" s="699">
        <v>0</v>
      </c>
      <c r="BN95" s="699">
        <v>0</v>
      </c>
      <c r="BO95" s="699">
        <v>0</v>
      </c>
      <c r="BP95" s="699">
        <v>0</v>
      </c>
      <c r="BQ95" s="699">
        <v>0</v>
      </c>
      <c r="BR95" s="699">
        <v>0</v>
      </c>
      <c r="BS95" s="699">
        <v>0</v>
      </c>
      <c r="BT95" s="700">
        <v>0</v>
      </c>
    </row>
    <row r="96" spans="2:73">
      <c r="B96" s="694" t="s">
        <v>684</v>
      </c>
      <c r="C96" s="694" t="s">
        <v>685</v>
      </c>
      <c r="D96" s="694" t="s">
        <v>42</v>
      </c>
      <c r="E96" s="694" t="s">
        <v>686</v>
      </c>
      <c r="F96" s="694" t="s">
        <v>29</v>
      </c>
      <c r="G96" s="694" t="s">
        <v>691</v>
      </c>
      <c r="H96" s="694">
        <v>2012</v>
      </c>
      <c r="I96" s="646" t="s">
        <v>573</v>
      </c>
      <c r="J96" s="646" t="s">
        <v>581</v>
      </c>
      <c r="K96" s="635"/>
      <c r="L96" s="698">
        <v>0</v>
      </c>
      <c r="M96" s="699">
        <v>0</v>
      </c>
      <c r="N96" s="699">
        <v>0</v>
      </c>
      <c r="O96" s="699">
        <v>445.99689999999998</v>
      </c>
      <c r="P96" s="699">
        <v>0</v>
      </c>
      <c r="Q96" s="699">
        <v>0</v>
      </c>
      <c r="R96" s="699">
        <v>0</v>
      </c>
      <c r="S96" s="699">
        <v>0</v>
      </c>
      <c r="T96" s="699">
        <v>0</v>
      </c>
      <c r="U96" s="699">
        <v>0</v>
      </c>
      <c r="V96" s="699">
        <v>0</v>
      </c>
      <c r="W96" s="699">
        <v>0</v>
      </c>
      <c r="X96" s="699">
        <v>0</v>
      </c>
      <c r="Y96" s="699">
        <v>0</v>
      </c>
      <c r="Z96" s="699">
        <v>0</v>
      </c>
      <c r="AA96" s="699">
        <v>0</v>
      </c>
      <c r="AB96" s="699">
        <v>0</v>
      </c>
      <c r="AC96" s="699">
        <v>0</v>
      </c>
      <c r="AD96" s="699">
        <v>0</v>
      </c>
      <c r="AE96" s="699">
        <v>0</v>
      </c>
      <c r="AF96" s="699">
        <v>0</v>
      </c>
      <c r="AG96" s="699">
        <v>0</v>
      </c>
      <c r="AH96" s="699">
        <v>0</v>
      </c>
      <c r="AI96" s="699">
        <v>0</v>
      </c>
      <c r="AJ96" s="699">
        <v>0</v>
      </c>
      <c r="AK96" s="699">
        <v>0</v>
      </c>
      <c r="AL96" s="699">
        <v>0</v>
      </c>
      <c r="AM96" s="699">
        <v>0</v>
      </c>
      <c r="AN96" s="699">
        <v>0</v>
      </c>
      <c r="AO96" s="700">
        <v>0</v>
      </c>
      <c r="AP96" s="635"/>
      <c r="AQ96" s="698">
        <v>0</v>
      </c>
      <c r="AR96" s="699">
        <v>0</v>
      </c>
      <c r="AS96" s="699">
        <v>0</v>
      </c>
      <c r="AT96" s="699">
        <v>0</v>
      </c>
      <c r="AU96" s="699">
        <v>0</v>
      </c>
      <c r="AV96" s="699">
        <v>0</v>
      </c>
      <c r="AW96" s="699">
        <v>0</v>
      </c>
      <c r="AX96" s="699">
        <v>0</v>
      </c>
      <c r="AY96" s="699">
        <v>0</v>
      </c>
      <c r="AZ96" s="699">
        <v>0</v>
      </c>
      <c r="BA96" s="699">
        <v>0</v>
      </c>
      <c r="BB96" s="699">
        <v>0</v>
      </c>
      <c r="BC96" s="699">
        <v>0</v>
      </c>
      <c r="BD96" s="699">
        <v>0</v>
      </c>
      <c r="BE96" s="699">
        <v>0</v>
      </c>
      <c r="BF96" s="699">
        <v>0</v>
      </c>
      <c r="BG96" s="699">
        <v>0</v>
      </c>
      <c r="BH96" s="699">
        <v>0</v>
      </c>
      <c r="BI96" s="699">
        <v>0</v>
      </c>
      <c r="BJ96" s="699">
        <v>0</v>
      </c>
      <c r="BK96" s="699">
        <v>0</v>
      </c>
      <c r="BL96" s="699">
        <v>0</v>
      </c>
      <c r="BM96" s="699">
        <v>0</v>
      </c>
      <c r="BN96" s="699">
        <v>0</v>
      </c>
      <c r="BO96" s="699">
        <v>0</v>
      </c>
      <c r="BP96" s="699">
        <v>0</v>
      </c>
      <c r="BQ96" s="699">
        <v>0</v>
      </c>
      <c r="BR96" s="699">
        <v>0</v>
      </c>
      <c r="BS96" s="699">
        <v>0</v>
      </c>
      <c r="BT96" s="700">
        <v>0</v>
      </c>
    </row>
    <row r="97" spans="1:73">
      <c r="B97" s="694" t="s">
        <v>684</v>
      </c>
      <c r="C97" s="694" t="s">
        <v>685</v>
      </c>
      <c r="D97" s="694" t="s">
        <v>42</v>
      </c>
      <c r="E97" s="694" t="s">
        <v>686</v>
      </c>
      <c r="F97" s="694" t="s">
        <v>29</v>
      </c>
      <c r="G97" s="694" t="s">
        <v>691</v>
      </c>
      <c r="H97" s="694">
        <v>2013</v>
      </c>
      <c r="I97" s="646" t="s">
        <v>573</v>
      </c>
      <c r="J97" s="646" t="s">
        <v>581</v>
      </c>
      <c r="K97" s="635"/>
      <c r="L97" s="698">
        <v>0</v>
      </c>
      <c r="M97" s="699">
        <v>0</v>
      </c>
      <c r="N97" s="699">
        <v>0</v>
      </c>
      <c r="O97" s="699">
        <v>1259.278</v>
      </c>
      <c r="P97" s="699">
        <v>0</v>
      </c>
      <c r="Q97" s="699">
        <v>0</v>
      </c>
      <c r="R97" s="699">
        <v>0</v>
      </c>
      <c r="S97" s="699">
        <v>0</v>
      </c>
      <c r="T97" s="699">
        <v>0</v>
      </c>
      <c r="U97" s="699">
        <v>0</v>
      </c>
      <c r="V97" s="699">
        <v>0</v>
      </c>
      <c r="W97" s="699">
        <v>0</v>
      </c>
      <c r="X97" s="699">
        <v>0</v>
      </c>
      <c r="Y97" s="699">
        <v>0</v>
      </c>
      <c r="Z97" s="699">
        <v>0</v>
      </c>
      <c r="AA97" s="699">
        <v>0</v>
      </c>
      <c r="AB97" s="699">
        <v>0</v>
      </c>
      <c r="AC97" s="699">
        <v>0</v>
      </c>
      <c r="AD97" s="699">
        <v>0</v>
      </c>
      <c r="AE97" s="699">
        <v>0</v>
      </c>
      <c r="AF97" s="699">
        <v>0</v>
      </c>
      <c r="AG97" s="699">
        <v>0</v>
      </c>
      <c r="AH97" s="699">
        <v>0</v>
      </c>
      <c r="AI97" s="699">
        <v>0</v>
      </c>
      <c r="AJ97" s="699">
        <v>0</v>
      </c>
      <c r="AK97" s="699">
        <v>0</v>
      </c>
      <c r="AL97" s="699">
        <v>0</v>
      </c>
      <c r="AM97" s="699">
        <v>0</v>
      </c>
      <c r="AN97" s="699">
        <v>0</v>
      </c>
      <c r="AO97" s="700">
        <v>0</v>
      </c>
      <c r="AP97" s="635"/>
      <c r="AQ97" s="698">
        <v>0</v>
      </c>
      <c r="AR97" s="699">
        <v>0</v>
      </c>
      <c r="AS97" s="699">
        <v>0</v>
      </c>
      <c r="AT97" s="699">
        <v>0</v>
      </c>
      <c r="AU97" s="699">
        <v>0</v>
      </c>
      <c r="AV97" s="699">
        <v>0</v>
      </c>
      <c r="AW97" s="699">
        <v>0</v>
      </c>
      <c r="AX97" s="699">
        <v>0</v>
      </c>
      <c r="AY97" s="699">
        <v>0</v>
      </c>
      <c r="AZ97" s="699">
        <v>0</v>
      </c>
      <c r="BA97" s="699">
        <v>0</v>
      </c>
      <c r="BB97" s="699">
        <v>0</v>
      </c>
      <c r="BC97" s="699">
        <v>0</v>
      </c>
      <c r="BD97" s="699">
        <v>0</v>
      </c>
      <c r="BE97" s="699">
        <v>0</v>
      </c>
      <c r="BF97" s="699">
        <v>0</v>
      </c>
      <c r="BG97" s="699">
        <v>0</v>
      </c>
      <c r="BH97" s="699">
        <v>0</v>
      </c>
      <c r="BI97" s="699">
        <v>0</v>
      </c>
      <c r="BJ97" s="699">
        <v>0</v>
      </c>
      <c r="BK97" s="699">
        <v>0</v>
      </c>
      <c r="BL97" s="699">
        <v>0</v>
      </c>
      <c r="BM97" s="699">
        <v>0</v>
      </c>
      <c r="BN97" s="699">
        <v>0</v>
      </c>
      <c r="BO97" s="699">
        <v>0</v>
      </c>
      <c r="BP97" s="699">
        <v>0</v>
      </c>
      <c r="BQ97" s="699">
        <v>0</v>
      </c>
      <c r="BR97" s="699">
        <v>0</v>
      </c>
      <c r="BS97" s="699">
        <v>0</v>
      </c>
      <c r="BT97" s="700">
        <v>0</v>
      </c>
    </row>
    <row r="98" spans="1:73" ht="15.75">
      <c r="B98" s="694" t="s">
        <v>684</v>
      </c>
      <c r="C98" s="694" t="s">
        <v>685</v>
      </c>
      <c r="D98" s="694" t="s">
        <v>42</v>
      </c>
      <c r="E98" s="694" t="s">
        <v>686</v>
      </c>
      <c r="F98" s="694" t="s">
        <v>29</v>
      </c>
      <c r="G98" s="694" t="s">
        <v>691</v>
      </c>
      <c r="H98" s="694">
        <v>2014</v>
      </c>
      <c r="I98" s="646" t="s">
        <v>573</v>
      </c>
      <c r="J98" s="646" t="s">
        <v>588</v>
      </c>
      <c r="K98" s="635"/>
      <c r="L98" s="698">
        <v>0</v>
      </c>
      <c r="M98" s="699">
        <v>0</v>
      </c>
      <c r="N98" s="699">
        <v>0</v>
      </c>
      <c r="O98" s="699">
        <v>342.01839999999999</v>
      </c>
      <c r="P98" s="699">
        <v>0</v>
      </c>
      <c r="Q98" s="699">
        <v>0</v>
      </c>
      <c r="R98" s="699">
        <v>0</v>
      </c>
      <c r="S98" s="699">
        <v>0</v>
      </c>
      <c r="T98" s="699">
        <v>0</v>
      </c>
      <c r="U98" s="699">
        <v>0</v>
      </c>
      <c r="V98" s="699">
        <v>0</v>
      </c>
      <c r="W98" s="699">
        <v>0</v>
      </c>
      <c r="X98" s="699">
        <v>0</v>
      </c>
      <c r="Y98" s="699">
        <v>0</v>
      </c>
      <c r="Z98" s="699">
        <v>0</v>
      </c>
      <c r="AA98" s="699">
        <v>0</v>
      </c>
      <c r="AB98" s="699">
        <v>0</v>
      </c>
      <c r="AC98" s="699">
        <v>0</v>
      </c>
      <c r="AD98" s="699">
        <v>0</v>
      </c>
      <c r="AE98" s="699">
        <v>0</v>
      </c>
      <c r="AF98" s="699">
        <v>0</v>
      </c>
      <c r="AG98" s="699">
        <v>0</v>
      </c>
      <c r="AH98" s="699">
        <v>0</v>
      </c>
      <c r="AI98" s="699">
        <v>0</v>
      </c>
      <c r="AJ98" s="699">
        <v>0</v>
      </c>
      <c r="AK98" s="699">
        <v>0</v>
      </c>
      <c r="AL98" s="699">
        <v>0</v>
      </c>
      <c r="AM98" s="699">
        <v>0</v>
      </c>
      <c r="AN98" s="699">
        <v>0</v>
      </c>
      <c r="AO98" s="700">
        <v>0</v>
      </c>
      <c r="AP98" s="635"/>
      <c r="AQ98" s="698">
        <v>0</v>
      </c>
      <c r="AR98" s="699">
        <v>0</v>
      </c>
      <c r="AS98" s="699">
        <v>0</v>
      </c>
      <c r="AT98" s="699">
        <v>0</v>
      </c>
      <c r="AU98" s="699">
        <v>0</v>
      </c>
      <c r="AV98" s="699">
        <v>0</v>
      </c>
      <c r="AW98" s="699">
        <v>0</v>
      </c>
      <c r="AX98" s="699">
        <v>0</v>
      </c>
      <c r="AY98" s="699">
        <v>0</v>
      </c>
      <c r="AZ98" s="699">
        <v>0</v>
      </c>
      <c r="BA98" s="699">
        <v>0</v>
      </c>
      <c r="BB98" s="699">
        <v>0</v>
      </c>
      <c r="BC98" s="699">
        <v>0</v>
      </c>
      <c r="BD98" s="699">
        <v>0</v>
      </c>
      <c r="BE98" s="699">
        <v>0</v>
      </c>
      <c r="BF98" s="699">
        <v>0</v>
      </c>
      <c r="BG98" s="699">
        <v>0</v>
      </c>
      <c r="BH98" s="699">
        <v>0</v>
      </c>
      <c r="BI98" s="699">
        <v>0</v>
      </c>
      <c r="BJ98" s="699">
        <v>0</v>
      </c>
      <c r="BK98" s="699">
        <v>0</v>
      </c>
      <c r="BL98" s="699">
        <v>0</v>
      </c>
      <c r="BM98" s="699">
        <v>0</v>
      </c>
      <c r="BN98" s="699">
        <v>0</v>
      </c>
      <c r="BO98" s="699">
        <v>0</v>
      </c>
      <c r="BP98" s="699">
        <v>0</v>
      </c>
      <c r="BQ98" s="699">
        <v>0</v>
      </c>
      <c r="BR98" s="699">
        <v>0</v>
      </c>
      <c r="BS98" s="699">
        <v>0</v>
      </c>
      <c r="BT98" s="700">
        <v>0</v>
      </c>
      <c r="BU98" s="165"/>
    </row>
    <row r="99" spans="1:73" ht="15.75">
      <c r="B99" s="694" t="s">
        <v>684</v>
      </c>
      <c r="C99" s="694" t="s">
        <v>692</v>
      </c>
      <c r="D99" s="694" t="s">
        <v>9</v>
      </c>
      <c r="E99" s="694" t="s">
        <v>686</v>
      </c>
      <c r="F99" s="694" t="s">
        <v>692</v>
      </c>
      <c r="G99" s="694" t="s">
        <v>691</v>
      </c>
      <c r="H99" s="694">
        <v>2014</v>
      </c>
      <c r="I99" s="646" t="s">
        <v>573</v>
      </c>
      <c r="J99" s="646" t="s">
        <v>588</v>
      </c>
      <c r="K99" s="635"/>
      <c r="L99" s="698">
        <v>0</v>
      </c>
      <c r="M99" s="699">
        <v>0</v>
      </c>
      <c r="N99" s="699">
        <v>0</v>
      </c>
      <c r="O99" s="699">
        <v>448.38139999999999</v>
      </c>
      <c r="P99" s="699">
        <v>0</v>
      </c>
      <c r="Q99" s="699">
        <v>0</v>
      </c>
      <c r="R99" s="699">
        <v>0</v>
      </c>
      <c r="S99" s="699">
        <v>0</v>
      </c>
      <c r="T99" s="699">
        <v>0</v>
      </c>
      <c r="U99" s="699">
        <v>0</v>
      </c>
      <c r="V99" s="699">
        <v>0</v>
      </c>
      <c r="W99" s="699">
        <v>0</v>
      </c>
      <c r="X99" s="699">
        <v>0</v>
      </c>
      <c r="Y99" s="699">
        <v>0</v>
      </c>
      <c r="Z99" s="699">
        <v>0</v>
      </c>
      <c r="AA99" s="699">
        <v>0</v>
      </c>
      <c r="AB99" s="699">
        <v>0</v>
      </c>
      <c r="AC99" s="699">
        <v>0</v>
      </c>
      <c r="AD99" s="699">
        <v>0</v>
      </c>
      <c r="AE99" s="699">
        <v>0</v>
      </c>
      <c r="AF99" s="699">
        <v>0</v>
      </c>
      <c r="AG99" s="699">
        <v>0</v>
      </c>
      <c r="AH99" s="699">
        <v>0</v>
      </c>
      <c r="AI99" s="699">
        <v>0</v>
      </c>
      <c r="AJ99" s="699">
        <v>0</v>
      </c>
      <c r="AK99" s="699">
        <v>0</v>
      </c>
      <c r="AL99" s="699">
        <v>0</v>
      </c>
      <c r="AM99" s="699">
        <v>0</v>
      </c>
      <c r="AN99" s="699">
        <v>0</v>
      </c>
      <c r="AO99" s="700">
        <v>0</v>
      </c>
      <c r="AP99" s="635"/>
      <c r="AQ99" s="698">
        <v>0</v>
      </c>
      <c r="AR99" s="699">
        <v>0</v>
      </c>
      <c r="AS99" s="699">
        <v>0</v>
      </c>
      <c r="AT99" s="699">
        <v>0</v>
      </c>
      <c r="AU99" s="699">
        <v>0</v>
      </c>
      <c r="AV99" s="699">
        <v>0</v>
      </c>
      <c r="AW99" s="699">
        <v>0</v>
      </c>
      <c r="AX99" s="699">
        <v>0</v>
      </c>
      <c r="AY99" s="699">
        <v>0</v>
      </c>
      <c r="AZ99" s="699">
        <v>0</v>
      </c>
      <c r="BA99" s="699">
        <v>0</v>
      </c>
      <c r="BB99" s="699">
        <v>0</v>
      </c>
      <c r="BC99" s="699">
        <v>0</v>
      </c>
      <c r="BD99" s="699">
        <v>0</v>
      </c>
      <c r="BE99" s="699">
        <v>0</v>
      </c>
      <c r="BF99" s="699">
        <v>0</v>
      </c>
      <c r="BG99" s="699">
        <v>0</v>
      </c>
      <c r="BH99" s="699">
        <v>0</v>
      </c>
      <c r="BI99" s="699">
        <v>0</v>
      </c>
      <c r="BJ99" s="699">
        <v>0</v>
      </c>
      <c r="BK99" s="699">
        <v>0</v>
      </c>
      <c r="BL99" s="699">
        <v>0</v>
      </c>
      <c r="BM99" s="699">
        <v>0</v>
      </c>
      <c r="BN99" s="699">
        <v>0</v>
      </c>
      <c r="BO99" s="699">
        <v>0</v>
      </c>
      <c r="BP99" s="699">
        <v>0</v>
      </c>
      <c r="BQ99" s="699">
        <v>0</v>
      </c>
      <c r="BR99" s="699">
        <v>0</v>
      </c>
      <c r="BS99" s="699">
        <v>0</v>
      </c>
      <c r="BT99" s="700">
        <v>0</v>
      </c>
      <c r="BU99" s="165"/>
    </row>
    <row r="100" spans="1:73" s="763" customFormat="1" ht="15.75">
      <c r="A100" s="749"/>
      <c r="B100" s="694"/>
      <c r="C100" s="694" t="s">
        <v>499</v>
      </c>
      <c r="D100" s="694" t="s">
        <v>95</v>
      </c>
      <c r="E100" s="694" t="s">
        <v>686</v>
      </c>
      <c r="F100" s="694"/>
      <c r="G100" s="694"/>
      <c r="H100" s="694">
        <v>2015</v>
      </c>
      <c r="I100" s="646" t="s">
        <v>574</v>
      </c>
      <c r="J100" s="646" t="s">
        <v>588</v>
      </c>
      <c r="K100" s="760"/>
      <c r="L100" s="698">
        <v>0</v>
      </c>
      <c r="M100" s="699">
        <v>0</v>
      </c>
      <c r="N100" s="699">
        <v>0</v>
      </c>
      <c r="O100" s="699">
        <v>0</v>
      </c>
      <c r="P100" s="699">
        <v>31</v>
      </c>
      <c r="Q100" s="699">
        <v>31</v>
      </c>
      <c r="R100" s="699">
        <v>31</v>
      </c>
      <c r="S100" s="699">
        <v>31</v>
      </c>
      <c r="T100" s="699">
        <v>31</v>
      </c>
      <c r="U100" s="699">
        <v>31</v>
      </c>
      <c r="V100" s="699">
        <v>31</v>
      </c>
      <c r="W100" s="699">
        <v>31</v>
      </c>
      <c r="X100" s="699">
        <v>31</v>
      </c>
      <c r="Y100" s="699">
        <v>31</v>
      </c>
      <c r="Z100" s="699">
        <v>26</v>
      </c>
      <c r="AA100" s="699">
        <v>26</v>
      </c>
      <c r="AB100" s="699">
        <v>26</v>
      </c>
      <c r="AC100" s="699">
        <v>26</v>
      </c>
      <c r="AD100" s="699">
        <v>26</v>
      </c>
      <c r="AE100" s="699">
        <v>26</v>
      </c>
      <c r="AF100" s="699">
        <v>10</v>
      </c>
      <c r="AG100" s="699">
        <v>10</v>
      </c>
      <c r="AH100" s="699">
        <v>10</v>
      </c>
      <c r="AI100" s="699">
        <v>10</v>
      </c>
      <c r="AJ100" s="699">
        <v>0</v>
      </c>
      <c r="AK100" s="699">
        <v>0</v>
      </c>
      <c r="AL100" s="699">
        <v>0</v>
      </c>
      <c r="AM100" s="699">
        <v>0</v>
      </c>
      <c r="AN100" s="699">
        <v>0</v>
      </c>
      <c r="AO100" s="700">
        <v>0</v>
      </c>
      <c r="AP100" s="760"/>
      <c r="AQ100" s="698">
        <v>0</v>
      </c>
      <c r="AR100" s="699">
        <v>0</v>
      </c>
      <c r="AS100" s="699">
        <v>0</v>
      </c>
      <c r="AT100" s="699">
        <v>0</v>
      </c>
      <c r="AU100" s="699">
        <v>463048</v>
      </c>
      <c r="AV100" s="699">
        <v>458886</v>
      </c>
      <c r="AW100" s="699">
        <v>458886</v>
      </c>
      <c r="AX100" s="699">
        <v>458886</v>
      </c>
      <c r="AY100" s="699">
        <v>458886</v>
      </c>
      <c r="AZ100" s="699">
        <v>458886</v>
      </c>
      <c r="BA100" s="699">
        <v>458886</v>
      </c>
      <c r="BB100" s="699">
        <v>458791</v>
      </c>
      <c r="BC100" s="699">
        <v>458791</v>
      </c>
      <c r="BD100" s="699">
        <v>458791</v>
      </c>
      <c r="BE100" s="699">
        <v>420228</v>
      </c>
      <c r="BF100" s="699">
        <v>418769</v>
      </c>
      <c r="BG100" s="699">
        <v>418769</v>
      </c>
      <c r="BH100" s="699">
        <v>415345</v>
      </c>
      <c r="BI100" s="699">
        <v>415345</v>
      </c>
      <c r="BJ100" s="699">
        <v>415173</v>
      </c>
      <c r="BK100" s="699">
        <v>153895</v>
      </c>
      <c r="BL100" s="699">
        <v>153895</v>
      </c>
      <c r="BM100" s="699">
        <v>153895</v>
      </c>
      <c r="BN100" s="699">
        <v>153895</v>
      </c>
      <c r="BO100" s="699">
        <v>0</v>
      </c>
      <c r="BP100" s="699">
        <v>0</v>
      </c>
      <c r="BQ100" s="699">
        <v>0</v>
      </c>
      <c r="BR100" s="699">
        <v>0</v>
      </c>
      <c r="BS100" s="699">
        <v>0</v>
      </c>
      <c r="BT100" s="700">
        <v>0</v>
      </c>
      <c r="BU100" s="764"/>
    </row>
    <row r="101" spans="1:73">
      <c r="B101" s="694"/>
      <c r="C101" s="694" t="s">
        <v>499</v>
      </c>
      <c r="D101" s="694" t="s">
        <v>96</v>
      </c>
      <c r="E101" s="694" t="s">
        <v>686</v>
      </c>
      <c r="F101" s="694"/>
      <c r="G101" s="694"/>
      <c r="H101" s="694">
        <v>2015</v>
      </c>
      <c r="I101" s="646" t="s">
        <v>574</v>
      </c>
      <c r="J101" s="646" t="s">
        <v>588</v>
      </c>
      <c r="K101" s="635"/>
      <c r="L101" s="698">
        <v>0</v>
      </c>
      <c r="M101" s="699">
        <v>0</v>
      </c>
      <c r="N101" s="699">
        <v>0</v>
      </c>
      <c r="O101" s="699">
        <v>0</v>
      </c>
      <c r="P101" s="699">
        <v>55</v>
      </c>
      <c r="Q101" s="699">
        <v>54</v>
      </c>
      <c r="R101" s="699">
        <v>54</v>
      </c>
      <c r="S101" s="699">
        <v>54</v>
      </c>
      <c r="T101" s="699">
        <v>54</v>
      </c>
      <c r="U101" s="699">
        <v>54</v>
      </c>
      <c r="V101" s="699">
        <v>54</v>
      </c>
      <c r="W101" s="699">
        <v>54</v>
      </c>
      <c r="X101" s="699">
        <v>54</v>
      </c>
      <c r="Y101" s="699">
        <v>54</v>
      </c>
      <c r="Z101" s="699">
        <v>45</v>
      </c>
      <c r="AA101" s="699">
        <v>43</v>
      </c>
      <c r="AB101" s="699">
        <v>43</v>
      </c>
      <c r="AC101" s="699">
        <v>43</v>
      </c>
      <c r="AD101" s="699">
        <v>43</v>
      </c>
      <c r="AE101" s="699">
        <v>43</v>
      </c>
      <c r="AF101" s="699">
        <v>16</v>
      </c>
      <c r="AG101" s="699">
        <v>16</v>
      </c>
      <c r="AH101" s="699">
        <v>16</v>
      </c>
      <c r="AI101" s="699">
        <v>16</v>
      </c>
      <c r="AJ101" s="699">
        <v>0</v>
      </c>
      <c r="AK101" s="699">
        <v>0</v>
      </c>
      <c r="AL101" s="699">
        <v>0</v>
      </c>
      <c r="AM101" s="699">
        <v>0</v>
      </c>
      <c r="AN101" s="699">
        <v>0</v>
      </c>
      <c r="AO101" s="700">
        <v>0</v>
      </c>
      <c r="AP101" s="635"/>
      <c r="AQ101" s="698">
        <v>0</v>
      </c>
      <c r="AR101" s="699">
        <v>0</v>
      </c>
      <c r="AS101" s="699">
        <v>0</v>
      </c>
      <c r="AT101" s="699">
        <v>0</v>
      </c>
      <c r="AU101" s="699">
        <v>812151</v>
      </c>
      <c r="AV101" s="699">
        <v>797717</v>
      </c>
      <c r="AW101" s="699">
        <v>797717</v>
      </c>
      <c r="AX101" s="699">
        <v>797717</v>
      </c>
      <c r="AY101" s="699">
        <v>797717</v>
      </c>
      <c r="AZ101" s="699">
        <v>797717</v>
      </c>
      <c r="BA101" s="699">
        <v>797717</v>
      </c>
      <c r="BB101" s="699">
        <v>797300</v>
      </c>
      <c r="BC101" s="699">
        <v>797300</v>
      </c>
      <c r="BD101" s="699">
        <v>797300</v>
      </c>
      <c r="BE101" s="699">
        <v>735225</v>
      </c>
      <c r="BF101" s="699">
        <v>697368</v>
      </c>
      <c r="BG101" s="699">
        <v>697368</v>
      </c>
      <c r="BH101" s="699">
        <v>682368</v>
      </c>
      <c r="BI101" s="699">
        <v>682368</v>
      </c>
      <c r="BJ101" s="699">
        <v>680778</v>
      </c>
      <c r="BK101" s="699">
        <v>252203</v>
      </c>
      <c r="BL101" s="699">
        <v>252203</v>
      </c>
      <c r="BM101" s="699">
        <v>252203</v>
      </c>
      <c r="BN101" s="699">
        <v>252203</v>
      </c>
      <c r="BO101" s="699">
        <v>0</v>
      </c>
      <c r="BP101" s="699">
        <v>0</v>
      </c>
      <c r="BQ101" s="699">
        <v>0</v>
      </c>
      <c r="BR101" s="699">
        <v>0</v>
      </c>
      <c r="BS101" s="699">
        <v>0</v>
      </c>
      <c r="BT101" s="700">
        <v>0</v>
      </c>
    </row>
    <row r="102" spans="1:73" ht="15.75">
      <c r="B102" s="694"/>
      <c r="C102" s="694" t="s">
        <v>499</v>
      </c>
      <c r="D102" s="694" t="s">
        <v>97</v>
      </c>
      <c r="E102" s="694" t="s">
        <v>686</v>
      </c>
      <c r="F102" s="694"/>
      <c r="G102" s="694"/>
      <c r="H102" s="694">
        <v>2015</v>
      </c>
      <c r="I102" s="646" t="s">
        <v>574</v>
      </c>
      <c r="J102" s="646" t="s">
        <v>588</v>
      </c>
      <c r="K102" s="635"/>
      <c r="L102" s="698">
        <v>0</v>
      </c>
      <c r="M102" s="699">
        <v>0</v>
      </c>
      <c r="N102" s="699">
        <v>0</v>
      </c>
      <c r="O102" s="699">
        <v>0</v>
      </c>
      <c r="P102" s="699">
        <v>2</v>
      </c>
      <c r="Q102" s="699">
        <v>2</v>
      </c>
      <c r="R102" s="699">
        <v>2</v>
      </c>
      <c r="S102" s="699">
        <v>2</v>
      </c>
      <c r="T102" s="699">
        <v>1</v>
      </c>
      <c r="U102" s="699">
        <v>0</v>
      </c>
      <c r="V102" s="699">
        <v>0</v>
      </c>
      <c r="W102" s="699">
        <v>0</v>
      </c>
      <c r="X102" s="699">
        <v>0</v>
      </c>
      <c r="Y102" s="699">
        <v>0</v>
      </c>
      <c r="Z102" s="699">
        <v>0</v>
      </c>
      <c r="AA102" s="699">
        <v>0</v>
      </c>
      <c r="AB102" s="699">
        <v>0</v>
      </c>
      <c r="AC102" s="699">
        <v>0</v>
      </c>
      <c r="AD102" s="699">
        <v>0</v>
      </c>
      <c r="AE102" s="699">
        <v>0</v>
      </c>
      <c r="AF102" s="699">
        <v>0</v>
      </c>
      <c r="AG102" s="699">
        <v>0</v>
      </c>
      <c r="AH102" s="699">
        <v>0</v>
      </c>
      <c r="AI102" s="699">
        <v>0</v>
      </c>
      <c r="AJ102" s="699">
        <v>0</v>
      </c>
      <c r="AK102" s="699">
        <v>0</v>
      </c>
      <c r="AL102" s="699">
        <v>0</v>
      </c>
      <c r="AM102" s="699">
        <v>0</v>
      </c>
      <c r="AN102" s="699">
        <v>0</v>
      </c>
      <c r="AO102" s="700">
        <v>0</v>
      </c>
      <c r="AP102" s="635"/>
      <c r="AQ102" s="698">
        <v>0</v>
      </c>
      <c r="AR102" s="699">
        <v>0</v>
      </c>
      <c r="AS102" s="699">
        <v>0</v>
      </c>
      <c r="AT102" s="699">
        <v>0</v>
      </c>
      <c r="AU102" s="699">
        <v>12724</v>
      </c>
      <c r="AV102" s="699">
        <v>12724</v>
      </c>
      <c r="AW102" s="699">
        <v>12724</v>
      </c>
      <c r="AX102" s="699">
        <v>12619</v>
      </c>
      <c r="AY102" s="699">
        <v>8546</v>
      </c>
      <c r="AZ102" s="699">
        <v>0</v>
      </c>
      <c r="BA102" s="699">
        <v>0</v>
      </c>
      <c r="BB102" s="699">
        <v>0</v>
      </c>
      <c r="BC102" s="699">
        <v>0</v>
      </c>
      <c r="BD102" s="699">
        <v>0</v>
      </c>
      <c r="BE102" s="699">
        <v>0</v>
      </c>
      <c r="BF102" s="699">
        <v>0</v>
      </c>
      <c r="BG102" s="699">
        <v>0</v>
      </c>
      <c r="BH102" s="699">
        <v>0</v>
      </c>
      <c r="BI102" s="699">
        <v>0</v>
      </c>
      <c r="BJ102" s="699">
        <v>0</v>
      </c>
      <c r="BK102" s="699">
        <v>0</v>
      </c>
      <c r="BL102" s="699">
        <v>0</v>
      </c>
      <c r="BM102" s="699">
        <v>0</v>
      </c>
      <c r="BN102" s="699">
        <v>0</v>
      </c>
      <c r="BO102" s="699">
        <v>0</v>
      </c>
      <c r="BP102" s="699">
        <v>0</v>
      </c>
      <c r="BQ102" s="699">
        <v>0</v>
      </c>
      <c r="BR102" s="699">
        <v>0</v>
      </c>
      <c r="BS102" s="699">
        <v>0</v>
      </c>
      <c r="BT102" s="700">
        <v>0</v>
      </c>
      <c r="BU102" s="165"/>
    </row>
    <row r="103" spans="1:73" ht="15.75">
      <c r="B103" s="694"/>
      <c r="C103" s="694" t="s">
        <v>499</v>
      </c>
      <c r="D103" s="694" t="s">
        <v>707</v>
      </c>
      <c r="E103" s="694" t="s">
        <v>686</v>
      </c>
      <c r="F103" s="694"/>
      <c r="G103" s="694"/>
      <c r="H103" s="694">
        <v>2015</v>
      </c>
      <c r="I103" s="646" t="s">
        <v>574</v>
      </c>
      <c r="J103" s="646" t="s">
        <v>588</v>
      </c>
      <c r="K103" s="635"/>
      <c r="L103" s="698">
        <v>0</v>
      </c>
      <c r="M103" s="699">
        <v>0</v>
      </c>
      <c r="N103" s="699">
        <v>0</v>
      </c>
      <c r="O103" s="699">
        <v>0</v>
      </c>
      <c r="P103" s="699">
        <v>599</v>
      </c>
      <c r="Q103" s="699">
        <v>599</v>
      </c>
      <c r="R103" s="699">
        <v>599</v>
      </c>
      <c r="S103" s="699">
        <v>599</v>
      </c>
      <c r="T103" s="699">
        <v>599</v>
      </c>
      <c r="U103" s="699">
        <v>599</v>
      </c>
      <c r="V103" s="699">
        <v>599</v>
      </c>
      <c r="W103" s="699">
        <v>599</v>
      </c>
      <c r="X103" s="699">
        <v>599</v>
      </c>
      <c r="Y103" s="699">
        <v>599</v>
      </c>
      <c r="Z103" s="699">
        <v>599</v>
      </c>
      <c r="AA103" s="699">
        <v>599</v>
      </c>
      <c r="AB103" s="699">
        <v>599</v>
      </c>
      <c r="AC103" s="699">
        <v>599</v>
      </c>
      <c r="AD103" s="699">
        <v>599</v>
      </c>
      <c r="AE103" s="699">
        <v>599</v>
      </c>
      <c r="AF103" s="699">
        <v>599</v>
      </c>
      <c r="AG103" s="699">
        <v>599</v>
      </c>
      <c r="AH103" s="699">
        <v>542</v>
      </c>
      <c r="AI103" s="699">
        <v>0</v>
      </c>
      <c r="AJ103" s="699">
        <v>0</v>
      </c>
      <c r="AK103" s="699">
        <v>0</v>
      </c>
      <c r="AL103" s="699">
        <v>0</v>
      </c>
      <c r="AM103" s="699">
        <v>0</v>
      </c>
      <c r="AN103" s="699">
        <v>0</v>
      </c>
      <c r="AO103" s="700">
        <v>0</v>
      </c>
      <c r="AP103" s="635"/>
      <c r="AQ103" s="698">
        <v>0</v>
      </c>
      <c r="AR103" s="699">
        <v>0</v>
      </c>
      <c r="AS103" s="699">
        <v>0</v>
      </c>
      <c r="AT103" s="699">
        <v>0</v>
      </c>
      <c r="AU103" s="699">
        <v>1140449</v>
      </c>
      <c r="AV103" s="699">
        <v>1140449</v>
      </c>
      <c r="AW103" s="699">
        <v>1140449</v>
      </c>
      <c r="AX103" s="699">
        <v>1140449</v>
      </c>
      <c r="AY103" s="699">
        <v>1140449</v>
      </c>
      <c r="AZ103" s="699">
        <v>1140449</v>
      </c>
      <c r="BA103" s="699">
        <v>1140449</v>
      </c>
      <c r="BB103" s="699">
        <v>1140449</v>
      </c>
      <c r="BC103" s="699">
        <v>1140449</v>
      </c>
      <c r="BD103" s="699">
        <v>1140449</v>
      </c>
      <c r="BE103" s="699">
        <v>1140449</v>
      </c>
      <c r="BF103" s="699">
        <v>1140449</v>
      </c>
      <c r="BG103" s="699">
        <v>1140449</v>
      </c>
      <c r="BH103" s="699">
        <v>1140449</v>
      </c>
      <c r="BI103" s="699">
        <v>1140449</v>
      </c>
      <c r="BJ103" s="699">
        <v>1140449</v>
      </c>
      <c r="BK103" s="699">
        <v>1140449</v>
      </c>
      <c r="BL103" s="699">
        <v>1140449</v>
      </c>
      <c r="BM103" s="699">
        <v>1089138</v>
      </c>
      <c r="BN103" s="699">
        <v>0</v>
      </c>
      <c r="BO103" s="699">
        <v>0</v>
      </c>
      <c r="BP103" s="699">
        <v>0</v>
      </c>
      <c r="BQ103" s="699">
        <v>0</v>
      </c>
      <c r="BR103" s="699">
        <v>0</v>
      </c>
      <c r="BS103" s="699">
        <v>0</v>
      </c>
      <c r="BT103" s="700">
        <v>0</v>
      </c>
      <c r="BU103" s="165"/>
    </row>
    <row r="104" spans="1:73" ht="15.75">
      <c r="B104" s="694"/>
      <c r="C104" s="694" t="s">
        <v>499</v>
      </c>
      <c r="D104" s="694" t="s">
        <v>101</v>
      </c>
      <c r="E104" s="694" t="s">
        <v>686</v>
      </c>
      <c r="F104" s="694"/>
      <c r="G104" s="694"/>
      <c r="H104" s="694">
        <v>2015</v>
      </c>
      <c r="I104" s="646" t="s">
        <v>574</v>
      </c>
      <c r="J104" s="646" t="s">
        <v>588</v>
      </c>
      <c r="K104" s="635"/>
      <c r="L104" s="698">
        <v>0</v>
      </c>
      <c r="M104" s="699">
        <v>0</v>
      </c>
      <c r="N104" s="699">
        <v>0</v>
      </c>
      <c r="O104" s="699">
        <v>0</v>
      </c>
      <c r="P104" s="699">
        <v>296</v>
      </c>
      <c r="Q104" s="699">
        <v>296</v>
      </c>
      <c r="R104" s="699">
        <v>295</v>
      </c>
      <c r="S104" s="699">
        <v>295</v>
      </c>
      <c r="T104" s="699">
        <v>295</v>
      </c>
      <c r="U104" s="699">
        <v>295</v>
      </c>
      <c r="V104" s="699">
        <v>287</v>
      </c>
      <c r="W104" s="699">
        <v>287</v>
      </c>
      <c r="X104" s="699">
        <v>257</v>
      </c>
      <c r="Y104" s="699">
        <v>229</v>
      </c>
      <c r="Z104" s="699">
        <v>159</v>
      </c>
      <c r="AA104" s="699">
        <v>155</v>
      </c>
      <c r="AB104" s="699">
        <v>91</v>
      </c>
      <c r="AC104" s="699">
        <v>45</v>
      </c>
      <c r="AD104" s="699">
        <v>45</v>
      </c>
      <c r="AE104" s="699">
        <v>44</v>
      </c>
      <c r="AF104" s="699">
        <v>42</v>
      </c>
      <c r="AG104" s="699">
        <v>42</v>
      </c>
      <c r="AH104" s="699">
        <v>42</v>
      </c>
      <c r="AI104" s="699">
        <v>42</v>
      </c>
      <c r="AJ104" s="699">
        <v>0</v>
      </c>
      <c r="AK104" s="699">
        <v>0</v>
      </c>
      <c r="AL104" s="699">
        <v>0</v>
      </c>
      <c r="AM104" s="699">
        <v>0</v>
      </c>
      <c r="AN104" s="699">
        <v>0</v>
      </c>
      <c r="AO104" s="700">
        <v>0</v>
      </c>
      <c r="AP104" s="635"/>
      <c r="AQ104" s="698">
        <v>0</v>
      </c>
      <c r="AR104" s="699">
        <v>0</v>
      </c>
      <c r="AS104" s="699">
        <v>0</v>
      </c>
      <c r="AT104" s="699">
        <v>0</v>
      </c>
      <c r="AU104" s="699">
        <v>3615737</v>
      </c>
      <c r="AV104" s="699">
        <v>3615737</v>
      </c>
      <c r="AW104" s="699">
        <v>3612476</v>
      </c>
      <c r="AX104" s="699">
        <v>3612476</v>
      </c>
      <c r="AY104" s="699">
        <v>3612476</v>
      </c>
      <c r="AZ104" s="699">
        <v>3612476</v>
      </c>
      <c r="BA104" s="699">
        <v>3549305</v>
      </c>
      <c r="BB104" s="699">
        <v>3549305</v>
      </c>
      <c r="BC104" s="699">
        <v>3441661</v>
      </c>
      <c r="BD104" s="699">
        <v>3228789</v>
      </c>
      <c r="BE104" s="699">
        <v>2669944</v>
      </c>
      <c r="BF104" s="699">
        <v>2621374</v>
      </c>
      <c r="BG104" s="699">
        <v>325771</v>
      </c>
      <c r="BH104" s="699">
        <v>181418</v>
      </c>
      <c r="BI104" s="699">
        <v>181418</v>
      </c>
      <c r="BJ104" s="699">
        <v>161267</v>
      </c>
      <c r="BK104" s="699">
        <v>121539</v>
      </c>
      <c r="BL104" s="699">
        <v>121539</v>
      </c>
      <c r="BM104" s="699">
        <v>121539</v>
      </c>
      <c r="BN104" s="699">
        <v>121539</v>
      </c>
      <c r="BO104" s="699">
        <v>0</v>
      </c>
      <c r="BP104" s="699">
        <v>0</v>
      </c>
      <c r="BQ104" s="699">
        <v>0</v>
      </c>
      <c r="BR104" s="699">
        <v>0</v>
      </c>
      <c r="BS104" s="699">
        <v>0</v>
      </c>
      <c r="BT104" s="700">
        <v>0</v>
      </c>
      <c r="BU104" s="165"/>
    </row>
    <row r="105" spans="1:73" ht="15.75">
      <c r="B105" s="694"/>
      <c r="C105" s="694" t="s">
        <v>499</v>
      </c>
      <c r="D105" s="694" t="s">
        <v>102</v>
      </c>
      <c r="E105" s="694" t="s">
        <v>686</v>
      </c>
      <c r="F105" s="694"/>
      <c r="G105" s="694"/>
      <c r="H105" s="694">
        <v>2015</v>
      </c>
      <c r="I105" s="646" t="s">
        <v>574</v>
      </c>
      <c r="J105" s="646" t="s">
        <v>588</v>
      </c>
      <c r="K105" s="635"/>
      <c r="L105" s="698">
        <v>0</v>
      </c>
      <c r="M105" s="699">
        <v>0</v>
      </c>
      <c r="N105" s="699">
        <v>0</v>
      </c>
      <c r="O105" s="699">
        <v>0</v>
      </c>
      <c r="P105" s="699">
        <v>33</v>
      </c>
      <c r="Q105" s="699">
        <v>27</v>
      </c>
      <c r="R105" s="699">
        <v>23</v>
      </c>
      <c r="S105" s="699">
        <v>23</v>
      </c>
      <c r="T105" s="699">
        <v>23</v>
      </c>
      <c r="U105" s="699">
        <v>23</v>
      </c>
      <c r="V105" s="699">
        <v>23</v>
      </c>
      <c r="W105" s="699">
        <v>23</v>
      </c>
      <c r="X105" s="699">
        <v>23</v>
      </c>
      <c r="Y105" s="699">
        <v>23</v>
      </c>
      <c r="Z105" s="699">
        <v>23</v>
      </c>
      <c r="AA105" s="699">
        <v>2</v>
      </c>
      <c r="AB105" s="699">
        <v>0</v>
      </c>
      <c r="AC105" s="699">
        <v>0</v>
      </c>
      <c r="AD105" s="699">
        <v>0</v>
      </c>
      <c r="AE105" s="699">
        <v>0</v>
      </c>
      <c r="AF105" s="699">
        <v>0</v>
      </c>
      <c r="AG105" s="699">
        <v>0</v>
      </c>
      <c r="AH105" s="699">
        <v>0</v>
      </c>
      <c r="AI105" s="699">
        <v>0</v>
      </c>
      <c r="AJ105" s="699">
        <v>0</v>
      </c>
      <c r="AK105" s="699">
        <v>0</v>
      </c>
      <c r="AL105" s="699">
        <v>0</v>
      </c>
      <c r="AM105" s="699">
        <v>0</v>
      </c>
      <c r="AN105" s="699">
        <v>0</v>
      </c>
      <c r="AO105" s="700">
        <v>0</v>
      </c>
      <c r="AP105" s="635"/>
      <c r="AQ105" s="701">
        <v>0</v>
      </c>
      <c r="AR105" s="702">
        <v>0</v>
      </c>
      <c r="AS105" s="702">
        <v>0</v>
      </c>
      <c r="AT105" s="702">
        <v>0</v>
      </c>
      <c r="AU105" s="702">
        <v>155411</v>
      </c>
      <c r="AV105" s="702">
        <v>129008</v>
      </c>
      <c r="AW105" s="702">
        <v>115975</v>
      </c>
      <c r="AX105" s="702">
        <v>115975</v>
      </c>
      <c r="AY105" s="702">
        <v>115975</v>
      </c>
      <c r="AZ105" s="702">
        <v>115975</v>
      </c>
      <c r="BA105" s="702">
        <v>115975</v>
      </c>
      <c r="BB105" s="702">
        <v>115975</v>
      </c>
      <c r="BC105" s="702">
        <v>115975</v>
      </c>
      <c r="BD105" s="702">
        <v>115975</v>
      </c>
      <c r="BE105" s="702">
        <v>107771</v>
      </c>
      <c r="BF105" s="702">
        <v>8548</v>
      </c>
      <c r="BG105" s="702">
        <v>0</v>
      </c>
      <c r="BH105" s="702">
        <v>0</v>
      </c>
      <c r="BI105" s="702">
        <v>0</v>
      </c>
      <c r="BJ105" s="702">
        <v>0</v>
      </c>
      <c r="BK105" s="702">
        <v>0</v>
      </c>
      <c r="BL105" s="702">
        <v>0</v>
      </c>
      <c r="BM105" s="702">
        <v>0</v>
      </c>
      <c r="BN105" s="702">
        <v>0</v>
      </c>
      <c r="BO105" s="702">
        <v>0</v>
      </c>
      <c r="BP105" s="702">
        <v>0</v>
      </c>
      <c r="BQ105" s="702">
        <v>0</v>
      </c>
      <c r="BR105" s="702">
        <v>0</v>
      </c>
      <c r="BS105" s="702">
        <v>0</v>
      </c>
      <c r="BT105" s="703">
        <v>0</v>
      </c>
      <c r="BU105" s="165"/>
    </row>
    <row r="106" spans="1:73" ht="15.75">
      <c r="B106" s="694"/>
      <c r="C106" s="694" t="s">
        <v>499</v>
      </c>
      <c r="D106" s="694" t="s">
        <v>107</v>
      </c>
      <c r="E106" s="694" t="s">
        <v>686</v>
      </c>
      <c r="F106" s="694"/>
      <c r="G106" s="694"/>
      <c r="H106" s="694">
        <v>2015</v>
      </c>
      <c r="I106" s="646" t="s">
        <v>574</v>
      </c>
      <c r="J106" s="646" t="s">
        <v>588</v>
      </c>
      <c r="K106" s="635"/>
      <c r="L106" s="698">
        <v>0</v>
      </c>
      <c r="M106" s="699">
        <v>0</v>
      </c>
      <c r="N106" s="699">
        <v>0</v>
      </c>
      <c r="O106" s="699">
        <v>0</v>
      </c>
      <c r="P106" s="699">
        <v>0</v>
      </c>
      <c r="Q106" s="699">
        <v>0</v>
      </c>
      <c r="R106" s="699">
        <v>0</v>
      </c>
      <c r="S106" s="699">
        <v>0</v>
      </c>
      <c r="T106" s="699">
        <v>0</v>
      </c>
      <c r="U106" s="699">
        <v>0</v>
      </c>
      <c r="V106" s="699">
        <v>0</v>
      </c>
      <c r="W106" s="699">
        <v>0</v>
      </c>
      <c r="X106" s="699">
        <v>0</v>
      </c>
      <c r="Y106" s="699">
        <v>0</v>
      </c>
      <c r="Z106" s="699">
        <v>0</v>
      </c>
      <c r="AA106" s="699">
        <v>0</v>
      </c>
      <c r="AB106" s="699">
        <v>0</v>
      </c>
      <c r="AC106" s="699">
        <v>0</v>
      </c>
      <c r="AD106" s="699">
        <v>0</v>
      </c>
      <c r="AE106" s="699">
        <v>0</v>
      </c>
      <c r="AF106" s="699">
        <v>0</v>
      </c>
      <c r="AG106" s="699">
        <v>0</v>
      </c>
      <c r="AH106" s="699">
        <v>0</v>
      </c>
      <c r="AI106" s="699">
        <v>0</v>
      </c>
      <c r="AJ106" s="699">
        <v>0</v>
      </c>
      <c r="AK106" s="699">
        <v>0</v>
      </c>
      <c r="AL106" s="699">
        <v>0</v>
      </c>
      <c r="AM106" s="699">
        <v>0</v>
      </c>
      <c r="AN106" s="699">
        <v>0</v>
      </c>
      <c r="AO106" s="700">
        <v>0</v>
      </c>
      <c r="AP106" s="635"/>
      <c r="AQ106" s="698">
        <v>0</v>
      </c>
      <c r="AR106" s="699">
        <v>0</v>
      </c>
      <c r="AS106" s="699">
        <v>0</v>
      </c>
      <c r="AT106" s="699">
        <v>0</v>
      </c>
      <c r="AU106" s="699">
        <v>10350</v>
      </c>
      <c r="AV106" s="699">
        <v>0</v>
      </c>
      <c r="AW106" s="699">
        <v>0</v>
      </c>
      <c r="AX106" s="699">
        <v>0</v>
      </c>
      <c r="AY106" s="699">
        <v>0</v>
      </c>
      <c r="AZ106" s="699">
        <v>0</v>
      </c>
      <c r="BA106" s="699">
        <v>0</v>
      </c>
      <c r="BB106" s="699">
        <v>0</v>
      </c>
      <c r="BC106" s="699">
        <v>0</v>
      </c>
      <c r="BD106" s="699">
        <v>0</v>
      </c>
      <c r="BE106" s="699">
        <v>0</v>
      </c>
      <c r="BF106" s="699">
        <v>0</v>
      </c>
      <c r="BG106" s="699">
        <v>0</v>
      </c>
      <c r="BH106" s="699">
        <v>0</v>
      </c>
      <c r="BI106" s="699">
        <v>0</v>
      </c>
      <c r="BJ106" s="699">
        <v>0</v>
      </c>
      <c r="BK106" s="699">
        <v>0</v>
      </c>
      <c r="BL106" s="699">
        <v>0</v>
      </c>
      <c r="BM106" s="699">
        <v>0</v>
      </c>
      <c r="BN106" s="699">
        <v>0</v>
      </c>
      <c r="BO106" s="699">
        <v>0</v>
      </c>
      <c r="BP106" s="699">
        <v>0</v>
      </c>
      <c r="BQ106" s="699">
        <v>0</v>
      </c>
      <c r="BR106" s="699">
        <v>0</v>
      </c>
      <c r="BS106" s="699">
        <v>0</v>
      </c>
      <c r="BT106" s="700">
        <v>0</v>
      </c>
      <c r="BU106" s="165"/>
    </row>
    <row r="107" spans="1:73">
      <c r="B107" s="694"/>
      <c r="C107" s="694" t="s">
        <v>499</v>
      </c>
      <c r="D107" s="694" t="s">
        <v>106</v>
      </c>
      <c r="E107" s="694" t="s">
        <v>686</v>
      </c>
      <c r="F107" s="694"/>
      <c r="G107" s="694"/>
      <c r="H107" s="694">
        <v>2015</v>
      </c>
      <c r="I107" s="646" t="s">
        <v>574</v>
      </c>
      <c r="J107" s="646" t="s">
        <v>588</v>
      </c>
      <c r="K107" s="635"/>
      <c r="L107" s="698">
        <v>0</v>
      </c>
      <c r="M107" s="699">
        <v>0</v>
      </c>
      <c r="N107" s="699">
        <v>0</v>
      </c>
      <c r="O107" s="699">
        <v>0</v>
      </c>
      <c r="P107" s="699">
        <v>0</v>
      </c>
      <c r="Q107" s="699">
        <v>0</v>
      </c>
      <c r="R107" s="699">
        <v>0</v>
      </c>
      <c r="S107" s="699">
        <v>0</v>
      </c>
      <c r="T107" s="699">
        <v>0</v>
      </c>
      <c r="U107" s="699">
        <v>0</v>
      </c>
      <c r="V107" s="699">
        <v>0</v>
      </c>
      <c r="W107" s="699">
        <v>0</v>
      </c>
      <c r="X107" s="699">
        <v>0</v>
      </c>
      <c r="Y107" s="699">
        <v>0</v>
      </c>
      <c r="Z107" s="699">
        <v>0</v>
      </c>
      <c r="AA107" s="699">
        <v>0</v>
      </c>
      <c r="AB107" s="699">
        <v>0</v>
      </c>
      <c r="AC107" s="699">
        <v>0</v>
      </c>
      <c r="AD107" s="699">
        <v>0</v>
      </c>
      <c r="AE107" s="699">
        <v>0</v>
      </c>
      <c r="AF107" s="699">
        <v>0</v>
      </c>
      <c r="AG107" s="699">
        <v>0</v>
      </c>
      <c r="AH107" s="699">
        <v>0</v>
      </c>
      <c r="AI107" s="699">
        <v>0</v>
      </c>
      <c r="AJ107" s="699">
        <v>0</v>
      </c>
      <c r="AK107" s="699">
        <v>0</v>
      </c>
      <c r="AL107" s="699">
        <v>0</v>
      </c>
      <c r="AM107" s="699">
        <v>0</v>
      </c>
      <c r="AN107" s="699">
        <v>0</v>
      </c>
      <c r="AO107" s="700">
        <v>0</v>
      </c>
      <c r="AP107" s="635"/>
      <c r="AQ107" s="698">
        <v>0</v>
      </c>
      <c r="AR107" s="699">
        <v>0</v>
      </c>
      <c r="AS107" s="699">
        <v>0</v>
      </c>
      <c r="AT107" s="699">
        <v>0</v>
      </c>
      <c r="AU107" s="699">
        <v>244000</v>
      </c>
      <c r="AV107" s="699">
        <v>0</v>
      </c>
      <c r="AW107" s="699">
        <v>0</v>
      </c>
      <c r="AX107" s="699">
        <v>0</v>
      </c>
      <c r="AY107" s="699">
        <v>0</v>
      </c>
      <c r="AZ107" s="699">
        <v>0</v>
      </c>
      <c r="BA107" s="699">
        <v>0</v>
      </c>
      <c r="BB107" s="699">
        <v>0</v>
      </c>
      <c r="BC107" s="699">
        <v>0</v>
      </c>
      <c r="BD107" s="699">
        <v>0</v>
      </c>
      <c r="BE107" s="699">
        <v>0</v>
      </c>
      <c r="BF107" s="699">
        <v>0</v>
      </c>
      <c r="BG107" s="699">
        <v>0</v>
      </c>
      <c r="BH107" s="699">
        <v>0</v>
      </c>
      <c r="BI107" s="699">
        <v>0</v>
      </c>
      <c r="BJ107" s="699">
        <v>0</v>
      </c>
      <c r="BK107" s="699">
        <v>0</v>
      </c>
      <c r="BL107" s="699">
        <v>0</v>
      </c>
      <c r="BM107" s="699">
        <v>0</v>
      </c>
      <c r="BN107" s="699">
        <v>0</v>
      </c>
      <c r="BO107" s="699">
        <v>0</v>
      </c>
      <c r="BP107" s="699">
        <v>0</v>
      </c>
      <c r="BQ107" s="699">
        <v>0</v>
      </c>
      <c r="BR107" s="699">
        <v>0</v>
      </c>
      <c r="BS107" s="699">
        <v>0</v>
      </c>
      <c r="BT107" s="700">
        <v>0</v>
      </c>
    </row>
    <row r="108" spans="1:73">
      <c r="B108" s="694"/>
      <c r="C108" s="694" t="s">
        <v>499</v>
      </c>
      <c r="D108" s="694" t="s">
        <v>109</v>
      </c>
      <c r="E108" s="694" t="s">
        <v>686</v>
      </c>
      <c r="F108" s="694"/>
      <c r="G108" s="694"/>
      <c r="H108" s="694">
        <v>2015</v>
      </c>
      <c r="I108" s="646" t="s">
        <v>574</v>
      </c>
      <c r="J108" s="646" t="s">
        <v>588</v>
      </c>
      <c r="K108" s="635"/>
      <c r="L108" s="698">
        <v>0</v>
      </c>
      <c r="M108" s="699">
        <v>0</v>
      </c>
      <c r="N108" s="699">
        <v>0</v>
      </c>
      <c r="O108" s="699">
        <v>0</v>
      </c>
      <c r="P108" s="699">
        <v>1</v>
      </c>
      <c r="Q108" s="699">
        <v>1</v>
      </c>
      <c r="R108" s="699">
        <v>1</v>
      </c>
      <c r="S108" s="699">
        <v>1</v>
      </c>
      <c r="T108" s="699">
        <v>1</v>
      </c>
      <c r="U108" s="699">
        <v>1</v>
      </c>
      <c r="V108" s="699">
        <v>1</v>
      </c>
      <c r="W108" s="699">
        <v>1</v>
      </c>
      <c r="X108" s="699">
        <v>1</v>
      </c>
      <c r="Y108" s="699">
        <v>1</v>
      </c>
      <c r="Z108" s="699">
        <v>1</v>
      </c>
      <c r="AA108" s="699">
        <v>1</v>
      </c>
      <c r="AB108" s="699">
        <v>0</v>
      </c>
      <c r="AC108" s="699">
        <v>0</v>
      </c>
      <c r="AD108" s="699">
        <v>0</v>
      </c>
      <c r="AE108" s="699">
        <v>0</v>
      </c>
      <c r="AF108" s="699">
        <v>0</v>
      </c>
      <c r="AG108" s="699">
        <v>0</v>
      </c>
      <c r="AH108" s="699">
        <v>0</v>
      </c>
      <c r="AI108" s="699">
        <v>0</v>
      </c>
      <c r="AJ108" s="699">
        <v>0</v>
      </c>
      <c r="AK108" s="699">
        <v>0</v>
      </c>
      <c r="AL108" s="699">
        <v>0</v>
      </c>
      <c r="AM108" s="699">
        <v>0</v>
      </c>
      <c r="AN108" s="699">
        <v>0</v>
      </c>
      <c r="AO108" s="700">
        <v>0</v>
      </c>
      <c r="AP108" s="635"/>
      <c r="AQ108" s="698">
        <v>0</v>
      </c>
      <c r="AR108" s="699">
        <v>0</v>
      </c>
      <c r="AS108" s="699">
        <v>0</v>
      </c>
      <c r="AT108" s="699">
        <v>0</v>
      </c>
      <c r="AU108" s="699">
        <v>14599</v>
      </c>
      <c r="AV108" s="699">
        <v>11059</v>
      </c>
      <c r="AW108" s="699">
        <v>10434</v>
      </c>
      <c r="AX108" s="699">
        <v>9837</v>
      </c>
      <c r="AY108" s="699">
        <v>9837</v>
      </c>
      <c r="AZ108" s="699">
        <v>9837</v>
      </c>
      <c r="BA108" s="699">
        <v>9085</v>
      </c>
      <c r="BB108" s="699">
        <v>9085</v>
      </c>
      <c r="BC108" s="699">
        <v>3977</v>
      </c>
      <c r="BD108" s="699">
        <v>3977</v>
      </c>
      <c r="BE108" s="699">
        <v>3924</v>
      </c>
      <c r="BF108" s="699">
        <v>3924</v>
      </c>
      <c r="BG108" s="699">
        <v>3682</v>
      </c>
      <c r="BH108" s="699">
        <v>3682</v>
      </c>
      <c r="BI108" s="699">
        <v>0</v>
      </c>
      <c r="BJ108" s="699">
        <v>0</v>
      </c>
      <c r="BK108" s="699">
        <v>0</v>
      </c>
      <c r="BL108" s="699">
        <v>0</v>
      </c>
      <c r="BM108" s="699">
        <v>0</v>
      </c>
      <c r="BN108" s="699">
        <v>0</v>
      </c>
      <c r="BO108" s="699">
        <v>0</v>
      </c>
      <c r="BP108" s="699">
        <v>0</v>
      </c>
      <c r="BQ108" s="699">
        <v>0</v>
      </c>
      <c r="BR108" s="699">
        <v>0</v>
      </c>
      <c r="BS108" s="699">
        <v>0</v>
      </c>
      <c r="BT108" s="700">
        <v>0</v>
      </c>
    </row>
    <row r="109" spans="1:73" ht="15.75">
      <c r="B109" s="694"/>
      <c r="C109" s="694" t="s">
        <v>498</v>
      </c>
      <c r="D109" s="694" t="s">
        <v>119</v>
      </c>
      <c r="E109" s="694" t="s">
        <v>686</v>
      </c>
      <c r="F109" s="694"/>
      <c r="G109" s="694"/>
      <c r="H109" s="694">
        <v>2015</v>
      </c>
      <c r="I109" s="646" t="s">
        <v>574</v>
      </c>
      <c r="J109" s="646" t="s">
        <v>588</v>
      </c>
      <c r="K109" s="635"/>
      <c r="L109" s="701">
        <v>0</v>
      </c>
      <c r="M109" s="702">
        <v>0</v>
      </c>
      <c r="N109" s="702">
        <v>0</v>
      </c>
      <c r="O109" s="702">
        <v>0</v>
      </c>
      <c r="P109" s="702">
        <v>10</v>
      </c>
      <c r="Q109" s="702">
        <v>10</v>
      </c>
      <c r="R109" s="702">
        <v>10</v>
      </c>
      <c r="S109" s="702">
        <v>10</v>
      </c>
      <c r="T109" s="702">
        <v>10</v>
      </c>
      <c r="U109" s="702">
        <v>10</v>
      </c>
      <c r="V109" s="702">
        <v>10</v>
      </c>
      <c r="W109" s="702">
        <v>10</v>
      </c>
      <c r="X109" s="702">
        <v>7</v>
      </c>
      <c r="Y109" s="702">
        <v>6</v>
      </c>
      <c r="Z109" s="702">
        <v>2</v>
      </c>
      <c r="AA109" s="702">
        <v>2</v>
      </c>
      <c r="AB109" s="702">
        <v>0</v>
      </c>
      <c r="AC109" s="702">
        <v>0</v>
      </c>
      <c r="AD109" s="702">
        <v>0</v>
      </c>
      <c r="AE109" s="702">
        <v>0</v>
      </c>
      <c r="AF109" s="702">
        <v>0</v>
      </c>
      <c r="AG109" s="702">
        <v>0</v>
      </c>
      <c r="AH109" s="702">
        <v>0</v>
      </c>
      <c r="AI109" s="702">
        <v>0</v>
      </c>
      <c r="AJ109" s="702">
        <v>0</v>
      </c>
      <c r="AK109" s="702">
        <v>0</v>
      </c>
      <c r="AL109" s="702">
        <v>0</v>
      </c>
      <c r="AM109" s="702">
        <v>0</v>
      </c>
      <c r="AN109" s="702">
        <v>0</v>
      </c>
      <c r="AO109" s="703">
        <v>0</v>
      </c>
      <c r="AP109" s="635"/>
      <c r="AQ109" s="701">
        <v>0</v>
      </c>
      <c r="AR109" s="702">
        <v>0</v>
      </c>
      <c r="AS109" s="702">
        <v>0</v>
      </c>
      <c r="AT109" s="702">
        <v>0</v>
      </c>
      <c r="AU109" s="702">
        <v>75468</v>
      </c>
      <c r="AV109" s="702">
        <v>75468</v>
      </c>
      <c r="AW109" s="702">
        <v>75468</v>
      </c>
      <c r="AX109" s="702">
        <v>75468</v>
      </c>
      <c r="AY109" s="702">
        <v>75468</v>
      </c>
      <c r="AZ109" s="702">
        <v>75468</v>
      </c>
      <c r="BA109" s="702">
        <v>71900</v>
      </c>
      <c r="BB109" s="702">
        <v>71900</v>
      </c>
      <c r="BC109" s="702">
        <v>63716</v>
      </c>
      <c r="BD109" s="702">
        <v>52087</v>
      </c>
      <c r="BE109" s="702">
        <v>24322</v>
      </c>
      <c r="BF109" s="702">
        <v>24322</v>
      </c>
      <c r="BG109" s="702">
        <v>154</v>
      </c>
      <c r="BH109" s="702">
        <v>154</v>
      </c>
      <c r="BI109" s="702">
        <v>154</v>
      </c>
      <c r="BJ109" s="702">
        <v>154</v>
      </c>
      <c r="BK109" s="702">
        <v>154</v>
      </c>
      <c r="BL109" s="702">
        <v>154</v>
      </c>
      <c r="BM109" s="702">
        <v>154</v>
      </c>
      <c r="BN109" s="702">
        <v>154</v>
      </c>
      <c r="BO109" s="702">
        <v>0</v>
      </c>
      <c r="BP109" s="702">
        <v>0</v>
      </c>
      <c r="BQ109" s="702">
        <v>0</v>
      </c>
      <c r="BR109" s="702">
        <v>0</v>
      </c>
      <c r="BS109" s="702">
        <v>0</v>
      </c>
      <c r="BT109" s="703">
        <v>0</v>
      </c>
      <c r="BU109" s="165"/>
    </row>
    <row r="110" spans="1:73" s="763" customFormat="1" ht="15.75">
      <c r="B110" s="694"/>
      <c r="C110" s="694" t="s">
        <v>498</v>
      </c>
      <c r="D110" s="694" t="s">
        <v>119</v>
      </c>
      <c r="E110" s="694" t="s">
        <v>686</v>
      </c>
      <c r="F110" s="694"/>
      <c r="G110" s="694"/>
      <c r="H110" s="694">
        <v>2015</v>
      </c>
      <c r="I110" s="646" t="s">
        <v>575</v>
      </c>
      <c r="J110" s="646" t="s">
        <v>581</v>
      </c>
      <c r="K110" s="760"/>
      <c r="L110" s="701">
        <v>0</v>
      </c>
      <c r="M110" s="702">
        <v>0</v>
      </c>
      <c r="N110" s="702">
        <v>0</v>
      </c>
      <c r="O110" s="702">
        <v>0</v>
      </c>
      <c r="P110" s="702">
        <v>24</v>
      </c>
      <c r="Q110" s="702">
        <v>24</v>
      </c>
      <c r="R110" s="702">
        <v>24</v>
      </c>
      <c r="S110" s="702">
        <v>24</v>
      </c>
      <c r="T110" s="702">
        <v>24</v>
      </c>
      <c r="U110" s="702">
        <v>24</v>
      </c>
      <c r="V110" s="702">
        <v>22</v>
      </c>
      <c r="W110" s="702">
        <v>22</v>
      </c>
      <c r="X110" s="702">
        <v>22</v>
      </c>
      <c r="Y110" s="702">
        <v>16</v>
      </c>
      <c r="Z110" s="702">
        <v>1</v>
      </c>
      <c r="AA110" s="702">
        <v>1</v>
      </c>
      <c r="AB110" s="702">
        <v>0</v>
      </c>
      <c r="AC110" s="702">
        <v>0</v>
      </c>
      <c r="AD110" s="702">
        <v>0</v>
      </c>
      <c r="AE110" s="702">
        <v>0</v>
      </c>
      <c r="AF110" s="702">
        <v>0</v>
      </c>
      <c r="AG110" s="702">
        <v>0</v>
      </c>
      <c r="AH110" s="702">
        <v>0</v>
      </c>
      <c r="AI110" s="702">
        <v>0</v>
      </c>
      <c r="AJ110" s="702">
        <v>0</v>
      </c>
      <c r="AK110" s="702">
        <v>0</v>
      </c>
      <c r="AL110" s="702">
        <v>0</v>
      </c>
      <c r="AM110" s="702">
        <v>0</v>
      </c>
      <c r="AN110" s="702">
        <v>0</v>
      </c>
      <c r="AO110" s="703">
        <v>0</v>
      </c>
      <c r="AP110" s="760"/>
      <c r="AQ110" s="701">
        <v>0</v>
      </c>
      <c r="AR110" s="702">
        <v>0</v>
      </c>
      <c r="AS110" s="702">
        <v>0</v>
      </c>
      <c r="AT110" s="702">
        <v>0</v>
      </c>
      <c r="AU110" s="702">
        <v>192374</v>
      </c>
      <c r="AV110" s="702">
        <v>192374</v>
      </c>
      <c r="AW110" s="702">
        <v>192374</v>
      </c>
      <c r="AX110" s="702">
        <v>192374</v>
      </c>
      <c r="AY110" s="702">
        <v>192374</v>
      </c>
      <c r="AZ110" s="702">
        <v>192374</v>
      </c>
      <c r="BA110" s="702">
        <v>178364</v>
      </c>
      <c r="BB110" s="702">
        <v>178364</v>
      </c>
      <c r="BC110" s="702">
        <v>178364</v>
      </c>
      <c r="BD110" s="702">
        <v>134120</v>
      </c>
      <c r="BE110" s="702">
        <v>27879</v>
      </c>
      <c r="BF110" s="702">
        <v>27879</v>
      </c>
      <c r="BG110" s="702">
        <v>0</v>
      </c>
      <c r="BH110" s="702">
        <v>0</v>
      </c>
      <c r="BI110" s="702">
        <v>0</v>
      </c>
      <c r="BJ110" s="702">
        <v>0</v>
      </c>
      <c r="BK110" s="702">
        <v>0</v>
      </c>
      <c r="BL110" s="702">
        <v>0</v>
      </c>
      <c r="BM110" s="702">
        <v>0</v>
      </c>
      <c r="BN110" s="702">
        <v>0</v>
      </c>
      <c r="BO110" s="702">
        <v>0</v>
      </c>
      <c r="BP110" s="702">
        <v>0</v>
      </c>
      <c r="BQ110" s="702">
        <v>0</v>
      </c>
      <c r="BR110" s="702">
        <v>0</v>
      </c>
      <c r="BS110" s="702">
        <v>0</v>
      </c>
      <c r="BT110" s="703">
        <v>0</v>
      </c>
      <c r="BU110" s="764"/>
    </row>
    <row r="111" spans="1:73">
      <c r="B111" s="694"/>
      <c r="C111" s="694" t="s">
        <v>499</v>
      </c>
      <c r="D111" s="694" t="s">
        <v>95</v>
      </c>
      <c r="E111" s="694" t="s">
        <v>686</v>
      </c>
      <c r="F111" s="694"/>
      <c r="G111" s="694"/>
      <c r="H111" s="694">
        <v>2015</v>
      </c>
      <c r="I111" s="646" t="s">
        <v>575</v>
      </c>
      <c r="J111" s="646" t="s">
        <v>581</v>
      </c>
      <c r="K111" s="635"/>
      <c r="L111" s="701">
        <v>0</v>
      </c>
      <c r="M111" s="702">
        <v>0</v>
      </c>
      <c r="N111" s="702">
        <v>0</v>
      </c>
      <c r="O111" s="702">
        <v>0</v>
      </c>
      <c r="P111" s="702">
        <v>6</v>
      </c>
      <c r="Q111" s="702">
        <v>6</v>
      </c>
      <c r="R111" s="702">
        <v>6</v>
      </c>
      <c r="S111" s="702">
        <v>6</v>
      </c>
      <c r="T111" s="702">
        <v>6</v>
      </c>
      <c r="U111" s="702">
        <v>6</v>
      </c>
      <c r="V111" s="702">
        <v>6</v>
      </c>
      <c r="W111" s="702">
        <v>6</v>
      </c>
      <c r="X111" s="702">
        <v>6</v>
      </c>
      <c r="Y111" s="702">
        <v>6</v>
      </c>
      <c r="Z111" s="702">
        <v>5</v>
      </c>
      <c r="AA111" s="702">
        <v>5</v>
      </c>
      <c r="AB111" s="702">
        <v>5</v>
      </c>
      <c r="AC111" s="702">
        <v>5</v>
      </c>
      <c r="AD111" s="702">
        <v>5</v>
      </c>
      <c r="AE111" s="702">
        <v>5</v>
      </c>
      <c r="AF111" s="702">
        <v>3</v>
      </c>
      <c r="AG111" s="702">
        <v>3</v>
      </c>
      <c r="AH111" s="702">
        <v>3</v>
      </c>
      <c r="AI111" s="702">
        <v>3</v>
      </c>
      <c r="AJ111" s="702">
        <v>0</v>
      </c>
      <c r="AK111" s="702">
        <v>0</v>
      </c>
      <c r="AL111" s="702">
        <v>0</v>
      </c>
      <c r="AM111" s="702">
        <v>0</v>
      </c>
      <c r="AN111" s="702">
        <v>0</v>
      </c>
      <c r="AO111" s="703">
        <v>0</v>
      </c>
      <c r="AP111" s="635"/>
      <c r="AQ111" s="701">
        <v>0</v>
      </c>
      <c r="AR111" s="702">
        <v>0</v>
      </c>
      <c r="AS111" s="702">
        <v>0</v>
      </c>
      <c r="AT111" s="702">
        <v>0</v>
      </c>
      <c r="AU111" s="702">
        <v>87602</v>
      </c>
      <c r="AV111" s="702">
        <v>86378</v>
      </c>
      <c r="AW111" s="702">
        <v>86378</v>
      </c>
      <c r="AX111" s="702">
        <v>86378</v>
      </c>
      <c r="AY111" s="702">
        <v>86378</v>
      </c>
      <c r="AZ111" s="702">
        <v>86378</v>
      </c>
      <c r="BA111" s="702">
        <v>86378</v>
      </c>
      <c r="BB111" s="702">
        <v>86349</v>
      </c>
      <c r="BC111" s="702">
        <v>86349</v>
      </c>
      <c r="BD111" s="702">
        <v>86349</v>
      </c>
      <c r="BE111" s="702">
        <v>83486</v>
      </c>
      <c r="BF111" s="702">
        <v>83407</v>
      </c>
      <c r="BG111" s="702">
        <v>83407</v>
      </c>
      <c r="BH111" s="702">
        <v>82566</v>
      </c>
      <c r="BI111" s="702">
        <v>82566</v>
      </c>
      <c r="BJ111" s="702">
        <v>82437</v>
      </c>
      <c r="BK111" s="702">
        <v>40837</v>
      </c>
      <c r="BL111" s="702">
        <v>40837</v>
      </c>
      <c r="BM111" s="702">
        <v>40837</v>
      </c>
      <c r="BN111" s="702">
        <v>40837</v>
      </c>
      <c r="BO111" s="702">
        <v>0</v>
      </c>
      <c r="BP111" s="702">
        <v>0</v>
      </c>
      <c r="BQ111" s="702">
        <v>0</v>
      </c>
      <c r="BR111" s="702">
        <v>0</v>
      </c>
      <c r="BS111" s="702">
        <v>0</v>
      </c>
      <c r="BT111" s="703">
        <v>0</v>
      </c>
    </row>
    <row r="112" spans="1:73">
      <c r="B112" s="694"/>
      <c r="C112" s="694" t="s">
        <v>499</v>
      </c>
      <c r="D112" s="694" t="s">
        <v>96</v>
      </c>
      <c r="E112" s="694" t="s">
        <v>686</v>
      </c>
      <c r="F112" s="694"/>
      <c r="G112" s="694"/>
      <c r="H112" s="694">
        <v>2015</v>
      </c>
      <c r="I112" s="646" t="s">
        <v>575</v>
      </c>
      <c r="J112" s="646" t="s">
        <v>581</v>
      </c>
      <c r="K112" s="635"/>
      <c r="L112" s="701">
        <v>0</v>
      </c>
      <c r="M112" s="702">
        <v>0</v>
      </c>
      <c r="N112" s="702">
        <v>0</v>
      </c>
      <c r="O112" s="702">
        <v>0</v>
      </c>
      <c r="P112" s="702">
        <v>1</v>
      </c>
      <c r="Q112" s="702">
        <v>1</v>
      </c>
      <c r="R112" s="702">
        <v>1</v>
      </c>
      <c r="S112" s="702">
        <v>1</v>
      </c>
      <c r="T112" s="702">
        <v>1</v>
      </c>
      <c r="U112" s="702">
        <v>1</v>
      </c>
      <c r="V112" s="702">
        <v>1</v>
      </c>
      <c r="W112" s="702">
        <v>1</v>
      </c>
      <c r="X112" s="702">
        <v>1</v>
      </c>
      <c r="Y112" s="702">
        <v>1</v>
      </c>
      <c r="Z112" s="702">
        <v>0</v>
      </c>
      <c r="AA112" s="702">
        <v>0</v>
      </c>
      <c r="AB112" s="702">
        <v>0</v>
      </c>
      <c r="AC112" s="702">
        <v>0</v>
      </c>
      <c r="AD112" s="702">
        <v>0</v>
      </c>
      <c r="AE112" s="702">
        <v>0</v>
      </c>
      <c r="AF112" s="702">
        <v>0</v>
      </c>
      <c r="AG112" s="702">
        <v>0</v>
      </c>
      <c r="AH112" s="702">
        <v>0</v>
      </c>
      <c r="AI112" s="702">
        <v>0</v>
      </c>
      <c r="AJ112" s="702">
        <v>0</v>
      </c>
      <c r="AK112" s="702">
        <v>0</v>
      </c>
      <c r="AL112" s="702">
        <v>0</v>
      </c>
      <c r="AM112" s="702">
        <v>0</v>
      </c>
      <c r="AN112" s="702">
        <v>0</v>
      </c>
      <c r="AO112" s="703">
        <v>0</v>
      </c>
      <c r="AP112" s="635"/>
      <c r="AQ112" s="701">
        <v>0</v>
      </c>
      <c r="AR112" s="702">
        <v>0</v>
      </c>
      <c r="AS112" s="702">
        <v>0</v>
      </c>
      <c r="AT112" s="702">
        <v>0</v>
      </c>
      <c r="AU112" s="702">
        <v>8401</v>
      </c>
      <c r="AV112" s="702">
        <v>8302</v>
      </c>
      <c r="AW112" s="702">
        <v>8302</v>
      </c>
      <c r="AX112" s="702">
        <v>8302</v>
      </c>
      <c r="AY112" s="702">
        <v>8302</v>
      </c>
      <c r="AZ112" s="702">
        <v>8302</v>
      </c>
      <c r="BA112" s="702">
        <v>8302</v>
      </c>
      <c r="BB112" s="702">
        <v>8281</v>
      </c>
      <c r="BC112" s="702">
        <v>8281</v>
      </c>
      <c r="BD112" s="702">
        <v>8281</v>
      </c>
      <c r="BE112" s="702">
        <v>7023</v>
      </c>
      <c r="BF112" s="702">
        <v>6966</v>
      </c>
      <c r="BG112" s="702">
        <v>6966</v>
      </c>
      <c r="BH112" s="702">
        <v>6752</v>
      </c>
      <c r="BI112" s="702">
        <v>6752</v>
      </c>
      <c r="BJ112" s="702">
        <v>6727</v>
      </c>
      <c r="BK112" s="702">
        <v>2811</v>
      </c>
      <c r="BL112" s="702">
        <v>2811</v>
      </c>
      <c r="BM112" s="702">
        <v>2811</v>
      </c>
      <c r="BN112" s="702">
        <v>2811</v>
      </c>
      <c r="BO112" s="702">
        <v>0</v>
      </c>
      <c r="BP112" s="702">
        <v>0</v>
      </c>
      <c r="BQ112" s="702">
        <v>0</v>
      </c>
      <c r="BR112" s="702">
        <v>0</v>
      </c>
      <c r="BS112" s="702">
        <v>0</v>
      </c>
      <c r="BT112" s="703">
        <v>0</v>
      </c>
    </row>
    <row r="113" spans="2:72">
      <c r="B113" s="694"/>
      <c r="C113" s="694" t="s">
        <v>499</v>
      </c>
      <c r="D113" s="694" t="s">
        <v>707</v>
      </c>
      <c r="E113" s="694" t="s">
        <v>686</v>
      </c>
      <c r="F113" s="694"/>
      <c r="G113" s="694"/>
      <c r="H113" s="694">
        <v>2015</v>
      </c>
      <c r="I113" s="646" t="s">
        <v>575</v>
      </c>
      <c r="J113" s="646" t="s">
        <v>581</v>
      </c>
      <c r="K113" s="635"/>
      <c r="L113" s="701">
        <v>0</v>
      </c>
      <c r="M113" s="702">
        <v>0</v>
      </c>
      <c r="N113" s="702">
        <v>0</v>
      </c>
      <c r="O113" s="702">
        <v>0</v>
      </c>
      <c r="P113" s="702">
        <v>15</v>
      </c>
      <c r="Q113" s="702">
        <v>15</v>
      </c>
      <c r="R113" s="702">
        <v>15</v>
      </c>
      <c r="S113" s="702">
        <v>15</v>
      </c>
      <c r="T113" s="702">
        <v>15</v>
      </c>
      <c r="U113" s="702">
        <v>15</v>
      </c>
      <c r="V113" s="702">
        <v>15</v>
      </c>
      <c r="W113" s="702">
        <v>15</v>
      </c>
      <c r="X113" s="702">
        <v>15</v>
      </c>
      <c r="Y113" s="702">
        <v>15</v>
      </c>
      <c r="Z113" s="702">
        <v>15</v>
      </c>
      <c r="AA113" s="702">
        <v>15</v>
      </c>
      <c r="AB113" s="702">
        <v>15</v>
      </c>
      <c r="AC113" s="702">
        <v>15</v>
      </c>
      <c r="AD113" s="702">
        <v>15</v>
      </c>
      <c r="AE113" s="702">
        <v>15</v>
      </c>
      <c r="AF113" s="702">
        <v>15</v>
      </c>
      <c r="AG113" s="702">
        <v>15</v>
      </c>
      <c r="AH113" s="702">
        <v>14</v>
      </c>
      <c r="AI113" s="702">
        <v>0</v>
      </c>
      <c r="AJ113" s="702">
        <v>0</v>
      </c>
      <c r="AK113" s="702">
        <v>0</v>
      </c>
      <c r="AL113" s="702">
        <v>0</v>
      </c>
      <c r="AM113" s="702">
        <v>0</v>
      </c>
      <c r="AN113" s="702">
        <v>0</v>
      </c>
      <c r="AO113" s="703">
        <v>0</v>
      </c>
      <c r="AP113" s="635"/>
      <c r="AQ113" s="701">
        <v>0</v>
      </c>
      <c r="AR113" s="702">
        <v>0</v>
      </c>
      <c r="AS113" s="702">
        <v>0</v>
      </c>
      <c r="AT113" s="702">
        <v>0</v>
      </c>
      <c r="AU113" s="702">
        <v>29105</v>
      </c>
      <c r="AV113" s="702">
        <v>29105</v>
      </c>
      <c r="AW113" s="702">
        <v>29105</v>
      </c>
      <c r="AX113" s="702">
        <v>29105</v>
      </c>
      <c r="AY113" s="702">
        <v>29105</v>
      </c>
      <c r="AZ113" s="702">
        <v>29105</v>
      </c>
      <c r="BA113" s="702">
        <v>29105</v>
      </c>
      <c r="BB113" s="702">
        <v>29105</v>
      </c>
      <c r="BC113" s="702">
        <v>29105</v>
      </c>
      <c r="BD113" s="702">
        <v>29105</v>
      </c>
      <c r="BE113" s="702">
        <v>29105</v>
      </c>
      <c r="BF113" s="702">
        <v>29105</v>
      </c>
      <c r="BG113" s="702">
        <v>29105</v>
      </c>
      <c r="BH113" s="702">
        <v>29105</v>
      </c>
      <c r="BI113" s="702">
        <v>29105</v>
      </c>
      <c r="BJ113" s="702">
        <v>29105</v>
      </c>
      <c r="BK113" s="702">
        <v>29105</v>
      </c>
      <c r="BL113" s="702">
        <v>29105</v>
      </c>
      <c r="BM113" s="702">
        <v>27898</v>
      </c>
      <c r="BN113" s="702">
        <v>0</v>
      </c>
      <c r="BO113" s="702">
        <v>0</v>
      </c>
      <c r="BP113" s="702">
        <v>0</v>
      </c>
      <c r="BQ113" s="702">
        <v>0</v>
      </c>
      <c r="BR113" s="702">
        <v>0</v>
      </c>
      <c r="BS113" s="702">
        <v>0</v>
      </c>
      <c r="BT113" s="703">
        <v>0</v>
      </c>
    </row>
    <row r="114" spans="2:72">
      <c r="B114" s="694"/>
      <c r="C114" s="694" t="s">
        <v>499</v>
      </c>
      <c r="D114" s="694" t="s">
        <v>101</v>
      </c>
      <c r="E114" s="694" t="s">
        <v>686</v>
      </c>
      <c r="F114" s="694"/>
      <c r="G114" s="694"/>
      <c r="H114" s="694">
        <v>2015</v>
      </c>
      <c r="I114" s="646" t="s">
        <v>575</v>
      </c>
      <c r="J114" s="646" t="s">
        <v>581</v>
      </c>
      <c r="K114" s="635"/>
      <c r="L114" s="701">
        <v>0</v>
      </c>
      <c r="M114" s="702">
        <v>0</v>
      </c>
      <c r="N114" s="702">
        <v>0</v>
      </c>
      <c r="O114" s="702">
        <v>0</v>
      </c>
      <c r="P114" s="702">
        <v>3</v>
      </c>
      <c r="Q114" s="702">
        <v>3</v>
      </c>
      <c r="R114" s="702">
        <v>3</v>
      </c>
      <c r="S114" s="702">
        <v>3</v>
      </c>
      <c r="T114" s="702">
        <v>3</v>
      </c>
      <c r="U114" s="702">
        <v>3</v>
      </c>
      <c r="V114" s="702">
        <v>3</v>
      </c>
      <c r="W114" s="702">
        <v>3</v>
      </c>
      <c r="X114" s="702">
        <v>3</v>
      </c>
      <c r="Y114" s="702">
        <v>3</v>
      </c>
      <c r="Z114" s="702">
        <v>3</v>
      </c>
      <c r="AA114" s="702">
        <v>3</v>
      </c>
      <c r="AB114" s="702">
        <v>3</v>
      </c>
      <c r="AC114" s="702">
        <v>3</v>
      </c>
      <c r="AD114" s="702">
        <v>3</v>
      </c>
      <c r="AE114" s="702">
        <v>3</v>
      </c>
      <c r="AF114" s="702">
        <v>2</v>
      </c>
      <c r="AG114" s="702">
        <v>2</v>
      </c>
      <c r="AH114" s="702">
        <v>2</v>
      </c>
      <c r="AI114" s="702">
        <v>2</v>
      </c>
      <c r="AJ114" s="702">
        <v>0</v>
      </c>
      <c r="AK114" s="702">
        <v>0</v>
      </c>
      <c r="AL114" s="702">
        <v>0</v>
      </c>
      <c r="AM114" s="702">
        <v>0</v>
      </c>
      <c r="AN114" s="702">
        <v>0</v>
      </c>
      <c r="AO114" s="703">
        <v>0</v>
      </c>
      <c r="AP114" s="635"/>
      <c r="AQ114" s="701">
        <v>0</v>
      </c>
      <c r="AR114" s="702">
        <v>0</v>
      </c>
      <c r="AS114" s="702">
        <v>0</v>
      </c>
      <c r="AT114" s="702">
        <v>0</v>
      </c>
      <c r="AU114" s="702">
        <v>9845</v>
      </c>
      <c r="AV114" s="702">
        <v>9845</v>
      </c>
      <c r="AW114" s="702">
        <v>9845</v>
      </c>
      <c r="AX114" s="702">
        <v>9845</v>
      </c>
      <c r="AY114" s="702">
        <v>9845</v>
      </c>
      <c r="AZ114" s="702">
        <v>9845</v>
      </c>
      <c r="BA114" s="702">
        <v>9845</v>
      </c>
      <c r="BB114" s="702">
        <v>9845</v>
      </c>
      <c r="BC114" s="702">
        <v>9845</v>
      </c>
      <c r="BD114" s="702">
        <v>9845</v>
      </c>
      <c r="BE114" s="702">
        <v>9845</v>
      </c>
      <c r="BF114" s="702">
        <v>9845</v>
      </c>
      <c r="BG114" s="702">
        <v>9845</v>
      </c>
      <c r="BH114" s="702">
        <v>9845</v>
      </c>
      <c r="BI114" s="702">
        <v>9845</v>
      </c>
      <c r="BJ114" s="702">
        <v>7787</v>
      </c>
      <c r="BK114" s="702">
        <v>6000</v>
      </c>
      <c r="BL114" s="702">
        <v>6000</v>
      </c>
      <c r="BM114" s="702">
        <v>6000</v>
      </c>
      <c r="BN114" s="702">
        <v>6000</v>
      </c>
      <c r="BO114" s="702">
        <v>0</v>
      </c>
      <c r="BP114" s="702">
        <v>0</v>
      </c>
      <c r="BQ114" s="702">
        <v>0</v>
      </c>
      <c r="BR114" s="702">
        <v>0</v>
      </c>
      <c r="BS114" s="702">
        <v>0</v>
      </c>
      <c r="BT114" s="703">
        <v>0</v>
      </c>
    </row>
    <row r="115" spans="2:72">
      <c r="B115" s="694"/>
      <c r="C115" s="694" t="s">
        <v>499</v>
      </c>
      <c r="D115" s="694" t="s">
        <v>103</v>
      </c>
      <c r="E115" s="694" t="s">
        <v>686</v>
      </c>
      <c r="F115" s="694"/>
      <c r="G115" s="694"/>
      <c r="H115" s="694">
        <v>2015</v>
      </c>
      <c r="I115" s="646" t="s">
        <v>575</v>
      </c>
      <c r="J115" s="646" t="s">
        <v>581</v>
      </c>
      <c r="K115" s="635"/>
      <c r="L115" s="701">
        <v>0</v>
      </c>
      <c r="M115" s="702">
        <v>0</v>
      </c>
      <c r="N115" s="702">
        <v>0</v>
      </c>
      <c r="O115" s="702">
        <v>0</v>
      </c>
      <c r="P115" s="702">
        <v>30</v>
      </c>
      <c r="Q115" s="702">
        <v>30</v>
      </c>
      <c r="R115" s="702">
        <v>30</v>
      </c>
      <c r="S115" s="702">
        <v>30</v>
      </c>
      <c r="T115" s="702">
        <v>30</v>
      </c>
      <c r="U115" s="702">
        <v>30</v>
      </c>
      <c r="V115" s="702">
        <v>30</v>
      </c>
      <c r="W115" s="702">
        <v>30</v>
      </c>
      <c r="X115" s="702">
        <v>30</v>
      </c>
      <c r="Y115" s="702">
        <v>30</v>
      </c>
      <c r="Z115" s="702">
        <v>30</v>
      </c>
      <c r="AA115" s="702">
        <v>30</v>
      </c>
      <c r="AB115" s="702">
        <v>30</v>
      </c>
      <c r="AC115" s="702">
        <v>30</v>
      </c>
      <c r="AD115" s="702">
        <v>13</v>
      </c>
      <c r="AE115" s="702">
        <v>0</v>
      </c>
      <c r="AF115" s="702">
        <v>0</v>
      </c>
      <c r="AG115" s="702">
        <v>0</v>
      </c>
      <c r="AH115" s="702">
        <v>0</v>
      </c>
      <c r="AI115" s="702">
        <v>0</v>
      </c>
      <c r="AJ115" s="702">
        <v>0</v>
      </c>
      <c r="AK115" s="702">
        <v>0</v>
      </c>
      <c r="AL115" s="702">
        <v>0</v>
      </c>
      <c r="AM115" s="702">
        <v>0</v>
      </c>
      <c r="AN115" s="702">
        <v>0</v>
      </c>
      <c r="AO115" s="703">
        <v>0</v>
      </c>
      <c r="AP115" s="635"/>
      <c r="AQ115" s="701">
        <v>0</v>
      </c>
      <c r="AR115" s="702">
        <v>0</v>
      </c>
      <c r="AS115" s="702">
        <v>0</v>
      </c>
      <c r="AT115" s="702">
        <v>0</v>
      </c>
      <c r="AU115" s="702">
        <v>84385</v>
      </c>
      <c r="AV115" s="702">
        <v>84385</v>
      </c>
      <c r="AW115" s="702">
        <v>84385</v>
      </c>
      <c r="AX115" s="702">
        <v>84385</v>
      </c>
      <c r="AY115" s="702">
        <v>84385</v>
      </c>
      <c r="AZ115" s="702">
        <v>84385</v>
      </c>
      <c r="BA115" s="702">
        <v>84385</v>
      </c>
      <c r="BB115" s="702">
        <v>84385</v>
      </c>
      <c r="BC115" s="702">
        <v>84385</v>
      </c>
      <c r="BD115" s="702">
        <v>84385</v>
      </c>
      <c r="BE115" s="702">
        <v>84385</v>
      </c>
      <c r="BF115" s="702">
        <v>84385</v>
      </c>
      <c r="BG115" s="702">
        <v>84385</v>
      </c>
      <c r="BH115" s="702">
        <v>84385</v>
      </c>
      <c r="BI115" s="702">
        <v>36615</v>
      </c>
      <c r="BJ115" s="702">
        <v>0</v>
      </c>
      <c r="BK115" s="702">
        <v>0</v>
      </c>
      <c r="BL115" s="702">
        <v>0</v>
      </c>
      <c r="BM115" s="702">
        <v>0</v>
      </c>
      <c r="BN115" s="702">
        <v>0</v>
      </c>
      <c r="BO115" s="702">
        <v>0</v>
      </c>
      <c r="BP115" s="702">
        <v>0</v>
      </c>
      <c r="BQ115" s="702">
        <v>0</v>
      </c>
      <c r="BR115" s="702">
        <v>0</v>
      </c>
      <c r="BS115" s="702">
        <v>0</v>
      </c>
      <c r="BT115" s="703">
        <v>0</v>
      </c>
    </row>
    <row r="116" spans="2:72">
      <c r="B116" s="694"/>
      <c r="C116" s="694" t="s">
        <v>498</v>
      </c>
      <c r="D116" s="694" t="s">
        <v>114</v>
      </c>
      <c r="E116" s="694" t="s">
        <v>686</v>
      </c>
      <c r="F116" s="694"/>
      <c r="G116" s="694"/>
      <c r="H116" s="694">
        <v>2016</v>
      </c>
      <c r="I116" s="646" t="s">
        <v>575</v>
      </c>
      <c r="J116" s="646" t="s">
        <v>588</v>
      </c>
      <c r="K116" s="635"/>
      <c r="L116" s="701">
        <v>0</v>
      </c>
      <c r="M116" s="702">
        <v>0</v>
      </c>
      <c r="N116" s="702">
        <v>0</v>
      </c>
      <c r="O116" s="702">
        <v>0</v>
      </c>
      <c r="P116" s="702">
        <v>0</v>
      </c>
      <c r="Q116" s="702">
        <v>353</v>
      </c>
      <c r="R116" s="702">
        <v>353</v>
      </c>
      <c r="S116" s="702">
        <v>353</v>
      </c>
      <c r="T116" s="702">
        <v>353</v>
      </c>
      <c r="U116" s="702">
        <v>353</v>
      </c>
      <c r="V116" s="702">
        <v>353</v>
      </c>
      <c r="W116" s="702">
        <v>353</v>
      </c>
      <c r="X116" s="702">
        <v>353</v>
      </c>
      <c r="Y116" s="702">
        <v>353</v>
      </c>
      <c r="Z116" s="702">
        <v>351</v>
      </c>
      <c r="AA116" s="702">
        <v>339</v>
      </c>
      <c r="AB116" s="702">
        <v>339</v>
      </c>
      <c r="AC116" s="702">
        <v>339</v>
      </c>
      <c r="AD116" s="702">
        <v>339</v>
      </c>
      <c r="AE116" s="702">
        <v>295</v>
      </c>
      <c r="AF116" s="702">
        <v>295</v>
      </c>
      <c r="AG116" s="702">
        <v>127</v>
      </c>
      <c r="AH116" s="702">
        <v>0</v>
      </c>
      <c r="AI116" s="702">
        <v>0</v>
      </c>
      <c r="AJ116" s="702">
        <v>0</v>
      </c>
      <c r="AK116" s="702">
        <v>0</v>
      </c>
      <c r="AL116" s="702">
        <v>0</v>
      </c>
      <c r="AM116" s="702">
        <v>0</v>
      </c>
      <c r="AN116" s="702">
        <v>0</v>
      </c>
      <c r="AO116" s="703">
        <v>0</v>
      </c>
      <c r="AP116" s="635"/>
      <c r="AQ116" s="701">
        <v>0</v>
      </c>
      <c r="AR116" s="702">
        <v>0</v>
      </c>
      <c r="AS116" s="702">
        <v>0</v>
      </c>
      <c r="AT116" s="702">
        <v>0</v>
      </c>
      <c r="AU116" s="702">
        <v>0</v>
      </c>
      <c r="AV116" s="702">
        <v>5429010</v>
      </c>
      <c r="AW116" s="702">
        <v>5429010</v>
      </c>
      <c r="AX116" s="702">
        <v>5429010</v>
      </c>
      <c r="AY116" s="702">
        <v>5429010</v>
      </c>
      <c r="AZ116" s="702">
        <v>5429010</v>
      </c>
      <c r="BA116" s="702">
        <v>5429010</v>
      </c>
      <c r="BB116" s="702">
        <v>5429010</v>
      </c>
      <c r="BC116" s="702">
        <v>5428211</v>
      </c>
      <c r="BD116" s="702">
        <v>5428211</v>
      </c>
      <c r="BE116" s="702">
        <v>5404895</v>
      </c>
      <c r="BF116" s="702">
        <v>5339169</v>
      </c>
      <c r="BG116" s="702">
        <v>5336030</v>
      </c>
      <c r="BH116" s="702">
        <v>5336030</v>
      </c>
      <c r="BI116" s="702">
        <v>5307087</v>
      </c>
      <c r="BJ116" s="702">
        <v>4616266</v>
      </c>
      <c r="BK116" s="702">
        <v>4616266</v>
      </c>
      <c r="BL116" s="702">
        <v>2022821</v>
      </c>
      <c r="BM116" s="702">
        <v>0</v>
      </c>
      <c r="BN116" s="702">
        <v>0</v>
      </c>
      <c r="BO116" s="702">
        <v>0</v>
      </c>
      <c r="BP116" s="702">
        <v>0</v>
      </c>
      <c r="BQ116" s="702">
        <v>0</v>
      </c>
      <c r="BR116" s="702">
        <v>0</v>
      </c>
      <c r="BS116" s="702">
        <v>0</v>
      </c>
      <c r="BT116" s="703">
        <v>0</v>
      </c>
    </row>
    <row r="117" spans="2:72">
      <c r="B117" s="694"/>
      <c r="C117" s="694" t="s">
        <v>498</v>
      </c>
      <c r="D117" s="694" t="s">
        <v>715</v>
      </c>
      <c r="E117" s="694" t="s">
        <v>686</v>
      </c>
      <c r="F117" s="694"/>
      <c r="G117" s="694"/>
      <c r="H117" s="694">
        <v>2016</v>
      </c>
      <c r="I117" s="646" t="s">
        <v>575</v>
      </c>
      <c r="J117" s="646" t="s">
        <v>588</v>
      </c>
      <c r="K117" s="635"/>
      <c r="L117" s="701">
        <v>0</v>
      </c>
      <c r="M117" s="702">
        <v>0</v>
      </c>
      <c r="N117" s="702">
        <v>0</v>
      </c>
      <c r="O117" s="702">
        <v>0</v>
      </c>
      <c r="P117" s="702">
        <v>0</v>
      </c>
      <c r="Q117" s="702">
        <v>302</v>
      </c>
      <c r="R117" s="702">
        <v>302</v>
      </c>
      <c r="S117" s="702">
        <v>302</v>
      </c>
      <c r="T117" s="702">
        <v>302</v>
      </c>
      <c r="U117" s="702">
        <v>302</v>
      </c>
      <c r="V117" s="702">
        <v>302</v>
      </c>
      <c r="W117" s="702">
        <v>302</v>
      </c>
      <c r="X117" s="702">
        <v>302</v>
      </c>
      <c r="Y117" s="702">
        <v>302</v>
      </c>
      <c r="Z117" s="702">
        <v>302</v>
      </c>
      <c r="AA117" s="702">
        <v>302</v>
      </c>
      <c r="AB117" s="702">
        <v>302</v>
      </c>
      <c r="AC117" s="702">
        <v>302</v>
      </c>
      <c r="AD117" s="702">
        <v>302</v>
      </c>
      <c r="AE117" s="702">
        <v>302</v>
      </c>
      <c r="AF117" s="702">
        <v>302</v>
      </c>
      <c r="AG117" s="702">
        <v>302</v>
      </c>
      <c r="AH117" s="702">
        <v>302</v>
      </c>
      <c r="AI117" s="702">
        <v>275</v>
      </c>
      <c r="AJ117" s="702">
        <v>0</v>
      </c>
      <c r="AK117" s="702">
        <v>0</v>
      </c>
      <c r="AL117" s="702">
        <v>0</v>
      </c>
      <c r="AM117" s="702">
        <v>0</v>
      </c>
      <c r="AN117" s="702">
        <v>0</v>
      </c>
      <c r="AO117" s="703">
        <v>0</v>
      </c>
      <c r="AP117" s="635"/>
      <c r="AQ117" s="701">
        <v>0</v>
      </c>
      <c r="AR117" s="702">
        <v>0</v>
      </c>
      <c r="AS117" s="702">
        <v>0</v>
      </c>
      <c r="AT117" s="702">
        <v>0</v>
      </c>
      <c r="AU117" s="702">
        <v>0</v>
      </c>
      <c r="AV117" s="702">
        <v>1022301</v>
      </c>
      <c r="AW117" s="702">
        <v>1022301</v>
      </c>
      <c r="AX117" s="702">
        <v>1022301</v>
      </c>
      <c r="AY117" s="702">
        <v>1022301</v>
      </c>
      <c r="AZ117" s="702">
        <v>1022301</v>
      </c>
      <c r="BA117" s="702">
        <v>1022301</v>
      </c>
      <c r="BB117" s="702">
        <v>1022301</v>
      </c>
      <c r="BC117" s="702">
        <v>1022301</v>
      </c>
      <c r="BD117" s="702">
        <v>1022301</v>
      </c>
      <c r="BE117" s="702">
        <v>1022301</v>
      </c>
      <c r="BF117" s="702">
        <v>1022301</v>
      </c>
      <c r="BG117" s="702">
        <v>1022301</v>
      </c>
      <c r="BH117" s="702">
        <v>1022301</v>
      </c>
      <c r="BI117" s="702">
        <v>1022301</v>
      </c>
      <c r="BJ117" s="702">
        <v>1022301</v>
      </c>
      <c r="BK117" s="702">
        <v>1022301</v>
      </c>
      <c r="BL117" s="702">
        <v>1022301</v>
      </c>
      <c r="BM117" s="702">
        <v>1022301</v>
      </c>
      <c r="BN117" s="702">
        <v>997942</v>
      </c>
      <c r="BO117" s="702">
        <v>0</v>
      </c>
      <c r="BP117" s="702">
        <v>0</v>
      </c>
      <c r="BQ117" s="702">
        <v>0</v>
      </c>
      <c r="BR117" s="702">
        <v>0</v>
      </c>
      <c r="BS117" s="702">
        <v>0</v>
      </c>
      <c r="BT117" s="703">
        <v>0</v>
      </c>
    </row>
    <row r="118" spans="2:72">
      <c r="B118" s="694"/>
      <c r="C118" s="694" t="s">
        <v>498</v>
      </c>
      <c r="D118" s="694" t="s">
        <v>117</v>
      </c>
      <c r="E118" s="694" t="s">
        <v>686</v>
      </c>
      <c r="F118" s="694"/>
      <c r="G118" s="694"/>
      <c r="H118" s="694">
        <v>2016</v>
      </c>
      <c r="I118" s="646" t="s">
        <v>575</v>
      </c>
      <c r="J118" s="646" t="s">
        <v>588</v>
      </c>
      <c r="K118" s="635"/>
      <c r="L118" s="701">
        <v>0</v>
      </c>
      <c r="M118" s="702">
        <v>0</v>
      </c>
      <c r="N118" s="702">
        <v>0</v>
      </c>
      <c r="O118" s="702">
        <v>0</v>
      </c>
      <c r="P118" s="702">
        <v>0</v>
      </c>
      <c r="Q118" s="702">
        <v>1</v>
      </c>
      <c r="R118" s="702">
        <v>1</v>
      </c>
      <c r="S118" s="702">
        <v>1</v>
      </c>
      <c r="T118" s="702">
        <v>1</v>
      </c>
      <c r="U118" s="702">
        <v>1</v>
      </c>
      <c r="V118" s="702">
        <v>1</v>
      </c>
      <c r="W118" s="702">
        <v>1</v>
      </c>
      <c r="X118" s="702">
        <v>1</v>
      </c>
      <c r="Y118" s="702">
        <v>1</v>
      </c>
      <c r="Z118" s="702">
        <v>1</v>
      </c>
      <c r="AA118" s="702">
        <v>0</v>
      </c>
      <c r="AB118" s="702">
        <v>0</v>
      </c>
      <c r="AC118" s="702">
        <v>0</v>
      </c>
      <c r="AD118" s="702">
        <v>0</v>
      </c>
      <c r="AE118" s="702">
        <v>0</v>
      </c>
      <c r="AF118" s="702">
        <v>0</v>
      </c>
      <c r="AG118" s="702">
        <v>0</v>
      </c>
      <c r="AH118" s="702">
        <v>0</v>
      </c>
      <c r="AI118" s="702">
        <v>0</v>
      </c>
      <c r="AJ118" s="702">
        <v>0</v>
      </c>
      <c r="AK118" s="702">
        <v>0</v>
      </c>
      <c r="AL118" s="702">
        <v>0</v>
      </c>
      <c r="AM118" s="702">
        <v>0</v>
      </c>
      <c r="AN118" s="702">
        <v>0</v>
      </c>
      <c r="AO118" s="703">
        <v>0</v>
      </c>
      <c r="AP118" s="635"/>
      <c r="AQ118" s="701">
        <v>0</v>
      </c>
      <c r="AR118" s="702">
        <v>0</v>
      </c>
      <c r="AS118" s="702">
        <v>0</v>
      </c>
      <c r="AT118" s="702">
        <v>0</v>
      </c>
      <c r="AU118" s="702">
        <v>0</v>
      </c>
      <c r="AV118" s="702">
        <v>6075</v>
      </c>
      <c r="AW118" s="702">
        <v>6075</v>
      </c>
      <c r="AX118" s="702">
        <v>6075</v>
      </c>
      <c r="AY118" s="702">
        <v>6075</v>
      </c>
      <c r="AZ118" s="702">
        <v>6075</v>
      </c>
      <c r="BA118" s="702">
        <v>6075</v>
      </c>
      <c r="BB118" s="702">
        <v>6075</v>
      </c>
      <c r="BC118" s="702">
        <v>6075</v>
      </c>
      <c r="BD118" s="702">
        <v>6075</v>
      </c>
      <c r="BE118" s="702">
        <v>4746</v>
      </c>
      <c r="BF118" s="702">
        <v>3533</v>
      </c>
      <c r="BG118" s="702">
        <v>3533</v>
      </c>
      <c r="BH118" s="702">
        <v>3533</v>
      </c>
      <c r="BI118" s="702">
        <v>3533</v>
      </c>
      <c r="BJ118" s="702">
        <v>3533</v>
      </c>
      <c r="BK118" s="702">
        <v>3533</v>
      </c>
      <c r="BL118" s="702">
        <v>3533</v>
      </c>
      <c r="BM118" s="702">
        <v>3533</v>
      </c>
      <c r="BN118" s="702">
        <v>3533</v>
      </c>
      <c r="BO118" s="702">
        <v>3533</v>
      </c>
      <c r="BP118" s="702">
        <v>0</v>
      </c>
      <c r="BQ118" s="702">
        <v>0</v>
      </c>
      <c r="BR118" s="702">
        <v>0</v>
      </c>
      <c r="BS118" s="702">
        <v>0</v>
      </c>
      <c r="BT118" s="703">
        <v>0</v>
      </c>
    </row>
    <row r="119" spans="2:72">
      <c r="B119" s="694"/>
      <c r="C119" s="694" t="s">
        <v>498</v>
      </c>
      <c r="D119" s="694" t="s">
        <v>119</v>
      </c>
      <c r="E119" s="694" t="s">
        <v>686</v>
      </c>
      <c r="F119" s="694"/>
      <c r="G119" s="694"/>
      <c r="H119" s="694">
        <v>2016</v>
      </c>
      <c r="I119" s="646" t="s">
        <v>575</v>
      </c>
      <c r="J119" s="646" t="s">
        <v>588</v>
      </c>
      <c r="K119" s="635"/>
      <c r="L119" s="701">
        <v>0</v>
      </c>
      <c r="M119" s="702">
        <v>0</v>
      </c>
      <c r="N119" s="702">
        <v>0</v>
      </c>
      <c r="O119" s="702">
        <v>0</v>
      </c>
      <c r="P119" s="702">
        <v>0</v>
      </c>
      <c r="Q119" s="702">
        <v>194</v>
      </c>
      <c r="R119" s="702">
        <v>188</v>
      </c>
      <c r="S119" s="702">
        <v>188</v>
      </c>
      <c r="T119" s="702">
        <v>188</v>
      </c>
      <c r="U119" s="702">
        <v>188</v>
      </c>
      <c r="V119" s="702">
        <v>182</v>
      </c>
      <c r="W119" s="702">
        <v>182</v>
      </c>
      <c r="X119" s="702">
        <v>182</v>
      </c>
      <c r="Y119" s="702">
        <v>182</v>
      </c>
      <c r="Z119" s="702">
        <v>182</v>
      </c>
      <c r="AA119" s="702">
        <v>181</v>
      </c>
      <c r="AB119" s="702">
        <v>122</v>
      </c>
      <c r="AC119" s="702">
        <v>36</v>
      </c>
      <c r="AD119" s="702">
        <v>36</v>
      </c>
      <c r="AE119" s="702">
        <v>14</v>
      </c>
      <c r="AF119" s="702">
        <v>0</v>
      </c>
      <c r="AG119" s="702">
        <v>0</v>
      </c>
      <c r="AH119" s="702">
        <v>0</v>
      </c>
      <c r="AI119" s="702">
        <v>0</v>
      </c>
      <c r="AJ119" s="702">
        <v>0</v>
      </c>
      <c r="AK119" s="702">
        <v>0</v>
      </c>
      <c r="AL119" s="702">
        <v>0</v>
      </c>
      <c r="AM119" s="702">
        <v>0</v>
      </c>
      <c r="AN119" s="702">
        <v>0</v>
      </c>
      <c r="AO119" s="703">
        <v>0</v>
      </c>
      <c r="AP119" s="635"/>
      <c r="AQ119" s="701">
        <v>0</v>
      </c>
      <c r="AR119" s="702">
        <v>0</v>
      </c>
      <c r="AS119" s="702">
        <v>0</v>
      </c>
      <c r="AT119" s="702">
        <v>0</v>
      </c>
      <c r="AU119" s="702">
        <v>0</v>
      </c>
      <c r="AV119" s="702">
        <v>4043950</v>
      </c>
      <c r="AW119" s="702">
        <v>3996982</v>
      </c>
      <c r="AX119" s="702">
        <v>3996982</v>
      </c>
      <c r="AY119" s="702">
        <v>3996982</v>
      </c>
      <c r="AZ119" s="702">
        <v>3996982</v>
      </c>
      <c r="BA119" s="702">
        <v>3954589</v>
      </c>
      <c r="BB119" s="702">
        <v>3954589</v>
      </c>
      <c r="BC119" s="702">
        <v>3954589</v>
      </c>
      <c r="BD119" s="702">
        <v>3954589</v>
      </c>
      <c r="BE119" s="702">
        <v>3954589</v>
      </c>
      <c r="BF119" s="702">
        <v>3949308</v>
      </c>
      <c r="BG119" s="702">
        <v>3476754</v>
      </c>
      <c r="BH119" s="702">
        <v>245130</v>
      </c>
      <c r="BI119" s="702">
        <v>245130</v>
      </c>
      <c r="BJ119" s="702">
        <v>54178</v>
      </c>
      <c r="BK119" s="702">
        <v>0</v>
      </c>
      <c r="BL119" s="702">
        <v>0</v>
      </c>
      <c r="BM119" s="702">
        <v>0</v>
      </c>
      <c r="BN119" s="702">
        <v>0</v>
      </c>
      <c r="BO119" s="702">
        <v>0</v>
      </c>
      <c r="BP119" s="702">
        <v>0</v>
      </c>
      <c r="BQ119" s="702">
        <v>0</v>
      </c>
      <c r="BR119" s="702">
        <v>0</v>
      </c>
      <c r="BS119" s="702">
        <v>0</v>
      </c>
      <c r="BT119" s="703">
        <v>0</v>
      </c>
    </row>
    <row r="120" spans="2:72">
      <c r="B120" s="694"/>
      <c r="C120" s="694" t="s">
        <v>726</v>
      </c>
      <c r="D120" s="694" t="s">
        <v>714</v>
      </c>
      <c r="E120" s="694" t="s">
        <v>686</v>
      </c>
      <c r="F120" s="694"/>
      <c r="G120" s="694"/>
      <c r="H120" s="694">
        <v>2016</v>
      </c>
      <c r="I120" s="646" t="s">
        <v>575</v>
      </c>
      <c r="J120" s="646" t="s">
        <v>588</v>
      </c>
      <c r="K120" s="635"/>
      <c r="L120" s="701">
        <v>0</v>
      </c>
      <c r="M120" s="702">
        <v>0</v>
      </c>
      <c r="N120" s="702">
        <v>0</v>
      </c>
      <c r="O120" s="702">
        <v>0</v>
      </c>
      <c r="P120" s="702">
        <v>0</v>
      </c>
      <c r="Q120" s="702">
        <v>0</v>
      </c>
      <c r="R120" s="702">
        <v>0</v>
      </c>
      <c r="S120" s="702">
        <v>0</v>
      </c>
      <c r="T120" s="702">
        <v>0</v>
      </c>
      <c r="U120" s="702">
        <v>0</v>
      </c>
      <c r="V120" s="702">
        <v>0</v>
      </c>
      <c r="W120" s="702">
        <v>0</v>
      </c>
      <c r="X120" s="702">
        <v>0</v>
      </c>
      <c r="Y120" s="702">
        <v>0</v>
      </c>
      <c r="Z120" s="702">
        <v>0</v>
      </c>
      <c r="AA120" s="702">
        <v>0</v>
      </c>
      <c r="AB120" s="702">
        <v>0</v>
      </c>
      <c r="AC120" s="702">
        <v>0</v>
      </c>
      <c r="AD120" s="702">
        <v>0</v>
      </c>
      <c r="AE120" s="702">
        <v>0</v>
      </c>
      <c r="AF120" s="702">
        <v>0</v>
      </c>
      <c r="AG120" s="702">
        <v>0</v>
      </c>
      <c r="AH120" s="702">
        <v>0</v>
      </c>
      <c r="AI120" s="702">
        <v>0</v>
      </c>
      <c r="AJ120" s="702">
        <v>0</v>
      </c>
      <c r="AK120" s="702">
        <v>0</v>
      </c>
      <c r="AL120" s="702">
        <v>0</v>
      </c>
      <c r="AM120" s="702">
        <v>0</v>
      </c>
      <c r="AN120" s="702">
        <v>0</v>
      </c>
      <c r="AO120" s="703">
        <v>0</v>
      </c>
      <c r="AP120" s="635"/>
      <c r="AQ120" s="701">
        <v>0</v>
      </c>
      <c r="AR120" s="702">
        <v>0</v>
      </c>
      <c r="AS120" s="702">
        <v>0</v>
      </c>
      <c r="AT120" s="702">
        <v>0</v>
      </c>
      <c r="AU120" s="702">
        <v>0</v>
      </c>
      <c r="AV120" s="702">
        <v>925</v>
      </c>
      <c r="AW120" s="702">
        <v>925</v>
      </c>
      <c r="AX120" s="702">
        <v>925</v>
      </c>
      <c r="AY120" s="702">
        <v>925</v>
      </c>
      <c r="AZ120" s="702">
        <v>925</v>
      </c>
      <c r="BA120" s="702">
        <v>925</v>
      </c>
      <c r="BB120" s="702">
        <v>925</v>
      </c>
      <c r="BC120" s="702">
        <v>925</v>
      </c>
      <c r="BD120" s="702">
        <v>925</v>
      </c>
      <c r="BE120" s="702">
        <v>925</v>
      </c>
      <c r="BF120" s="702">
        <v>925</v>
      </c>
      <c r="BG120" s="702">
        <v>925</v>
      </c>
      <c r="BH120" s="702">
        <v>925</v>
      </c>
      <c r="BI120" s="702">
        <v>925</v>
      </c>
      <c r="BJ120" s="702">
        <v>643</v>
      </c>
      <c r="BK120" s="702">
        <v>643</v>
      </c>
      <c r="BL120" s="702">
        <v>643</v>
      </c>
      <c r="BM120" s="702">
        <v>643</v>
      </c>
      <c r="BN120" s="702">
        <v>0</v>
      </c>
      <c r="BO120" s="702">
        <v>0</v>
      </c>
      <c r="BP120" s="702">
        <v>0</v>
      </c>
      <c r="BQ120" s="702">
        <v>0</v>
      </c>
      <c r="BR120" s="702">
        <v>0</v>
      </c>
      <c r="BS120" s="702">
        <v>0</v>
      </c>
      <c r="BT120" s="703">
        <v>0</v>
      </c>
    </row>
    <row r="121" spans="2:72">
      <c r="B121" s="694"/>
      <c r="C121" s="694" t="s">
        <v>498</v>
      </c>
      <c r="D121" s="694" t="s">
        <v>119</v>
      </c>
      <c r="E121" s="694" t="s">
        <v>686</v>
      </c>
      <c r="F121" s="694"/>
      <c r="G121" s="694"/>
      <c r="H121" s="694">
        <v>2015</v>
      </c>
      <c r="I121" s="646" t="s">
        <v>576</v>
      </c>
      <c r="J121" s="646" t="s">
        <v>581</v>
      </c>
      <c r="K121" s="635"/>
      <c r="L121" s="701">
        <v>0</v>
      </c>
      <c r="M121" s="702">
        <v>0</v>
      </c>
      <c r="N121" s="702">
        <v>0</v>
      </c>
      <c r="O121" s="702">
        <v>0</v>
      </c>
      <c r="P121" s="702">
        <v>3</v>
      </c>
      <c r="Q121" s="702">
        <v>3</v>
      </c>
      <c r="R121" s="702">
        <v>3</v>
      </c>
      <c r="S121" s="702">
        <v>3</v>
      </c>
      <c r="T121" s="702">
        <v>3</v>
      </c>
      <c r="U121" s="702">
        <v>3</v>
      </c>
      <c r="V121" s="702">
        <v>6</v>
      </c>
      <c r="W121" s="702">
        <v>6</v>
      </c>
      <c r="X121" s="702">
        <v>6</v>
      </c>
      <c r="Y121" s="702">
        <v>5</v>
      </c>
      <c r="Z121" s="702">
        <v>3</v>
      </c>
      <c r="AA121" s="702">
        <v>3</v>
      </c>
      <c r="AB121" s="702">
        <v>0</v>
      </c>
      <c r="AC121" s="702">
        <v>0</v>
      </c>
      <c r="AD121" s="702">
        <v>0</v>
      </c>
      <c r="AE121" s="702">
        <v>0</v>
      </c>
      <c r="AF121" s="702">
        <v>0</v>
      </c>
      <c r="AG121" s="702">
        <v>0</v>
      </c>
      <c r="AH121" s="702">
        <v>0</v>
      </c>
      <c r="AI121" s="702">
        <v>0</v>
      </c>
      <c r="AJ121" s="702">
        <v>0</v>
      </c>
      <c r="AK121" s="702">
        <v>0</v>
      </c>
      <c r="AL121" s="702">
        <v>0</v>
      </c>
      <c r="AM121" s="702">
        <v>0</v>
      </c>
      <c r="AN121" s="702">
        <v>0</v>
      </c>
      <c r="AO121" s="703">
        <v>0</v>
      </c>
      <c r="AP121" s="635"/>
      <c r="AQ121" s="701">
        <v>0</v>
      </c>
      <c r="AR121" s="702">
        <v>0</v>
      </c>
      <c r="AS121" s="702">
        <v>0</v>
      </c>
      <c r="AT121" s="702">
        <v>0</v>
      </c>
      <c r="AU121" s="702">
        <v>17538</v>
      </c>
      <c r="AV121" s="702">
        <v>17538</v>
      </c>
      <c r="AW121" s="702">
        <v>17538</v>
      </c>
      <c r="AX121" s="702">
        <v>17555</v>
      </c>
      <c r="AY121" s="702">
        <v>17555</v>
      </c>
      <c r="AZ121" s="702">
        <v>17555</v>
      </c>
      <c r="BA121" s="702">
        <v>35132</v>
      </c>
      <c r="BB121" s="702">
        <v>35132</v>
      </c>
      <c r="BC121" s="702">
        <v>35132</v>
      </c>
      <c r="BD121" s="702">
        <v>29944</v>
      </c>
      <c r="BE121" s="702">
        <v>16736</v>
      </c>
      <c r="BF121" s="702">
        <v>16736</v>
      </c>
      <c r="BG121" s="702">
        <v>-67</v>
      </c>
      <c r="BH121" s="702">
        <v>-67</v>
      </c>
      <c r="BI121" s="702">
        <v>-67</v>
      </c>
      <c r="BJ121" s="702">
        <v>-67</v>
      </c>
      <c r="BK121" s="702">
        <v>-67</v>
      </c>
      <c r="BL121" s="702">
        <v>-67</v>
      </c>
      <c r="BM121" s="702">
        <v>-67</v>
      </c>
      <c r="BN121" s="702">
        <v>-67</v>
      </c>
      <c r="BO121" s="702">
        <v>0</v>
      </c>
      <c r="BP121" s="702">
        <v>0</v>
      </c>
      <c r="BQ121" s="702">
        <v>0</v>
      </c>
      <c r="BR121" s="702">
        <v>0</v>
      </c>
      <c r="BS121" s="702">
        <v>0</v>
      </c>
      <c r="BT121" s="703">
        <v>0</v>
      </c>
    </row>
    <row r="122" spans="2:72">
      <c r="B122" s="694"/>
      <c r="C122" s="694" t="s">
        <v>499</v>
      </c>
      <c r="D122" s="694" t="s">
        <v>101</v>
      </c>
      <c r="E122" s="694" t="s">
        <v>686</v>
      </c>
      <c r="F122" s="694"/>
      <c r="G122" s="694"/>
      <c r="H122" s="694">
        <v>2015</v>
      </c>
      <c r="I122" s="646" t="s">
        <v>576</v>
      </c>
      <c r="J122" s="646" t="s">
        <v>581</v>
      </c>
      <c r="K122" s="635"/>
      <c r="L122" s="701">
        <v>0</v>
      </c>
      <c r="M122" s="702">
        <v>0</v>
      </c>
      <c r="N122" s="702">
        <v>0</v>
      </c>
      <c r="O122" s="702">
        <v>0</v>
      </c>
      <c r="P122" s="702">
        <v>38</v>
      </c>
      <c r="Q122" s="702">
        <v>38</v>
      </c>
      <c r="R122" s="702">
        <v>39</v>
      </c>
      <c r="S122" s="702">
        <v>39</v>
      </c>
      <c r="T122" s="702">
        <v>39</v>
      </c>
      <c r="U122" s="702">
        <v>39</v>
      </c>
      <c r="V122" s="702">
        <v>48</v>
      </c>
      <c r="W122" s="702">
        <v>48</v>
      </c>
      <c r="X122" s="702">
        <v>50</v>
      </c>
      <c r="Y122" s="702">
        <v>46</v>
      </c>
      <c r="Z122" s="702">
        <v>35</v>
      </c>
      <c r="AA122" s="702">
        <v>25</v>
      </c>
      <c r="AB122" s="702">
        <v>27</v>
      </c>
      <c r="AC122" s="702">
        <v>-1</v>
      </c>
      <c r="AD122" s="702">
        <v>-1</v>
      </c>
      <c r="AE122" s="702">
        <v>-1</v>
      </c>
      <c r="AF122" s="702">
        <v>-1</v>
      </c>
      <c r="AG122" s="702">
        <v>-1</v>
      </c>
      <c r="AH122" s="702">
        <v>-1</v>
      </c>
      <c r="AI122" s="702">
        <v>-1</v>
      </c>
      <c r="AJ122" s="702">
        <v>0</v>
      </c>
      <c r="AK122" s="702">
        <v>0</v>
      </c>
      <c r="AL122" s="702">
        <v>0</v>
      </c>
      <c r="AM122" s="702">
        <v>0</v>
      </c>
      <c r="AN122" s="702">
        <v>0</v>
      </c>
      <c r="AO122" s="703">
        <v>0</v>
      </c>
      <c r="AP122" s="635"/>
      <c r="AQ122" s="701">
        <v>0</v>
      </c>
      <c r="AR122" s="702">
        <v>0</v>
      </c>
      <c r="AS122" s="702">
        <v>0</v>
      </c>
      <c r="AT122" s="702">
        <v>0</v>
      </c>
      <c r="AU122" s="702">
        <v>135577</v>
      </c>
      <c r="AV122" s="702">
        <v>135577</v>
      </c>
      <c r="AW122" s="702">
        <v>138837</v>
      </c>
      <c r="AX122" s="702">
        <v>139403</v>
      </c>
      <c r="AY122" s="702">
        <v>139403</v>
      </c>
      <c r="AZ122" s="702">
        <v>139403</v>
      </c>
      <c r="BA122" s="702">
        <v>202574</v>
      </c>
      <c r="BB122" s="702">
        <v>202574</v>
      </c>
      <c r="BC122" s="702">
        <v>220867</v>
      </c>
      <c r="BD122" s="702">
        <v>199651</v>
      </c>
      <c r="BE122" s="702">
        <v>117752</v>
      </c>
      <c r="BF122" s="702">
        <v>76129</v>
      </c>
      <c r="BG122" s="702">
        <v>88930</v>
      </c>
      <c r="BH122" s="702">
        <v>913</v>
      </c>
      <c r="BI122" s="702">
        <v>913</v>
      </c>
      <c r="BJ122" s="702">
        <v>-800</v>
      </c>
      <c r="BK122" s="702">
        <v>-2287</v>
      </c>
      <c r="BL122" s="702">
        <v>-2287</v>
      </c>
      <c r="BM122" s="702">
        <v>-2287</v>
      </c>
      <c r="BN122" s="702">
        <v>-2287</v>
      </c>
      <c r="BO122" s="702">
        <v>0</v>
      </c>
      <c r="BP122" s="702">
        <v>0</v>
      </c>
      <c r="BQ122" s="702">
        <v>0</v>
      </c>
      <c r="BR122" s="702">
        <v>0</v>
      </c>
      <c r="BS122" s="702">
        <v>0</v>
      </c>
      <c r="BT122" s="703">
        <v>0</v>
      </c>
    </row>
    <row r="123" spans="2:72">
      <c r="B123" s="694"/>
      <c r="C123" s="694" t="s">
        <v>499</v>
      </c>
      <c r="D123" s="694" t="s">
        <v>102</v>
      </c>
      <c r="E123" s="694" t="s">
        <v>686</v>
      </c>
      <c r="F123" s="694"/>
      <c r="G123" s="694"/>
      <c r="H123" s="694">
        <v>2015</v>
      </c>
      <c r="I123" s="646" t="s">
        <v>576</v>
      </c>
      <c r="J123" s="646" t="s">
        <v>581</v>
      </c>
      <c r="K123" s="635"/>
      <c r="L123" s="701">
        <v>0</v>
      </c>
      <c r="M123" s="702">
        <v>0</v>
      </c>
      <c r="N123" s="702">
        <v>0</v>
      </c>
      <c r="O123" s="702">
        <v>0</v>
      </c>
      <c r="P123" s="702">
        <v>-9</v>
      </c>
      <c r="Q123" s="702">
        <v>-4</v>
      </c>
      <c r="R123" s="702">
        <v>0</v>
      </c>
      <c r="S123" s="702">
        <v>1</v>
      </c>
      <c r="T123" s="702">
        <v>1</v>
      </c>
      <c r="U123" s="702">
        <v>1</v>
      </c>
      <c r="V123" s="702">
        <v>1</v>
      </c>
      <c r="W123" s="702">
        <v>1</v>
      </c>
      <c r="X123" s="702">
        <v>1</v>
      </c>
      <c r="Y123" s="702">
        <v>1</v>
      </c>
      <c r="Z123" s="702">
        <v>1</v>
      </c>
      <c r="AA123" s="702">
        <v>0</v>
      </c>
      <c r="AB123" s="702">
        <v>0</v>
      </c>
      <c r="AC123" s="702">
        <v>0</v>
      </c>
      <c r="AD123" s="702">
        <v>0</v>
      </c>
      <c r="AE123" s="702">
        <v>0</v>
      </c>
      <c r="AF123" s="702">
        <v>0</v>
      </c>
      <c r="AG123" s="702">
        <v>0</v>
      </c>
      <c r="AH123" s="702">
        <v>0</v>
      </c>
      <c r="AI123" s="702">
        <v>0</v>
      </c>
      <c r="AJ123" s="702">
        <v>0</v>
      </c>
      <c r="AK123" s="702">
        <v>0</v>
      </c>
      <c r="AL123" s="702">
        <v>0</v>
      </c>
      <c r="AM123" s="702">
        <v>0</v>
      </c>
      <c r="AN123" s="702">
        <v>0</v>
      </c>
      <c r="AO123" s="703">
        <v>0</v>
      </c>
      <c r="AP123" s="635"/>
      <c r="AQ123" s="701">
        <v>0</v>
      </c>
      <c r="AR123" s="702">
        <v>0</v>
      </c>
      <c r="AS123" s="702">
        <v>0</v>
      </c>
      <c r="AT123" s="702">
        <v>0</v>
      </c>
      <c r="AU123" s="702">
        <v>-40159</v>
      </c>
      <c r="AV123" s="702">
        <v>-13755</v>
      </c>
      <c r="AW123" s="702">
        <v>-723</v>
      </c>
      <c r="AX123" s="702">
        <v>5019</v>
      </c>
      <c r="AY123" s="702">
        <v>5019</v>
      </c>
      <c r="AZ123" s="702">
        <v>5019</v>
      </c>
      <c r="BA123" s="702">
        <v>5019</v>
      </c>
      <c r="BB123" s="702">
        <v>5019</v>
      </c>
      <c r="BC123" s="702">
        <v>5019</v>
      </c>
      <c r="BD123" s="702">
        <v>5019</v>
      </c>
      <c r="BE123" s="702">
        <v>5019</v>
      </c>
      <c r="BF123" s="702">
        <v>502</v>
      </c>
      <c r="BG123" s="702">
        <v>0</v>
      </c>
      <c r="BH123" s="702">
        <v>0</v>
      </c>
      <c r="BI123" s="702">
        <v>0</v>
      </c>
      <c r="BJ123" s="702">
        <v>0</v>
      </c>
      <c r="BK123" s="702">
        <v>0</v>
      </c>
      <c r="BL123" s="702">
        <v>0</v>
      </c>
      <c r="BM123" s="702">
        <v>0</v>
      </c>
      <c r="BN123" s="702">
        <v>0</v>
      </c>
      <c r="BO123" s="702">
        <v>0</v>
      </c>
      <c r="BP123" s="702">
        <v>0</v>
      </c>
      <c r="BQ123" s="702">
        <v>0</v>
      </c>
      <c r="BR123" s="702">
        <v>0</v>
      </c>
      <c r="BS123" s="702">
        <v>0</v>
      </c>
      <c r="BT123" s="703">
        <v>0</v>
      </c>
    </row>
    <row r="124" spans="2:72">
      <c r="B124" s="694"/>
      <c r="C124" s="694" t="s">
        <v>498</v>
      </c>
      <c r="D124" s="694" t="s">
        <v>114</v>
      </c>
      <c r="E124" s="694" t="s">
        <v>686</v>
      </c>
      <c r="F124" s="694"/>
      <c r="G124" s="694"/>
      <c r="H124" s="694">
        <v>2016</v>
      </c>
      <c r="I124" s="646" t="s">
        <v>576</v>
      </c>
      <c r="J124" s="646" t="s">
        <v>581</v>
      </c>
      <c r="K124" s="635"/>
      <c r="L124" s="701">
        <v>0</v>
      </c>
      <c r="M124" s="702">
        <v>0</v>
      </c>
      <c r="N124" s="702">
        <v>0</v>
      </c>
      <c r="O124" s="702">
        <v>0</v>
      </c>
      <c r="P124" s="702">
        <v>0</v>
      </c>
      <c r="Q124" s="702">
        <v>39</v>
      </c>
      <c r="R124" s="702">
        <v>39</v>
      </c>
      <c r="S124" s="702">
        <v>39</v>
      </c>
      <c r="T124" s="702">
        <v>39</v>
      </c>
      <c r="U124" s="702">
        <v>39</v>
      </c>
      <c r="V124" s="702">
        <v>39</v>
      </c>
      <c r="W124" s="702">
        <v>39</v>
      </c>
      <c r="X124" s="702">
        <v>39</v>
      </c>
      <c r="Y124" s="702">
        <v>39</v>
      </c>
      <c r="Z124" s="702">
        <v>39</v>
      </c>
      <c r="AA124" s="702">
        <v>39</v>
      </c>
      <c r="AB124" s="702">
        <v>39</v>
      </c>
      <c r="AC124" s="702">
        <v>39</v>
      </c>
      <c r="AD124" s="702">
        <v>39</v>
      </c>
      <c r="AE124" s="702">
        <v>34</v>
      </c>
      <c r="AF124" s="702">
        <v>34</v>
      </c>
      <c r="AG124" s="702">
        <v>14</v>
      </c>
      <c r="AH124" s="702">
        <v>0</v>
      </c>
      <c r="AI124" s="702">
        <v>0</v>
      </c>
      <c r="AJ124" s="702">
        <v>0</v>
      </c>
      <c r="AK124" s="702">
        <v>0</v>
      </c>
      <c r="AL124" s="702">
        <v>0</v>
      </c>
      <c r="AM124" s="702">
        <v>0</v>
      </c>
      <c r="AN124" s="702">
        <v>0</v>
      </c>
      <c r="AO124" s="703">
        <v>0</v>
      </c>
      <c r="AP124" s="635"/>
      <c r="AQ124" s="701">
        <v>0</v>
      </c>
      <c r="AR124" s="702">
        <v>0</v>
      </c>
      <c r="AS124" s="702">
        <v>0</v>
      </c>
      <c r="AT124" s="702">
        <v>0</v>
      </c>
      <c r="AU124" s="702">
        <v>0</v>
      </c>
      <c r="AV124" s="702">
        <v>617704</v>
      </c>
      <c r="AW124" s="702">
        <v>617704</v>
      </c>
      <c r="AX124" s="702">
        <v>617704</v>
      </c>
      <c r="AY124" s="702">
        <v>617704</v>
      </c>
      <c r="AZ124" s="702">
        <v>617704</v>
      </c>
      <c r="BA124" s="702">
        <v>617704</v>
      </c>
      <c r="BB124" s="702">
        <v>617704</v>
      </c>
      <c r="BC124" s="702">
        <v>617653</v>
      </c>
      <c r="BD124" s="702">
        <v>617653</v>
      </c>
      <c r="BE124" s="702">
        <v>618288</v>
      </c>
      <c r="BF124" s="702">
        <v>617878</v>
      </c>
      <c r="BG124" s="702">
        <v>618459</v>
      </c>
      <c r="BH124" s="702">
        <v>618459</v>
      </c>
      <c r="BI124" s="702">
        <v>616834</v>
      </c>
      <c r="BJ124" s="702">
        <v>534014</v>
      </c>
      <c r="BK124" s="702">
        <v>534014</v>
      </c>
      <c r="BL124" s="702">
        <v>219003</v>
      </c>
      <c r="BM124" s="702">
        <v>0</v>
      </c>
      <c r="BN124" s="702">
        <v>0</v>
      </c>
      <c r="BO124" s="702">
        <v>0</v>
      </c>
      <c r="BP124" s="702">
        <v>0</v>
      </c>
      <c r="BQ124" s="702">
        <v>0</v>
      </c>
      <c r="BR124" s="702">
        <v>0</v>
      </c>
      <c r="BS124" s="702">
        <v>0</v>
      </c>
      <c r="BT124" s="703">
        <v>0</v>
      </c>
    </row>
    <row r="125" spans="2:72">
      <c r="B125" s="694"/>
      <c r="C125" s="694" t="s">
        <v>498</v>
      </c>
      <c r="D125" s="694" t="s">
        <v>715</v>
      </c>
      <c r="E125" s="694" t="s">
        <v>686</v>
      </c>
      <c r="F125" s="694"/>
      <c r="G125" s="694"/>
      <c r="H125" s="694">
        <v>2016</v>
      </c>
      <c r="I125" s="646" t="s">
        <v>576</v>
      </c>
      <c r="J125" s="646" t="s">
        <v>581</v>
      </c>
      <c r="K125" s="635"/>
      <c r="L125" s="701">
        <v>0</v>
      </c>
      <c r="M125" s="702">
        <v>0</v>
      </c>
      <c r="N125" s="702">
        <v>0</v>
      </c>
      <c r="O125" s="702">
        <v>0</v>
      </c>
      <c r="P125" s="702">
        <v>0</v>
      </c>
      <c r="Q125" s="702">
        <v>2</v>
      </c>
      <c r="R125" s="702">
        <v>2</v>
      </c>
      <c r="S125" s="702">
        <v>2</v>
      </c>
      <c r="T125" s="702">
        <v>2</v>
      </c>
      <c r="U125" s="702">
        <v>2</v>
      </c>
      <c r="V125" s="702">
        <v>2</v>
      </c>
      <c r="W125" s="702">
        <v>2</v>
      </c>
      <c r="X125" s="702">
        <v>2</v>
      </c>
      <c r="Y125" s="702">
        <v>2</v>
      </c>
      <c r="Z125" s="702">
        <v>2</v>
      </c>
      <c r="AA125" s="702">
        <v>2</v>
      </c>
      <c r="AB125" s="702">
        <v>2</v>
      </c>
      <c r="AC125" s="702">
        <v>2</v>
      </c>
      <c r="AD125" s="702">
        <v>2</v>
      </c>
      <c r="AE125" s="702">
        <v>2</v>
      </c>
      <c r="AF125" s="702">
        <v>2</v>
      </c>
      <c r="AG125" s="702">
        <v>2</v>
      </c>
      <c r="AH125" s="702">
        <v>2</v>
      </c>
      <c r="AI125" s="702">
        <v>2</v>
      </c>
      <c r="AJ125" s="702">
        <v>0</v>
      </c>
      <c r="AK125" s="702">
        <v>0</v>
      </c>
      <c r="AL125" s="702">
        <v>0</v>
      </c>
      <c r="AM125" s="702">
        <v>0</v>
      </c>
      <c r="AN125" s="702">
        <v>0</v>
      </c>
      <c r="AO125" s="703">
        <v>0</v>
      </c>
      <c r="AP125" s="635"/>
      <c r="AQ125" s="701">
        <v>0</v>
      </c>
      <c r="AR125" s="702">
        <v>0</v>
      </c>
      <c r="AS125" s="702">
        <v>0</v>
      </c>
      <c r="AT125" s="702">
        <v>0</v>
      </c>
      <c r="AU125" s="702">
        <v>0</v>
      </c>
      <c r="AV125" s="702">
        <v>6825</v>
      </c>
      <c r="AW125" s="702">
        <v>6825</v>
      </c>
      <c r="AX125" s="702">
        <v>6825</v>
      </c>
      <c r="AY125" s="702">
        <v>6825</v>
      </c>
      <c r="AZ125" s="702">
        <v>6825</v>
      </c>
      <c r="BA125" s="702">
        <v>6825</v>
      </c>
      <c r="BB125" s="702">
        <v>6825</v>
      </c>
      <c r="BC125" s="702">
        <v>6825</v>
      </c>
      <c r="BD125" s="702">
        <v>6825</v>
      </c>
      <c r="BE125" s="702">
        <v>6825</v>
      </c>
      <c r="BF125" s="702">
        <v>6825</v>
      </c>
      <c r="BG125" s="702">
        <v>6825</v>
      </c>
      <c r="BH125" s="702">
        <v>6825</v>
      </c>
      <c r="BI125" s="702">
        <v>6825</v>
      </c>
      <c r="BJ125" s="702">
        <v>6825</v>
      </c>
      <c r="BK125" s="702">
        <v>6825</v>
      </c>
      <c r="BL125" s="702">
        <v>6825</v>
      </c>
      <c r="BM125" s="702">
        <v>6825</v>
      </c>
      <c r="BN125" s="702">
        <v>6697</v>
      </c>
      <c r="BO125" s="702">
        <v>0</v>
      </c>
      <c r="BP125" s="702">
        <v>0</v>
      </c>
      <c r="BQ125" s="702">
        <v>0</v>
      </c>
      <c r="BR125" s="702">
        <v>0</v>
      </c>
      <c r="BS125" s="702">
        <v>0</v>
      </c>
      <c r="BT125" s="703">
        <v>0</v>
      </c>
    </row>
    <row r="126" spans="2:72">
      <c r="B126" s="694"/>
      <c r="C126" s="694" t="s">
        <v>498</v>
      </c>
      <c r="D126" s="694" t="s">
        <v>119</v>
      </c>
      <c r="E126" s="694" t="s">
        <v>686</v>
      </c>
      <c r="F126" s="694"/>
      <c r="G126" s="694"/>
      <c r="H126" s="694">
        <v>2016</v>
      </c>
      <c r="I126" s="646" t="s">
        <v>576</v>
      </c>
      <c r="J126" s="646" t="s">
        <v>581</v>
      </c>
      <c r="K126" s="635"/>
      <c r="L126" s="701">
        <v>0</v>
      </c>
      <c r="M126" s="702">
        <v>0</v>
      </c>
      <c r="N126" s="702">
        <v>0</v>
      </c>
      <c r="O126" s="702">
        <v>0</v>
      </c>
      <c r="P126" s="702">
        <v>0</v>
      </c>
      <c r="Q126" s="702">
        <v>111</v>
      </c>
      <c r="R126" s="702">
        <v>117</v>
      </c>
      <c r="S126" s="702">
        <v>118</v>
      </c>
      <c r="T126" s="702">
        <v>118</v>
      </c>
      <c r="U126" s="702">
        <v>118</v>
      </c>
      <c r="V126" s="702">
        <v>117</v>
      </c>
      <c r="W126" s="702">
        <v>117</v>
      </c>
      <c r="X126" s="702">
        <v>117</v>
      </c>
      <c r="Y126" s="702">
        <v>117</v>
      </c>
      <c r="Z126" s="702">
        <v>117</v>
      </c>
      <c r="AA126" s="702">
        <v>117</v>
      </c>
      <c r="AB126" s="702">
        <v>78</v>
      </c>
      <c r="AC126" s="702">
        <v>7</v>
      </c>
      <c r="AD126" s="702">
        <v>7</v>
      </c>
      <c r="AE126" s="702">
        <v>7</v>
      </c>
      <c r="AF126" s="702">
        <v>0</v>
      </c>
      <c r="AG126" s="702">
        <v>0</v>
      </c>
      <c r="AH126" s="702">
        <v>0</v>
      </c>
      <c r="AI126" s="702">
        <v>0</v>
      </c>
      <c r="AJ126" s="702">
        <v>0</v>
      </c>
      <c r="AK126" s="702">
        <v>0</v>
      </c>
      <c r="AL126" s="702">
        <v>0</v>
      </c>
      <c r="AM126" s="702">
        <v>0</v>
      </c>
      <c r="AN126" s="702">
        <v>0</v>
      </c>
      <c r="AO126" s="703">
        <v>0</v>
      </c>
      <c r="AP126" s="635"/>
      <c r="AQ126" s="701">
        <v>0</v>
      </c>
      <c r="AR126" s="702">
        <v>0</v>
      </c>
      <c r="AS126" s="702">
        <v>0</v>
      </c>
      <c r="AT126" s="702">
        <v>0</v>
      </c>
      <c r="AU126" s="702">
        <v>0</v>
      </c>
      <c r="AV126" s="702">
        <v>691151</v>
      </c>
      <c r="AW126" s="702">
        <v>738119</v>
      </c>
      <c r="AX126" s="702">
        <v>739161</v>
      </c>
      <c r="AY126" s="702">
        <v>739161</v>
      </c>
      <c r="AZ126" s="702">
        <v>739161</v>
      </c>
      <c r="BA126" s="702">
        <v>730767</v>
      </c>
      <c r="BB126" s="702">
        <v>730767</v>
      </c>
      <c r="BC126" s="702">
        <v>730767</v>
      </c>
      <c r="BD126" s="702">
        <v>730632</v>
      </c>
      <c r="BE126" s="702">
        <v>730632</v>
      </c>
      <c r="BF126" s="702">
        <v>725036</v>
      </c>
      <c r="BG126" s="702">
        <v>511069</v>
      </c>
      <c r="BH126" s="702">
        <v>35883</v>
      </c>
      <c r="BI126" s="702">
        <v>35883</v>
      </c>
      <c r="BJ126" s="702">
        <v>24065</v>
      </c>
      <c r="BK126" s="702">
        <v>0</v>
      </c>
      <c r="BL126" s="702">
        <v>0</v>
      </c>
      <c r="BM126" s="702">
        <v>0</v>
      </c>
      <c r="BN126" s="702">
        <v>0</v>
      </c>
      <c r="BO126" s="702">
        <v>0</v>
      </c>
      <c r="BP126" s="702">
        <v>0</v>
      </c>
      <c r="BQ126" s="702">
        <v>0</v>
      </c>
      <c r="BR126" s="702">
        <v>0</v>
      </c>
      <c r="BS126" s="702">
        <v>0</v>
      </c>
      <c r="BT126" s="703">
        <v>0</v>
      </c>
    </row>
    <row r="127" spans="2:72">
      <c r="B127" s="694"/>
      <c r="C127" s="694" t="s">
        <v>498</v>
      </c>
      <c r="D127" s="694" t="s">
        <v>125</v>
      </c>
      <c r="E127" s="694" t="s">
        <v>686</v>
      </c>
      <c r="F127" s="694"/>
      <c r="G127" s="694"/>
      <c r="H127" s="694">
        <v>2016</v>
      </c>
      <c r="I127" s="646" t="s">
        <v>576</v>
      </c>
      <c r="J127" s="646" t="s">
        <v>581</v>
      </c>
      <c r="K127" s="635"/>
      <c r="L127" s="701">
        <v>0</v>
      </c>
      <c r="M127" s="702">
        <v>0</v>
      </c>
      <c r="N127" s="702">
        <v>0</v>
      </c>
      <c r="O127" s="702">
        <v>0</v>
      </c>
      <c r="P127" s="702">
        <v>0</v>
      </c>
      <c r="Q127" s="702">
        <v>3</v>
      </c>
      <c r="R127" s="702">
        <v>3</v>
      </c>
      <c r="S127" s="702">
        <v>3</v>
      </c>
      <c r="T127" s="702">
        <v>3</v>
      </c>
      <c r="U127" s="702">
        <v>3</v>
      </c>
      <c r="V127" s="702">
        <v>3</v>
      </c>
      <c r="W127" s="702">
        <v>3</v>
      </c>
      <c r="X127" s="702">
        <v>3</v>
      </c>
      <c r="Y127" s="702">
        <v>3</v>
      </c>
      <c r="Z127" s="702">
        <v>3</v>
      </c>
      <c r="AA127" s="702">
        <v>3</v>
      </c>
      <c r="AB127" s="702">
        <v>3</v>
      </c>
      <c r="AC127" s="702">
        <v>3</v>
      </c>
      <c r="AD127" s="702">
        <v>3</v>
      </c>
      <c r="AE127" s="702">
        <v>3</v>
      </c>
      <c r="AF127" s="702">
        <v>3</v>
      </c>
      <c r="AG127" s="702">
        <v>3</v>
      </c>
      <c r="AH127" s="702">
        <v>3</v>
      </c>
      <c r="AI127" s="702">
        <v>3</v>
      </c>
      <c r="AJ127" s="702">
        <v>3</v>
      </c>
      <c r="AK127" s="702">
        <v>3</v>
      </c>
      <c r="AL127" s="702">
        <v>0</v>
      </c>
      <c r="AM127" s="702">
        <v>0</v>
      </c>
      <c r="AN127" s="702">
        <v>0</v>
      </c>
      <c r="AO127" s="703">
        <v>0</v>
      </c>
      <c r="AP127" s="635"/>
      <c r="AQ127" s="701">
        <v>0</v>
      </c>
      <c r="AR127" s="702">
        <v>0</v>
      </c>
      <c r="AS127" s="702">
        <v>0</v>
      </c>
      <c r="AT127" s="702">
        <v>0</v>
      </c>
      <c r="AU127" s="702">
        <v>0</v>
      </c>
      <c r="AV127" s="702">
        <v>3366</v>
      </c>
      <c r="AW127" s="702">
        <v>3366</v>
      </c>
      <c r="AX127" s="702">
        <v>3366</v>
      </c>
      <c r="AY127" s="702">
        <v>3366</v>
      </c>
      <c r="AZ127" s="702">
        <v>3366</v>
      </c>
      <c r="BA127" s="702">
        <v>3366</v>
      </c>
      <c r="BB127" s="702">
        <v>3366</v>
      </c>
      <c r="BC127" s="702">
        <v>3366</v>
      </c>
      <c r="BD127" s="702">
        <v>3366</v>
      </c>
      <c r="BE127" s="702">
        <v>3366</v>
      </c>
      <c r="BF127" s="702">
        <v>3366</v>
      </c>
      <c r="BG127" s="702">
        <v>3366</v>
      </c>
      <c r="BH127" s="702">
        <v>2530</v>
      </c>
      <c r="BI127" s="702">
        <v>2530</v>
      </c>
      <c r="BJ127" s="702">
        <v>2530</v>
      </c>
      <c r="BK127" s="702">
        <v>2530</v>
      </c>
      <c r="BL127" s="702">
        <v>2530</v>
      </c>
      <c r="BM127" s="702">
        <v>2530</v>
      </c>
      <c r="BN127" s="702">
        <v>2530</v>
      </c>
      <c r="BO127" s="702">
        <v>2530</v>
      </c>
      <c r="BP127" s="702">
        <v>2530</v>
      </c>
      <c r="BQ127" s="702">
        <v>0</v>
      </c>
      <c r="BR127" s="702">
        <v>0</v>
      </c>
      <c r="BS127" s="702">
        <v>0</v>
      </c>
      <c r="BT127" s="703">
        <v>0</v>
      </c>
    </row>
    <row r="128" spans="2:72">
      <c r="B128" s="694"/>
      <c r="C128" s="694"/>
      <c r="D128" s="694"/>
      <c r="E128" s="694"/>
      <c r="F128" s="694"/>
      <c r="G128" s="694"/>
      <c r="H128" s="694"/>
      <c r="I128" s="646"/>
      <c r="J128" s="646"/>
      <c r="K128" s="635"/>
      <c r="L128" s="701">
        <v>0</v>
      </c>
      <c r="M128" s="702">
        <v>0</v>
      </c>
      <c r="N128" s="702">
        <v>0</v>
      </c>
      <c r="O128" s="702">
        <v>0</v>
      </c>
      <c r="P128" s="702">
        <v>0</v>
      </c>
      <c r="Q128" s="702">
        <v>0</v>
      </c>
      <c r="R128" s="702">
        <v>0</v>
      </c>
      <c r="S128" s="702">
        <v>0</v>
      </c>
      <c r="T128" s="702">
        <v>0</v>
      </c>
      <c r="U128" s="702">
        <v>0</v>
      </c>
      <c r="V128" s="702">
        <v>0</v>
      </c>
      <c r="W128" s="702">
        <v>0</v>
      </c>
      <c r="X128" s="702">
        <v>0</v>
      </c>
      <c r="Y128" s="702">
        <v>0</v>
      </c>
      <c r="Z128" s="702">
        <v>0</v>
      </c>
      <c r="AA128" s="702">
        <v>0</v>
      </c>
      <c r="AB128" s="702">
        <v>0</v>
      </c>
      <c r="AC128" s="702">
        <v>0</v>
      </c>
      <c r="AD128" s="702">
        <v>0</v>
      </c>
      <c r="AE128" s="702">
        <v>0</v>
      </c>
      <c r="AF128" s="702">
        <v>0</v>
      </c>
      <c r="AG128" s="702">
        <v>0</v>
      </c>
      <c r="AH128" s="702">
        <v>0</v>
      </c>
      <c r="AI128" s="702">
        <v>0</v>
      </c>
      <c r="AJ128" s="702">
        <v>0</v>
      </c>
      <c r="AK128" s="702">
        <v>0</v>
      </c>
      <c r="AL128" s="702">
        <v>0</v>
      </c>
      <c r="AM128" s="702">
        <v>0</v>
      </c>
      <c r="AN128" s="702">
        <v>0</v>
      </c>
      <c r="AO128" s="703">
        <v>0</v>
      </c>
      <c r="AP128" s="635"/>
      <c r="AQ128" s="701">
        <v>0</v>
      </c>
      <c r="AR128" s="702">
        <v>0</v>
      </c>
      <c r="AS128" s="702">
        <v>0</v>
      </c>
      <c r="AT128" s="702">
        <v>0</v>
      </c>
      <c r="AU128" s="702">
        <v>0</v>
      </c>
      <c r="AV128" s="702">
        <v>0</v>
      </c>
      <c r="AW128" s="702">
        <v>0</v>
      </c>
      <c r="AX128" s="702">
        <v>0</v>
      </c>
      <c r="AY128" s="702">
        <v>0</v>
      </c>
      <c r="AZ128" s="702">
        <v>0</v>
      </c>
      <c r="BA128" s="702">
        <v>0</v>
      </c>
      <c r="BB128" s="702">
        <v>0</v>
      </c>
      <c r="BC128" s="702">
        <v>0</v>
      </c>
      <c r="BD128" s="702">
        <v>0</v>
      </c>
      <c r="BE128" s="702">
        <v>0</v>
      </c>
      <c r="BF128" s="702">
        <v>0</v>
      </c>
      <c r="BG128" s="702">
        <v>0</v>
      </c>
      <c r="BH128" s="702">
        <v>0</v>
      </c>
      <c r="BI128" s="702">
        <v>0</v>
      </c>
      <c r="BJ128" s="702">
        <v>0</v>
      </c>
      <c r="BK128" s="702">
        <v>0</v>
      </c>
      <c r="BL128" s="702">
        <v>0</v>
      </c>
      <c r="BM128" s="702">
        <v>0</v>
      </c>
      <c r="BN128" s="702">
        <v>0</v>
      </c>
      <c r="BO128" s="702">
        <v>0</v>
      </c>
      <c r="BP128" s="702">
        <v>0</v>
      </c>
      <c r="BQ128" s="702">
        <v>0</v>
      </c>
      <c r="BR128" s="702">
        <v>0</v>
      </c>
      <c r="BS128" s="702">
        <v>0</v>
      </c>
      <c r="BT128" s="703">
        <v>0</v>
      </c>
    </row>
    <row r="129" spans="2:72">
      <c r="B129" s="694"/>
      <c r="C129" s="694"/>
      <c r="D129" s="694"/>
      <c r="E129" s="694"/>
      <c r="F129" s="694"/>
      <c r="G129" s="694"/>
      <c r="H129" s="694"/>
      <c r="I129" s="646"/>
      <c r="J129" s="646"/>
      <c r="K129" s="635"/>
      <c r="L129" s="701">
        <v>0</v>
      </c>
      <c r="M129" s="702">
        <v>0</v>
      </c>
      <c r="N129" s="702">
        <v>0</v>
      </c>
      <c r="O129" s="702">
        <v>0</v>
      </c>
      <c r="P129" s="702">
        <v>0</v>
      </c>
      <c r="Q129" s="702">
        <v>0</v>
      </c>
      <c r="R129" s="702">
        <v>0</v>
      </c>
      <c r="S129" s="702">
        <v>0</v>
      </c>
      <c r="T129" s="702">
        <v>0</v>
      </c>
      <c r="U129" s="702">
        <v>0</v>
      </c>
      <c r="V129" s="702">
        <v>0</v>
      </c>
      <c r="W129" s="702">
        <v>0</v>
      </c>
      <c r="X129" s="702">
        <v>0</v>
      </c>
      <c r="Y129" s="702">
        <v>0</v>
      </c>
      <c r="Z129" s="702">
        <v>0</v>
      </c>
      <c r="AA129" s="702">
        <v>0</v>
      </c>
      <c r="AB129" s="702">
        <v>0</v>
      </c>
      <c r="AC129" s="702">
        <v>0</v>
      </c>
      <c r="AD129" s="702">
        <v>0</v>
      </c>
      <c r="AE129" s="702">
        <v>0</v>
      </c>
      <c r="AF129" s="702">
        <v>0</v>
      </c>
      <c r="AG129" s="702">
        <v>0</v>
      </c>
      <c r="AH129" s="702">
        <v>0</v>
      </c>
      <c r="AI129" s="702">
        <v>0</v>
      </c>
      <c r="AJ129" s="702">
        <v>0</v>
      </c>
      <c r="AK129" s="702">
        <v>0</v>
      </c>
      <c r="AL129" s="702">
        <v>0</v>
      </c>
      <c r="AM129" s="702">
        <v>0</v>
      </c>
      <c r="AN129" s="702">
        <v>0</v>
      </c>
      <c r="AO129" s="703">
        <v>0</v>
      </c>
      <c r="AP129" s="635"/>
      <c r="AQ129" s="701">
        <v>0</v>
      </c>
      <c r="AR129" s="702">
        <v>0</v>
      </c>
      <c r="AS129" s="702">
        <v>0</v>
      </c>
      <c r="AT129" s="702">
        <v>0</v>
      </c>
      <c r="AU129" s="702">
        <v>0</v>
      </c>
      <c r="AV129" s="702">
        <v>0</v>
      </c>
      <c r="AW129" s="702">
        <v>0</v>
      </c>
      <c r="AX129" s="702">
        <v>0</v>
      </c>
      <c r="AY129" s="702">
        <v>0</v>
      </c>
      <c r="AZ129" s="702">
        <v>0</v>
      </c>
      <c r="BA129" s="702">
        <v>0</v>
      </c>
      <c r="BB129" s="702">
        <v>0</v>
      </c>
      <c r="BC129" s="702">
        <v>0</v>
      </c>
      <c r="BD129" s="702">
        <v>0</v>
      </c>
      <c r="BE129" s="702">
        <v>0</v>
      </c>
      <c r="BF129" s="702">
        <v>0</v>
      </c>
      <c r="BG129" s="702">
        <v>0</v>
      </c>
      <c r="BH129" s="702">
        <v>0</v>
      </c>
      <c r="BI129" s="702">
        <v>0</v>
      </c>
      <c r="BJ129" s="702">
        <v>0</v>
      </c>
      <c r="BK129" s="702">
        <v>0</v>
      </c>
      <c r="BL129" s="702">
        <v>0</v>
      </c>
      <c r="BM129" s="702">
        <v>0</v>
      </c>
      <c r="BN129" s="702">
        <v>0</v>
      </c>
      <c r="BO129" s="702">
        <v>0</v>
      </c>
      <c r="BP129" s="702">
        <v>0</v>
      </c>
      <c r="BQ129" s="702">
        <v>0</v>
      </c>
      <c r="BR129" s="702">
        <v>0</v>
      </c>
      <c r="BS129" s="702">
        <v>0</v>
      </c>
      <c r="BT129" s="703">
        <v>0</v>
      </c>
    </row>
    <row r="130" spans="2:72">
      <c r="B130" s="694"/>
      <c r="C130" s="694"/>
      <c r="D130" s="694"/>
      <c r="E130" s="694"/>
      <c r="F130" s="694"/>
      <c r="G130" s="694"/>
      <c r="H130" s="694"/>
      <c r="I130" s="646"/>
      <c r="J130" s="646"/>
      <c r="K130" s="635"/>
      <c r="L130" s="701">
        <v>0</v>
      </c>
      <c r="M130" s="702">
        <v>0</v>
      </c>
      <c r="N130" s="702">
        <v>0</v>
      </c>
      <c r="O130" s="702">
        <v>0</v>
      </c>
      <c r="P130" s="702">
        <v>0</v>
      </c>
      <c r="Q130" s="702">
        <v>0</v>
      </c>
      <c r="R130" s="702">
        <v>0</v>
      </c>
      <c r="S130" s="702">
        <v>0</v>
      </c>
      <c r="T130" s="702">
        <v>0</v>
      </c>
      <c r="U130" s="702">
        <v>0</v>
      </c>
      <c r="V130" s="702">
        <v>0</v>
      </c>
      <c r="W130" s="702">
        <v>0</v>
      </c>
      <c r="X130" s="702">
        <v>0</v>
      </c>
      <c r="Y130" s="702">
        <v>0</v>
      </c>
      <c r="Z130" s="702">
        <v>0</v>
      </c>
      <c r="AA130" s="702">
        <v>0</v>
      </c>
      <c r="AB130" s="702">
        <v>0</v>
      </c>
      <c r="AC130" s="702">
        <v>0</v>
      </c>
      <c r="AD130" s="702">
        <v>0</v>
      </c>
      <c r="AE130" s="702">
        <v>0</v>
      </c>
      <c r="AF130" s="702">
        <v>0</v>
      </c>
      <c r="AG130" s="702">
        <v>0</v>
      </c>
      <c r="AH130" s="702">
        <v>0</v>
      </c>
      <c r="AI130" s="702">
        <v>0</v>
      </c>
      <c r="AJ130" s="702">
        <v>0</v>
      </c>
      <c r="AK130" s="702">
        <v>0</v>
      </c>
      <c r="AL130" s="702">
        <v>0</v>
      </c>
      <c r="AM130" s="702">
        <v>0</v>
      </c>
      <c r="AN130" s="702">
        <v>0</v>
      </c>
      <c r="AO130" s="703">
        <v>0</v>
      </c>
      <c r="AP130" s="635"/>
      <c r="AQ130" s="701">
        <v>0</v>
      </c>
      <c r="AR130" s="702">
        <v>0</v>
      </c>
      <c r="AS130" s="702">
        <v>0</v>
      </c>
      <c r="AT130" s="702">
        <v>0</v>
      </c>
      <c r="AU130" s="702">
        <v>0</v>
      </c>
      <c r="AV130" s="702">
        <v>0</v>
      </c>
      <c r="AW130" s="702">
        <v>0</v>
      </c>
      <c r="AX130" s="702">
        <v>0</v>
      </c>
      <c r="AY130" s="702">
        <v>0</v>
      </c>
      <c r="AZ130" s="702">
        <v>0</v>
      </c>
      <c r="BA130" s="702">
        <v>0</v>
      </c>
      <c r="BB130" s="702">
        <v>0</v>
      </c>
      <c r="BC130" s="702">
        <v>0</v>
      </c>
      <c r="BD130" s="702">
        <v>0</v>
      </c>
      <c r="BE130" s="702">
        <v>0</v>
      </c>
      <c r="BF130" s="702">
        <v>0</v>
      </c>
      <c r="BG130" s="702">
        <v>0</v>
      </c>
      <c r="BH130" s="702">
        <v>0</v>
      </c>
      <c r="BI130" s="702">
        <v>0</v>
      </c>
      <c r="BJ130" s="702">
        <v>0</v>
      </c>
      <c r="BK130" s="702">
        <v>0</v>
      </c>
      <c r="BL130" s="702">
        <v>0</v>
      </c>
      <c r="BM130" s="702">
        <v>0</v>
      </c>
      <c r="BN130" s="702">
        <v>0</v>
      </c>
      <c r="BO130" s="702">
        <v>0</v>
      </c>
      <c r="BP130" s="702">
        <v>0</v>
      </c>
      <c r="BQ130" s="702">
        <v>0</v>
      </c>
      <c r="BR130" s="702">
        <v>0</v>
      </c>
      <c r="BS130" s="702">
        <v>0</v>
      </c>
      <c r="BT130" s="703">
        <v>0</v>
      </c>
    </row>
    <row r="131" spans="2:72">
      <c r="B131" s="694"/>
      <c r="C131" s="694"/>
      <c r="D131" s="694"/>
      <c r="E131" s="694"/>
      <c r="F131" s="694"/>
      <c r="G131" s="694"/>
      <c r="H131" s="694"/>
      <c r="I131" s="646"/>
      <c r="J131" s="646"/>
      <c r="K131" s="635"/>
      <c r="L131" s="701">
        <v>0</v>
      </c>
      <c r="M131" s="702">
        <v>0</v>
      </c>
      <c r="N131" s="702">
        <v>0</v>
      </c>
      <c r="O131" s="702">
        <v>0</v>
      </c>
      <c r="P131" s="702">
        <v>0</v>
      </c>
      <c r="Q131" s="702">
        <v>0</v>
      </c>
      <c r="R131" s="702">
        <v>0</v>
      </c>
      <c r="S131" s="702">
        <v>0</v>
      </c>
      <c r="T131" s="702">
        <v>0</v>
      </c>
      <c r="U131" s="702">
        <v>0</v>
      </c>
      <c r="V131" s="702">
        <v>0</v>
      </c>
      <c r="W131" s="702">
        <v>0</v>
      </c>
      <c r="X131" s="702">
        <v>0</v>
      </c>
      <c r="Y131" s="702">
        <v>0</v>
      </c>
      <c r="Z131" s="702">
        <v>0</v>
      </c>
      <c r="AA131" s="702">
        <v>0</v>
      </c>
      <c r="AB131" s="702">
        <v>0</v>
      </c>
      <c r="AC131" s="702">
        <v>0</v>
      </c>
      <c r="AD131" s="702">
        <v>0</v>
      </c>
      <c r="AE131" s="702">
        <v>0</v>
      </c>
      <c r="AF131" s="702">
        <v>0</v>
      </c>
      <c r="AG131" s="702">
        <v>0</v>
      </c>
      <c r="AH131" s="702">
        <v>0</v>
      </c>
      <c r="AI131" s="702">
        <v>0</v>
      </c>
      <c r="AJ131" s="702">
        <v>0</v>
      </c>
      <c r="AK131" s="702">
        <v>0</v>
      </c>
      <c r="AL131" s="702">
        <v>0</v>
      </c>
      <c r="AM131" s="702">
        <v>0</v>
      </c>
      <c r="AN131" s="702">
        <v>0</v>
      </c>
      <c r="AO131" s="703">
        <v>0</v>
      </c>
      <c r="AP131" s="635"/>
      <c r="AQ131" s="701">
        <v>0</v>
      </c>
      <c r="AR131" s="702">
        <v>0</v>
      </c>
      <c r="AS131" s="702">
        <v>0</v>
      </c>
      <c r="AT131" s="702">
        <v>0</v>
      </c>
      <c r="AU131" s="702">
        <v>0</v>
      </c>
      <c r="AV131" s="702">
        <v>0</v>
      </c>
      <c r="AW131" s="702">
        <v>0</v>
      </c>
      <c r="AX131" s="702">
        <v>0</v>
      </c>
      <c r="AY131" s="702">
        <v>0</v>
      </c>
      <c r="AZ131" s="702">
        <v>0</v>
      </c>
      <c r="BA131" s="702">
        <v>0</v>
      </c>
      <c r="BB131" s="702">
        <v>0</v>
      </c>
      <c r="BC131" s="702">
        <v>0</v>
      </c>
      <c r="BD131" s="702">
        <v>0</v>
      </c>
      <c r="BE131" s="702">
        <v>0</v>
      </c>
      <c r="BF131" s="702">
        <v>0</v>
      </c>
      <c r="BG131" s="702">
        <v>0</v>
      </c>
      <c r="BH131" s="702">
        <v>0</v>
      </c>
      <c r="BI131" s="702">
        <v>0</v>
      </c>
      <c r="BJ131" s="702">
        <v>0</v>
      </c>
      <c r="BK131" s="702">
        <v>0</v>
      </c>
      <c r="BL131" s="702">
        <v>0</v>
      </c>
      <c r="BM131" s="702">
        <v>0</v>
      </c>
      <c r="BN131" s="702">
        <v>0</v>
      </c>
      <c r="BO131" s="702">
        <v>0</v>
      </c>
      <c r="BP131" s="702">
        <v>0</v>
      </c>
      <c r="BQ131" s="702">
        <v>0</v>
      </c>
      <c r="BR131" s="702">
        <v>0</v>
      </c>
      <c r="BS131" s="702">
        <v>0</v>
      </c>
      <c r="BT131" s="703">
        <v>0</v>
      </c>
    </row>
    <row r="132" spans="2:72">
      <c r="B132" s="694"/>
      <c r="C132" s="694"/>
      <c r="D132" s="694"/>
      <c r="E132" s="694"/>
      <c r="F132" s="694"/>
      <c r="G132" s="694"/>
      <c r="H132" s="694"/>
      <c r="I132" s="646"/>
      <c r="J132" s="646"/>
      <c r="K132" s="635"/>
      <c r="L132" s="701">
        <v>0</v>
      </c>
      <c r="M132" s="702">
        <v>0</v>
      </c>
      <c r="N132" s="702">
        <v>0</v>
      </c>
      <c r="O132" s="702">
        <v>0</v>
      </c>
      <c r="P132" s="702">
        <v>0</v>
      </c>
      <c r="Q132" s="702">
        <v>0</v>
      </c>
      <c r="R132" s="702">
        <v>0</v>
      </c>
      <c r="S132" s="702">
        <v>0</v>
      </c>
      <c r="T132" s="702">
        <v>0</v>
      </c>
      <c r="U132" s="702">
        <v>0</v>
      </c>
      <c r="V132" s="702">
        <v>0</v>
      </c>
      <c r="W132" s="702">
        <v>0</v>
      </c>
      <c r="X132" s="702">
        <v>0</v>
      </c>
      <c r="Y132" s="702">
        <v>0</v>
      </c>
      <c r="Z132" s="702">
        <v>0</v>
      </c>
      <c r="AA132" s="702">
        <v>0</v>
      </c>
      <c r="AB132" s="702">
        <v>0</v>
      </c>
      <c r="AC132" s="702">
        <v>0</v>
      </c>
      <c r="AD132" s="702">
        <v>0</v>
      </c>
      <c r="AE132" s="702">
        <v>0</v>
      </c>
      <c r="AF132" s="702">
        <v>0</v>
      </c>
      <c r="AG132" s="702">
        <v>0</v>
      </c>
      <c r="AH132" s="702">
        <v>0</v>
      </c>
      <c r="AI132" s="702">
        <v>0</v>
      </c>
      <c r="AJ132" s="702">
        <v>0</v>
      </c>
      <c r="AK132" s="702">
        <v>0</v>
      </c>
      <c r="AL132" s="702">
        <v>0</v>
      </c>
      <c r="AM132" s="702">
        <v>0</v>
      </c>
      <c r="AN132" s="702">
        <v>0</v>
      </c>
      <c r="AO132" s="703">
        <v>0</v>
      </c>
      <c r="AP132" s="635"/>
      <c r="AQ132" s="701">
        <v>0</v>
      </c>
      <c r="AR132" s="702">
        <v>0</v>
      </c>
      <c r="AS132" s="702">
        <v>0</v>
      </c>
      <c r="AT132" s="702">
        <v>0</v>
      </c>
      <c r="AU132" s="702">
        <v>0</v>
      </c>
      <c r="AV132" s="702">
        <v>0</v>
      </c>
      <c r="AW132" s="702">
        <v>0</v>
      </c>
      <c r="AX132" s="702">
        <v>0</v>
      </c>
      <c r="AY132" s="702">
        <v>0</v>
      </c>
      <c r="AZ132" s="702">
        <v>0</v>
      </c>
      <c r="BA132" s="702">
        <v>0</v>
      </c>
      <c r="BB132" s="702">
        <v>0</v>
      </c>
      <c r="BC132" s="702">
        <v>0</v>
      </c>
      <c r="BD132" s="702">
        <v>0</v>
      </c>
      <c r="BE132" s="702">
        <v>0</v>
      </c>
      <c r="BF132" s="702">
        <v>0</v>
      </c>
      <c r="BG132" s="702">
        <v>0</v>
      </c>
      <c r="BH132" s="702">
        <v>0</v>
      </c>
      <c r="BI132" s="702">
        <v>0</v>
      </c>
      <c r="BJ132" s="702">
        <v>0</v>
      </c>
      <c r="BK132" s="702">
        <v>0</v>
      </c>
      <c r="BL132" s="702">
        <v>0</v>
      </c>
      <c r="BM132" s="702">
        <v>0</v>
      </c>
      <c r="BN132" s="702">
        <v>0</v>
      </c>
      <c r="BO132" s="702">
        <v>0</v>
      </c>
      <c r="BP132" s="702">
        <v>0</v>
      </c>
      <c r="BQ132" s="702">
        <v>0</v>
      </c>
      <c r="BR132" s="702">
        <v>0</v>
      </c>
      <c r="BS132" s="702">
        <v>0</v>
      </c>
      <c r="BT132" s="703">
        <v>0</v>
      </c>
    </row>
    <row r="133" spans="2:72">
      <c r="B133" s="694"/>
      <c r="C133" s="694"/>
      <c r="D133" s="694"/>
      <c r="E133" s="694"/>
      <c r="F133" s="694"/>
      <c r="G133" s="694"/>
      <c r="H133" s="694"/>
      <c r="I133" s="646"/>
      <c r="J133" s="646"/>
      <c r="K133" s="635"/>
      <c r="L133" s="701">
        <v>0</v>
      </c>
      <c r="M133" s="702">
        <v>0</v>
      </c>
      <c r="N133" s="702">
        <v>0</v>
      </c>
      <c r="O133" s="702">
        <v>0</v>
      </c>
      <c r="P133" s="702">
        <v>0</v>
      </c>
      <c r="Q133" s="702">
        <v>0</v>
      </c>
      <c r="R133" s="702">
        <v>0</v>
      </c>
      <c r="S133" s="702">
        <v>0</v>
      </c>
      <c r="T133" s="702">
        <v>0</v>
      </c>
      <c r="U133" s="702">
        <v>0</v>
      </c>
      <c r="V133" s="702">
        <v>0</v>
      </c>
      <c r="W133" s="702">
        <v>0</v>
      </c>
      <c r="X133" s="702">
        <v>0</v>
      </c>
      <c r="Y133" s="702">
        <v>0</v>
      </c>
      <c r="Z133" s="702">
        <v>0</v>
      </c>
      <c r="AA133" s="702">
        <v>0</v>
      </c>
      <c r="AB133" s="702">
        <v>0</v>
      </c>
      <c r="AC133" s="702">
        <v>0</v>
      </c>
      <c r="AD133" s="702">
        <v>0</v>
      </c>
      <c r="AE133" s="702">
        <v>0</v>
      </c>
      <c r="AF133" s="702">
        <v>0</v>
      </c>
      <c r="AG133" s="702">
        <v>0</v>
      </c>
      <c r="AH133" s="702">
        <v>0</v>
      </c>
      <c r="AI133" s="702">
        <v>0</v>
      </c>
      <c r="AJ133" s="702">
        <v>0</v>
      </c>
      <c r="AK133" s="702">
        <v>0</v>
      </c>
      <c r="AL133" s="702">
        <v>0</v>
      </c>
      <c r="AM133" s="702">
        <v>0</v>
      </c>
      <c r="AN133" s="702">
        <v>0</v>
      </c>
      <c r="AO133" s="703">
        <v>0</v>
      </c>
      <c r="AP133" s="635"/>
      <c r="AQ133" s="701">
        <v>0</v>
      </c>
      <c r="AR133" s="702">
        <v>0</v>
      </c>
      <c r="AS133" s="702">
        <v>0</v>
      </c>
      <c r="AT133" s="702">
        <v>0</v>
      </c>
      <c r="AU133" s="702">
        <v>0</v>
      </c>
      <c r="AV133" s="702">
        <v>0</v>
      </c>
      <c r="AW133" s="702">
        <v>0</v>
      </c>
      <c r="AX133" s="702">
        <v>0</v>
      </c>
      <c r="AY133" s="702">
        <v>0</v>
      </c>
      <c r="AZ133" s="702">
        <v>0</v>
      </c>
      <c r="BA133" s="702">
        <v>0</v>
      </c>
      <c r="BB133" s="702">
        <v>0</v>
      </c>
      <c r="BC133" s="702">
        <v>0</v>
      </c>
      <c r="BD133" s="702">
        <v>0</v>
      </c>
      <c r="BE133" s="702">
        <v>0</v>
      </c>
      <c r="BF133" s="702">
        <v>0</v>
      </c>
      <c r="BG133" s="702">
        <v>0</v>
      </c>
      <c r="BH133" s="702">
        <v>0</v>
      </c>
      <c r="BI133" s="702">
        <v>0</v>
      </c>
      <c r="BJ133" s="702">
        <v>0</v>
      </c>
      <c r="BK133" s="702">
        <v>0</v>
      </c>
      <c r="BL133" s="702">
        <v>0</v>
      </c>
      <c r="BM133" s="702">
        <v>0</v>
      </c>
      <c r="BN133" s="702">
        <v>0</v>
      </c>
      <c r="BO133" s="702">
        <v>0</v>
      </c>
      <c r="BP133" s="702">
        <v>0</v>
      </c>
      <c r="BQ133" s="702">
        <v>0</v>
      </c>
      <c r="BR133" s="702">
        <v>0</v>
      </c>
      <c r="BS133" s="702">
        <v>0</v>
      </c>
      <c r="BT133" s="703">
        <v>0</v>
      </c>
    </row>
    <row r="134" spans="2:72">
      <c r="B134" s="694"/>
      <c r="C134" s="694"/>
      <c r="D134" s="694"/>
      <c r="E134" s="694"/>
      <c r="F134" s="694"/>
      <c r="G134" s="694"/>
      <c r="H134" s="694"/>
      <c r="I134" s="646"/>
      <c r="J134" s="646"/>
      <c r="K134" s="635"/>
      <c r="L134" s="701">
        <v>0</v>
      </c>
      <c r="M134" s="702">
        <v>0</v>
      </c>
      <c r="N134" s="702">
        <v>0</v>
      </c>
      <c r="O134" s="702">
        <v>0</v>
      </c>
      <c r="P134" s="702">
        <v>0</v>
      </c>
      <c r="Q134" s="702">
        <v>0</v>
      </c>
      <c r="R134" s="702">
        <v>0</v>
      </c>
      <c r="S134" s="702">
        <v>0</v>
      </c>
      <c r="T134" s="702">
        <v>0</v>
      </c>
      <c r="U134" s="702">
        <v>0</v>
      </c>
      <c r="V134" s="702">
        <v>0</v>
      </c>
      <c r="W134" s="702">
        <v>0</v>
      </c>
      <c r="X134" s="702">
        <v>0</v>
      </c>
      <c r="Y134" s="702">
        <v>0</v>
      </c>
      <c r="Z134" s="702">
        <v>0</v>
      </c>
      <c r="AA134" s="702">
        <v>0</v>
      </c>
      <c r="AB134" s="702">
        <v>0</v>
      </c>
      <c r="AC134" s="702">
        <v>0</v>
      </c>
      <c r="AD134" s="702">
        <v>0</v>
      </c>
      <c r="AE134" s="702">
        <v>0</v>
      </c>
      <c r="AF134" s="702">
        <v>0</v>
      </c>
      <c r="AG134" s="702">
        <v>0</v>
      </c>
      <c r="AH134" s="702">
        <v>0</v>
      </c>
      <c r="AI134" s="702">
        <v>0</v>
      </c>
      <c r="AJ134" s="702">
        <v>0</v>
      </c>
      <c r="AK134" s="702">
        <v>0</v>
      </c>
      <c r="AL134" s="702">
        <v>0</v>
      </c>
      <c r="AM134" s="702">
        <v>0</v>
      </c>
      <c r="AN134" s="702">
        <v>0</v>
      </c>
      <c r="AO134" s="703">
        <v>0</v>
      </c>
      <c r="AP134" s="635"/>
      <c r="AQ134" s="701">
        <v>0</v>
      </c>
      <c r="AR134" s="702">
        <v>0</v>
      </c>
      <c r="AS134" s="702">
        <v>0</v>
      </c>
      <c r="AT134" s="702">
        <v>0</v>
      </c>
      <c r="AU134" s="702">
        <v>0</v>
      </c>
      <c r="AV134" s="702">
        <v>0</v>
      </c>
      <c r="AW134" s="702">
        <v>0</v>
      </c>
      <c r="AX134" s="702">
        <v>0</v>
      </c>
      <c r="AY134" s="702">
        <v>0</v>
      </c>
      <c r="AZ134" s="702">
        <v>0</v>
      </c>
      <c r="BA134" s="702">
        <v>0</v>
      </c>
      <c r="BB134" s="702">
        <v>0</v>
      </c>
      <c r="BC134" s="702">
        <v>0</v>
      </c>
      <c r="BD134" s="702">
        <v>0</v>
      </c>
      <c r="BE134" s="702">
        <v>0</v>
      </c>
      <c r="BF134" s="702">
        <v>0</v>
      </c>
      <c r="BG134" s="702">
        <v>0</v>
      </c>
      <c r="BH134" s="702">
        <v>0</v>
      </c>
      <c r="BI134" s="702">
        <v>0</v>
      </c>
      <c r="BJ134" s="702">
        <v>0</v>
      </c>
      <c r="BK134" s="702">
        <v>0</v>
      </c>
      <c r="BL134" s="702">
        <v>0</v>
      </c>
      <c r="BM134" s="702">
        <v>0</v>
      </c>
      <c r="BN134" s="702">
        <v>0</v>
      </c>
      <c r="BO134" s="702">
        <v>0</v>
      </c>
      <c r="BP134" s="702">
        <v>0</v>
      </c>
      <c r="BQ134" s="702">
        <v>0</v>
      </c>
      <c r="BR134" s="702">
        <v>0</v>
      </c>
      <c r="BS134" s="702">
        <v>0</v>
      </c>
      <c r="BT134" s="703">
        <v>0</v>
      </c>
    </row>
    <row r="135" spans="2:72">
      <c r="B135" s="694"/>
      <c r="C135" s="694"/>
      <c r="D135" s="694"/>
      <c r="E135" s="694"/>
      <c r="F135" s="694"/>
      <c r="G135" s="694"/>
      <c r="H135" s="694"/>
      <c r="I135" s="646"/>
      <c r="J135" s="646"/>
      <c r="K135" s="635"/>
      <c r="L135" s="701">
        <v>0</v>
      </c>
      <c r="M135" s="702">
        <v>0</v>
      </c>
      <c r="N135" s="702">
        <v>0</v>
      </c>
      <c r="O135" s="702">
        <v>0</v>
      </c>
      <c r="P135" s="702">
        <v>0</v>
      </c>
      <c r="Q135" s="702">
        <v>0</v>
      </c>
      <c r="R135" s="702">
        <v>0</v>
      </c>
      <c r="S135" s="702">
        <v>0</v>
      </c>
      <c r="T135" s="702">
        <v>0</v>
      </c>
      <c r="U135" s="702">
        <v>0</v>
      </c>
      <c r="V135" s="702">
        <v>0</v>
      </c>
      <c r="W135" s="702">
        <v>0</v>
      </c>
      <c r="X135" s="702">
        <v>0</v>
      </c>
      <c r="Y135" s="702">
        <v>0</v>
      </c>
      <c r="Z135" s="702">
        <v>0</v>
      </c>
      <c r="AA135" s="702">
        <v>0</v>
      </c>
      <c r="AB135" s="702">
        <v>0</v>
      </c>
      <c r="AC135" s="702">
        <v>0</v>
      </c>
      <c r="AD135" s="702">
        <v>0</v>
      </c>
      <c r="AE135" s="702">
        <v>0</v>
      </c>
      <c r="AF135" s="702">
        <v>0</v>
      </c>
      <c r="AG135" s="702">
        <v>0</v>
      </c>
      <c r="AH135" s="702">
        <v>0</v>
      </c>
      <c r="AI135" s="702">
        <v>0</v>
      </c>
      <c r="AJ135" s="702">
        <v>0</v>
      </c>
      <c r="AK135" s="702">
        <v>0</v>
      </c>
      <c r="AL135" s="702">
        <v>0</v>
      </c>
      <c r="AM135" s="702">
        <v>0</v>
      </c>
      <c r="AN135" s="702">
        <v>0</v>
      </c>
      <c r="AO135" s="703">
        <v>0</v>
      </c>
      <c r="AP135" s="635"/>
      <c r="AQ135" s="701">
        <v>0</v>
      </c>
      <c r="AR135" s="702">
        <v>0</v>
      </c>
      <c r="AS135" s="702">
        <v>0</v>
      </c>
      <c r="AT135" s="702">
        <v>0</v>
      </c>
      <c r="AU135" s="702">
        <v>0</v>
      </c>
      <c r="AV135" s="702">
        <v>0</v>
      </c>
      <c r="AW135" s="702">
        <v>0</v>
      </c>
      <c r="AX135" s="702">
        <v>0</v>
      </c>
      <c r="AY135" s="702">
        <v>0</v>
      </c>
      <c r="AZ135" s="702">
        <v>0</v>
      </c>
      <c r="BA135" s="702">
        <v>0</v>
      </c>
      <c r="BB135" s="702">
        <v>0</v>
      </c>
      <c r="BC135" s="702">
        <v>0</v>
      </c>
      <c r="BD135" s="702">
        <v>0</v>
      </c>
      <c r="BE135" s="702">
        <v>0</v>
      </c>
      <c r="BF135" s="702">
        <v>0</v>
      </c>
      <c r="BG135" s="702">
        <v>0</v>
      </c>
      <c r="BH135" s="702">
        <v>0</v>
      </c>
      <c r="BI135" s="702">
        <v>0</v>
      </c>
      <c r="BJ135" s="702">
        <v>0</v>
      </c>
      <c r="BK135" s="702">
        <v>0</v>
      </c>
      <c r="BL135" s="702">
        <v>0</v>
      </c>
      <c r="BM135" s="702">
        <v>0</v>
      </c>
      <c r="BN135" s="702">
        <v>0</v>
      </c>
      <c r="BO135" s="702">
        <v>0</v>
      </c>
      <c r="BP135" s="702">
        <v>0</v>
      </c>
      <c r="BQ135" s="702">
        <v>0</v>
      </c>
      <c r="BR135" s="702">
        <v>0</v>
      </c>
      <c r="BS135" s="702">
        <v>0</v>
      </c>
      <c r="BT135" s="703">
        <v>0</v>
      </c>
    </row>
    <row r="136" spans="2:72">
      <c r="B136" s="694"/>
      <c r="C136" s="694"/>
      <c r="D136" s="694"/>
      <c r="E136" s="694"/>
      <c r="F136" s="694"/>
      <c r="G136" s="694"/>
      <c r="H136" s="694"/>
      <c r="I136" s="646"/>
      <c r="J136" s="646"/>
      <c r="K136" s="635"/>
      <c r="L136" s="701">
        <v>0</v>
      </c>
      <c r="M136" s="702">
        <v>0</v>
      </c>
      <c r="N136" s="702">
        <v>0</v>
      </c>
      <c r="O136" s="702">
        <v>0</v>
      </c>
      <c r="P136" s="702">
        <v>0</v>
      </c>
      <c r="Q136" s="702">
        <v>0</v>
      </c>
      <c r="R136" s="702">
        <v>0</v>
      </c>
      <c r="S136" s="702">
        <v>0</v>
      </c>
      <c r="T136" s="702">
        <v>0</v>
      </c>
      <c r="U136" s="702">
        <v>0</v>
      </c>
      <c r="V136" s="702">
        <v>0</v>
      </c>
      <c r="W136" s="702">
        <v>0</v>
      </c>
      <c r="X136" s="702">
        <v>0</v>
      </c>
      <c r="Y136" s="702">
        <v>0</v>
      </c>
      <c r="Z136" s="702">
        <v>0</v>
      </c>
      <c r="AA136" s="702">
        <v>0</v>
      </c>
      <c r="AB136" s="702">
        <v>0</v>
      </c>
      <c r="AC136" s="702">
        <v>0</v>
      </c>
      <c r="AD136" s="702">
        <v>0</v>
      </c>
      <c r="AE136" s="702">
        <v>0</v>
      </c>
      <c r="AF136" s="702">
        <v>0</v>
      </c>
      <c r="AG136" s="702">
        <v>0</v>
      </c>
      <c r="AH136" s="702">
        <v>0</v>
      </c>
      <c r="AI136" s="702">
        <v>0</v>
      </c>
      <c r="AJ136" s="702">
        <v>0</v>
      </c>
      <c r="AK136" s="702">
        <v>0</v>
      </c>
      <c r="AL136" s="702">
        <v>0</v>
      </c>
      <c r="AM136" s="702">
        <v>0</v>
      </c>
      <c r="AN136" s="702">
        <v>0</v>
      </c>
      <c r="AO136" s="703">
        <v>0</v>
      </c>
      <c r="AP136" s="635"/>
      <c r="AQ136" s="701">
        <v>0</v>
      </c>
      <c r="AR136" s="702">
        <v>0</v>
      </c>
      <c r="AS136" s="702">
        <v>0</v>
      </c>
      <c r="AT136" s="702">
        <v>0</v>
      </c>
      <c r="AU136" s="702">
        <v>0</v>
      </c>
      <c r="AV136" s="702">
        <v>0</v>
      </c>
      <c r="AW136" s="702">
        <v>0</v>
      </c>
      <c r="AX136" s="702">
        <v>0</v>
      </c>
      <c r="AY136" s="702">
        <v>0</v>
      </c>
      <c r="AZ136" s="702">
        <v>0</v>
      </c>
      <c r="BA136" s="702">
        <v>0</v>
      </c>
      <c r="BB136" s="702">
        <v>0</v>
      </c>
      <c r="BC136" s="702">
        <v>0</v>
      </c>
      <c r="BD136" s="702">
        <v>0</v>
      </c>
      <c r="BE136" s="702">
        <v>0</v>
      </c>
      <c r="BF136" s="702">
        <v>0</v>
      </c>
      <c r="BG136" s="702">
        <v>0</v>
      </c>
      <c r="BH136" s="702">
        <v>0</v>
      </c>
      <c r="BI136" s="702">
        <v>0</v>
      </c>
      <c r="BJ136" s="702">
        <v>0</v>
      </c>
      <c r="BK136" s="702">
        <v>0</v>
      </c>
      <c r="BL136" s="702">
        <v>0</v>
      </c>
      <c r="BM136" s="702">
        <v>0</v>
      </c>
      <c r="BN136" s="702">
        <v>0</v>
      </c>
      <c r="BO136" s="702">
        <v>0</v>
      </c>
      <c r="BP136" s="702">
        <v>0</v>
      </c>
      <c r="BQ136" s="702">
        <v>0</v>
      </c>
      <c r="BR136" s="702">
        <v>0</v>
      </c>
      <c r="BS136" s="702">
        <v>0</v>
      </c>
      <c r="BT136" s="703">
        <v>0</v>
      </c>
    </row>
    <row r="137" spans="2:72">
      <c r="B137" s="694"/>
      <c r="C137" s="694"/>
      <c r="D137" s="694"/>
      <c r="E137" s="694"/>
      <c r="F137" s="694"/>
      <c r="G137" s="694"/>
      <c r="H137" s="694"/>
      <c r="I137" s="646"/>
      <c r="J137" s="646"/>
      <c r="K137" s="635"/>
      <c r="L137" s="701">
        <v>0</v>
      </c>
      <c r="M137" s="702">
        <v>0</v>
      </c>
      <c r="N137" s="702">
        <v>0</v>
      </c>
      <c r="O137" s="702">
        <v>0</v>
      </c>
      <c r="P137" s="702">
        <v>0</v>
      </c>
      <c r="Q137" s="702">
        <v>0</v>
      </c>
      <c r="R137" s="702">
        <v>0</v>
      </c>
      <c r="S137" s="702">
        <v>0</v>
      </c>
      <c r="T137" s="702">
        <v>0</v>
      </c>
      <c r="U137" s="702">
        <v>0</v>
      </c>
      <c r="V137" s="702">
        <v>0</v>
      </c>
      <c r="W137" s="702">
        <v>0</v>
      </c>
      <c r="X137" s="702">
        <v>0</v>
      </c>
      <c r="Y137" s="702">
        <v>0</v>
      </c>
      <c r="Z137" s="702">
        <v>0</v>
      </c>
      <c r="AA137" s="702">
        <v>0</v>
      </c>
      <c r="AB137" s="702">
        <v>0</v>
      </c>
      <c r="AC137" s="702">
        <v>0</v>
      </c>
      <c r="AD137" s="702">
        <v>0</v>
      </c>
      <c r="AE137" s="702">
        <v>0</v>
      </c>
      <c r="AF137" s="702">
        <v>0</v>
      </c>
      <c r="AG137" s="702">
        <v>0</v>
      </c>
      <c r="AH137" s="702">
        <v>0</v>
      </c>
      <c r="AI137" s="702">
        <v>0</v>
      </c>
      <c r="AJ137" s="702">
        <v>0</v>
      </c>
      <c r="AK137" s="702">
        <v>0</v>
      </c>
      <c r="AL137" s="702">
        <v>0</v>
      </c>
      <c r="AM137" s="702">
        <v>0</v>
      </c>
      <c r="AN137" s="702">
        <v>0</v>
      </c>
      <c r="AO137" s="703">
        <v>0</v>
      </c>
      <c r="AP137" s="635"/>
      <c r="AQ137" s="701">
        <v>0</v>
      </c>
      <c r="AR137" s="702">
        <v>0</v>
      </c>
      <c r="AS137" s="702">
        <v>0</v>
      </c>
      <c r="AT137" s="702">
        <v>0</v>
      </c>
      <c r="AU137" s="702">
        <v>0</v>
      </c>
      <c r="AV137" s="702">
        <v>0</v>
      </c>
      <c r="AW137" s="702">
        <v>0</v>
      </c>
      <c r="AX137" s="702">
        <v>0</v>
      </c>
      <c r="AY137" s="702">
        <v>0</v>
      </c>
      <c r="AZ137" s="702">
        <v>0</v>
      </c>
      <c r="BA137" s="702">
        <v>0</v>
      </c>
      <c r="BB137" s="702">
        <v>0</v>
      </c>
      <c r="BC137" s="702">
        <v>0</v>
      </c>
      <c r="BD137" s="702">
        <v>0</v>
      </c>
      <c r="BE137" s="702">
        <v>0</v>
      </c>
      <c r="BF137" s="702">
        <v>0</v>
      </c>
      <c r="BG137" s="702">
        <v>0</v>
      </c>
      <c r="BH137" s="702">
        <v>0</v>
      </c>
      <c r="BI137" s="702">
        <v>0</v>
      </c>
      <c r="BJ137" s="702">
        <v>0</v>
      </c>
      <c r="BK137" s="702">
        <v>0</v>
      </c>
      <c r="BL137" s="702">
        <v>0</v>
      </c>
      <c r="BM137" s="702">
        <v>0</v>
      </c>
      <c r="BN137" s="702">
        <v>0</v>
      </c>
      <c r="BO137" s="702">
        <v>0</v>
      </c>
      <c r="BP137" s="702">
        <v>0</v>
      </c>
      <c r="BQ137" s="702">
        <v>0</v>
      </c>
      <c r="BR137" s="702">
        <v>0</v>
      </c>
      <c r="BS137" s="702">
        <v>0</v>
      </c>
      <c r="BT137" s="703">
        <v>0</v>
      </c>
    </row>
    <row r="138" spans="2:72">
      <c r="B138" s="694"/>
      <c r="C138" s="694"/>
      <c r="D138" s="694"/>
      <c r="E138" s="694"/>
      <c r="F138" s="694"/>
      <c r="G138" s="694"/>
      <c r="H138" s="694"/>
      <c r="I138" s="646"/>
      <c r="J138" s="646"/>
      <c r="K138" s="635"/>
      <c r="L138" s="701">
        <v>0</v>
      </c>
      <c r="M138" s="702">
        <v>0</v>
      </c>
      <c r="N138" s="702">
        <v>0</v>
      </c>
      <c r="O138" s="702">
        <v>0</v>
      </c>
      <c r="P138" s="702">
        <v>0</v>
      </c>
      <c r="Q138" s="702">
        <v>0</v>
      </c>
      <c r="R138" s="702">
        <v>0</v>
      </c>
      <c r="S138" s="702">
        <v>0</v>
      </c>
      <c r="T138" s="702">
        <v>0</v>
      </c>
      <c r="U138" s="702">
        <v>0</v>
      </c>
      <c r="V138" s="702">
        <v>0</v>
      </c>
      <c r="W138" s="702">
        <v>0</v>
      </c>
      <c r="X138" s="702">
        <v>0</v>
      </c>
      <c r="Y138" s="702">
        <v>0</v>
      </c>
      <c r="Z138" s="702">
        <v>0</v>
      </c>
      <c r="AA138" s="702">
        <v>0</v>
      </c>
      <c r="AB138" s="702">
        <v>0</v>
      </c>
      <c r="AC138" s="702">
        <v>0</v>
      </c>
      <c r="AD138" s="702">
        <v>0</v>
      </c>
      <c r="AE138" s="702">
        <v>0</v>
      </c>
      <c r="AF138" s="702">
        <v>0</v>
      </c>
      <c r="AG138" s="702">
        <v>0</v>
      </c>
      <c r="AH138" s="702">
        <v>0</v>
      </c>
      <c r="AI138" s="702">
        <v>0</v>
      </c>
      <c r="AJ138" s="702">
        <v>0</v>
      </c>
      <c r="AK138" s="702">
        <v>0</v>
      </c>
      <c r="AL138" s="702">
        <v>0</v>
      </c>
      <c r="AM138" s="702">
        <v>0</v>
      </c>
      <c r="AN138" s="702">
        <v>0</v>
      </c>
      <c r="AO138" s="703">
        <v>0</v>
      </c>
      <c r="AP138" s="635"/>
      <c r="AQ138" s="701">
        <v>0</v>
      </c>
      <c r="AR138" s="702">
        <v>0</v>
      </c>
      <c r="AS138" s="702">
        <v>0</v>
      </c>
      <c r="AT138" s="702">
        <v>0</v>
      </c>
      <c r="AU138" s="702">
        <v>0</v>
      </c>
      <c r="AV138" s="702">
        <v>0</v>
      </c>
      <c r="AW138" s="702">
        <v>0</v>
      </c>
      <c r="AX138" s="702">
        <v>0</v>
      </c>
      <c r="AY138" s="702">
        <v>0</v>
      </c>
      <c r="AZ138" s="702">
        <v>0</v>
      </c>
      <c r="BA138" s="702">
        <v>0</v>
      </c>
      <c r="BB138" s="702">
        <v>0</v>
      </c>
      <c r="BC138" s="702">
        <v>0</v>
      </c>
      <c r="BD138" s="702">
        <v>0</v>
      </c>
      <c r="BE138" s="702">
        <v>0</v>
      </c>
      <c r="BF138" s="702">
        <v>0</v>
      </c>
      <c r="BG138" s="702">
        <v>0</v>
      </c>
      <c r="BH138" s="702">
        <v>0</v>
      </c>
      <c r="BI138" s="702">
        <v>0</v>
      </c>
      <c r="BJ138" s="702">
        <v>0</v>
      </c>
      <c r="BK138" s="702">
        <v>0</v>
      </c>
      <c r="BL138" s="702">
        <v>0</v>
      </c>
      <c r="BM138" s="702">
        <v>0</v>
      </c>
      <c r="BN138" s="702">
        <v>0</v>
      </c>
      <c r="BO138" s="702">
        <v>0</v>
      </c>
      <c r="BP138" s="702">
        <v>0</v>
      </c>
      <c r="BQ138" s="702">
        <v>0</v>
      </c>
      <c r="BR138" s="702">
        <v>0</v>
      </c>
      <c r="BS138" s="702">
        <v>0</v>
      </c>
      <c r="BT138" s="703">
        <v>0</v>
      </c>
    </row>
    <row r="139" spans="2:72">
      <c r="B139" s="694"/>
      <c r="C139" s="694"/>
      <c r="D139" s="694"/>
      <c r="E139" s="694"/>
      <c r="F139" s="694"/>
      <c r="G139" s="694"/>
      <c r="H139" s="694"/>
      <c r="I139" s="646"/>
      <c r="J139" s="646"/>
      <c r="K139" s="635"/>
      <c r="L139" s="701">
        <v>0</v>
      </c>
      <c r="M139" s="702">
        <v>0</v>
      </c>
      <c r="N139" s="702">
        <v>0</v>
      </c>
      <c r="O139" s="702">
        <v>0</v>
      </c>
      <c r="P139" s="702">
        <v>0</v>
      </c>
      <c r="Q139" s="702">
        <v>0</v>
      </c>
      <c r="R139" s="702">
        <v>0</v>
      </c>
      <c r="S139" s="702">
        <v>0</v>
      </c>
      <c r="T139" s="702">
        <v>0</v>
      </c>
      <c r="U139" s="702">
        <v>0</v>
      </c>
      <c r="V139" s="702">
        <v>0</v>
      </c>
      <c r="W139" s="702">
        <v>0</v>
      </c>
      <c r="X139" s="702">
        <v>0</v>
      </c>
      <c r="Y139" s="702">
        <v>0</v>
      </c>
      <c r="Z139" s="702">
        <v>0</v>
      </c>
      <c r="AA139" s="702">
        <v>0</v>
      </c>
      <c r="AB139" s="702">
        <v>0</v>
      </c>
      <c r="AC139" s="702">
        <v>0</v>
      </c>
      <c r="AD139" s="702">
        <v>0</v>
      </c>
      <c r="AE139" s="702">
        <v>0</v>
      </c>
      <c r="AF139" s="702">
        <v>0</v>
      </c>
      <c r="AG139" s="702">
        <v>0</v>
      </c>
      <c r="AH139" s="702">
        <v>0</v>
      </c>
      <c r="AI139" s="702">
        <v>0</v>
      </c>
      <c r="AJ139" s="702">
        <v>0</v>
      </c>
      <c r="AK139" s="702">
        <v>0</v>
      </c>
      <c r="AL139" s="702">
        <v>0</v>
      </c>
      <c r="AM139" s="702">
        <v>0</v>
      </c>
      <c r="AN139" s="702">
        <v>0</v>
      </c>
      <c r="AO139" s="703">
        <v>0</v>
      </c>
      <c r="AP139" s="635"/>
      <c r="AQ139" s="701">
        <v>0</v>
      </c>
      <c r="AR139" s="702">
        <v>0</v>
      </c>
      <c r="AS139" s="702">
        <v>0</v>
      </c>
      <c r="AT139" s="702">
        <v>0</v>
      </c>
      <c r="AU139" s="702">
        <v>0</v>
      </c>
      <c r="AV139" s="702">
        <v>0</v>
      </c>
      <c r="AW139" s="702">
        <v>0</v>
      </c>
      <c r="AX139" s="702">
        <v>0</v>
      </c>
      <c r="AY139" s="702">
        <v>0</v>
      </c>
      <c r="AZ139" s="702">
        <v>0</v>
      </c>
      <c r="BA139" s="702">
        <v>0</v>
      </c>
      <c r="BB139" s="702">
        <v>0</v>
      </c>
      <c r="BC139" s="702">
        <v>0</v>
      </c>
      <c r="BD139" s="702">
        <v>0</v>
      </c>
      <c r="BE139" s="702">
        <v>0</v>
      </c>
      <c r="BF139" s="702">
        <v>0</v>
      </c>
      <c r="BG139" s="702">
        <v>0</v>
      </c>
      <c r="BH139" s="702">
        <v>0</v>
      </c>
      <c r="BI139" s="702">
        <v>0</v>
      </c>
      <c r="BJ139" s="702">
        <v>0</v>
      </c>
      <c r="BK139" s="702">
        <v>0</v>
      </c>
      <c r="BL139" s="702">
        <v>0</v>
      </c>
      <c r="BM139" s="702">
        <v>0</v>
      </c>
      <c r="BN139" s="702">
        <v>0</v>
      </c>
      <c r="BO139" s="702">
        <v>0</v>
      </c>
      <c r="BP139" s="702">
        <v>0</v>
      </c>
      <c r="BQ139" s="702">
        <v>0</v>
      </c>
      <c r="BR139" s="702">
        <v>0</v>
      </c>
      <c r="BS139" s="702">
        <v>0</v>
      </c>
      <c r="BT139" s="703">
        <v>0</v>
      </c>
    </row>
    <row r="140" spans="2:72">
      <c r="B140" s="694"/>
      <c r="C140" s="694"/>
      <c r="D140" s="694"/>
      <c r="E140" s="694"/>
      <c r="F140" s="694"/>
      <c r="G140" s="694"/>
      <c r="H140" s="694"/>
      <c r="I140" s="646"/>
      <c r="J140" s="646"/>
      <c r="K140" s="635"/>
      <c r="L140" s="701">
        <v>0</v>
      </c>
      <c r="M140" s="702">
        <v>0</v>
      </c>
      <c r="N140" s="702">
        <v>0</v>
      </c>
      <c r="O140" s="702">
        <v>0</v>
      </c>
      <c r="P140" s="702">
        <v>0</v>
      </c>
      <c r="Q140" s="702">
        <v>0</v>
      </c>
      <c r="R140" s="702">
        <v>0</v>
      </c>
      <c r="S140" s="702">
        <v>0</v>
      </c>
      <c r="T140" s="702">
        <v>0</v>
      </c>
      <c r="U140" s="702">
        <v>0</v>
      </c>
      <c r="V140" s="702">
        <v>0</v>
      </c>
      <c r="W140" s="702">
        <v>0</v>
      </c>
      <c r="X140" s="702">
        <v>0</v>
      </c>
      <c r="Y140" s="702">
        <v>0</v>
      </c>
      <c r="Z140" s="702">
        <v>0</v>
      </c>
      <c r="AA140" s="702">
        <v>0</v>
      </c>
      <c r="AB140" s="702">
        <v>0</v>
      </c>
      <c r="AC140" s="702">
        <v>0</v>
      </c>
      <c r="AD140" s="702">
        <v>0</v>
      </c>
      <c r="AE140" s="702">
        <v>0</v>
      </c>
      <c r="AF140" s="702">
        <v>0</v>
      </c>
      <c r="AG140" s="702">
        <v>0</v>
      </c>
      <c r="AH140" s="702">
        <v>0</v>
      </c>
      <c r="AI140" s="702">
        <v>0</v>
      </c>
      <c r="AJ140" s="702">
        <v>0</v>
      </c>
      <c r="AK140" s="702">
        <v>0</v>
      </c>
      <c r="AL140" s="702">
        <v>0</v>
      </c>
      <c r="AM140" s="702">
        <v>0</v>
      </c>
      <c r="AN140" s="702">
        <v>0</v>
      </c>
      <c r="AO140" s="703">
        <v>0</v>
      </c>
      <c r="AP140" s="635"/>
      <c r="AQ140" s="701">
        <v>0</v>
      </c>
      <c r="AR140" s="702">
        <v>0</v>
      </c>
      <c r="AS140" s="702">
        <v>0</v>
      </c>
      <c r="AT140" s="702">
        <v>0</v>
      </c>
      <c r="AU140" s="702">
        <v>0</v>
      </c>
      <c r="AV140" s="702">
        <v>0</v>
      </c>
      <c r="AW140" s="702">
        <v>0</v>
      </c>
      <c r="AX140" s="702">
        <v>0</v>
      </c>
      <c r="AY140" s="702">
        <v>0</v>
      </c>
      <c r="AZ140" s="702">
        <v>0</v>
      </c>
      <c r="BA140" s="702">
        <v>0</v>
      </c>
      <c r="BB140" s="702">
        <v>0</v>
      </c>
      <c r="BC140" s="702">
        <v>0</v>
      </c>
      <c r="BD140" s="702">
        <v>0</v>
      </c>
      <c r="BE140" s="702">
        <v>0</v>
      </c>
      <c r="BF140" s="702">
        <v>0</v>
      </c>
      <c r="BG140" s="702">
        <v>0</v>
      </c>
      <c r="BH140" s="702">
        <v>0</v>
      </c>
      <c r="BI140" s="702">
        <v>0</v>
      </c>
      <c r="BJ140" s="702">
        <v>0</v>
      </c>
      <c r="BK140" s="702">
        <v>0</v>
      </c>
      <c r="BL140" s="702">
        <v>0</v>
      </c>
      <c r="BM140" s="702">
        <v>0</v>
      </c>
      <c r="BN140" s="702">
        <v>0</v>
      </c>
      <c r="BO140" s="702">
        <v>0</v>
      </c>
      <c r="BP140" s="702">
        <v>0</v>
      </c>
      <c r="BQ140" s="702">
        <v>0</v>
      </c>
      <c r="BR140" s="702">
        <v>0</v>
      </c>
      <c r="BS140" s="702">
        <v>0</v>
      </c>
      <c r="BT140" s="703">
        <v>0</v>
      </c>
    </row>
    <row r="141" spans="2:72">
      <c r="B141" s="694"/>
      <c r="C141" s="694"/>
      <c r="D141" s="694"/>
      <c r="E141" s="694"/>
      <c r="F141" s="694"/>
      <c r="G141" s="694"/>
      <c r="H141" s="694"/>
      <c r="I141" s="646"/>
      <c r="J141" s="646"/>
      <c r="K141" s="635"/>
      <c r="L141" s="701">
        <v>0</v>
      </c>
      <c r="M141" s="702">
        <v>0</v>
      </c>
      <c r="N141" s="702">
        <v>0</v>
      </c>
      <c r="O141" s="702">
        <v>0</v>
      </c>
      <c r="P141" s="702">
        <v>0</v>
      </c>
      <c r="Q141" s="702">
        <v>0</v>
      </c>
      <c r="R141" s="702">
        <v>0</v>
      </c>
      <c r="S141" s="702">
        <v>0</v>
      </c>
      <c r="T141" s="702">
        <v>0</v>
      </c>
      <c r="U141" s="702">
        <v>0</v>
      </c>
      <c r="V141" s="702">
        <v>0</v>
      </c>
      <c r="W141" s="702">
        <v>0</v>
      </c>
      <c r="X141" s="702">
        <v>0</v>
      </c>
      <c r="Y141" s="702">
        <v>0</v>
      </c>
      <c r="Z141" s="702">
        <v>0</v>
      </c>
      <c r="AA141" s="702">
        <v>0</v>
      </c>
      <c r="AB141" s="702">
        <v>0</v>
      </c>
      <c r="AC141" s="702">
        <v>0</v>
      </c>
      <c r="AD141" s="702">
        <v>0</v>
      </c>
      <c r="AE141" s="702">
        <v>0</v>
      </c>
      <c r="AF141" s="702">
        <v>0</v>
      </c>
      <c r="AG141" s="702">
        <v>0</v>
      </c>
      <c r="AH141" s="702">
        <v>0</v>
      </c>
      <c r="AI141" s="702">
        <v>0</v>
      </c>
      <c r="AJ141" s="702">
        <v>0</v>
      </c>
      <c r="AK141" s="702">
        <v>0</v>
      </c>
      <c r="AL141" s="702">
        <v>0</v>
      </c>
      <c r="AM141" s="702">
        <v>0</v>
      </c>
      <c r="AN141" s="702">
        <v>0</v>
      </c>
      <c r="AO141" s="703">
        <v>0</v>
      </c>
      <c r="AP141" s="635"/>
      <c r="AQ141" s="701">
        <v>0</v>
      </c>
      <c r="AR141" s="702">
        <v>0</v>
      </c>
      <c r="AS141" s="702">
        <v>0</v>
      </c>
      <c r="AT141" s="702">
        <v>0</v>
      </c>
      <c r="AU141" s="702">
        <v>0</v>
      </c>
      <c r="AV141" s="702">
        <v>0</v>
      </c>
      <c r="AW141" s="702">
        <v>0</v>
      </c>
      <c r="AX141" s="702">
        <v>0</v>
      </c>
      <c r="AY141" s="702">
        <v>0</v>
      </c>
      <c r="AZ141" s="702">
        <v>0</v>
      </c>
      <c r="BA141" s="702">
        <v>0</v>
      </c>
      <c r="BB141" s="702">
        <v>0</v>
      </c>
      <c r="BC141" s="702">
        <v>0</v>
      </c>
      <c r="BD141" s="702">
        <v>0</v>
      </c>
      <c r="BE141" s="702">
        <v>0</v>
      </c>
      <c r="BF141" s="702">
        <v>0</v>
      </c>
      <c r="BG141" s="702">
        <v>0</v>
      </c>
      <c r="BH141" s="702">
        <v>0</v>
      </c>
      <c r="BI141" s="702">
        <v>0</v>
      </c>
      <c r="BJ141" s="702">
        <v>0</v>
      </c>
      <c r="BK141" s="702">
        <v>0</v>
      </c>
      <c r="BL141" s="702">
        <v>0</v>
      </c>
      <c r="BM141" s="702">
        <v>0</v>
      </c>
      <c r="BN141" s="702">
        <v>0</v>
      </c>
      <c r="BO141" s="702">
        <v>0</v>
      </c>
      <c r="BP141" s="702">
        <v>0</v>
      </c>
      <c r="BQ141" s="702">
        <v>0</v>
      </c>
      <c r="BR141" s="702">
        <v>0</v>
      </c>
      <c r="BS141" s="702">
        <v>0</v>
      </c>
      <c r="BT141" s="703">
        <v>0</v>
      </c>
    </row>
    <row r="142" spans="2:72">
      <c r="B142" s="694"/>
      <c r="C142" s="694"/>
      <c r="D142" s="694"/>
      <c r="E142" s="694"/>
      <c r="F142" s="694"/>
      <c r="G142" s="694"/>
      <c r="H142" s="694"/>
      <c r="I142" s="646"/>
      <c r="J142" s="646"/>
      <c r="K142" s="635"/>
      <c r="L142" s="701">
        <v>0</v>
      </c>
      <c r="M142" s="702">
        <v>0</v>
      </c>
      <c r="N142" s="702">
        <v>0</v>
      </c>
      <c r="O142" s="702">
        <v>0</v>
      </c>
      <c r="P142" s="702">
        <v>0</v>
      </c>
      <c r="Q142" s="702">
        <v>0</v>
      </c>
      <c r="R142" s="702">
        <v>0</v>
      </c>
      <c r="S142" s="702">
        <v>0</v>
      </c>
      <c r="T142" s="702">
        <v>0</v>
      </c>
      <c r="U142" s="702">
        <v>0</v>
      </c>
      <c r="V142" s="702">
        <v>0</v>
      </c>
      <c r="W142" s="702">
        <v>0</v>
      </c>
      <c r="X142" s="702">
        <v>0</v>
      </c>
      <c r="Y142" s="702">
        <v>0</v>
      </c>
      <c r="Z142" s="702">
        <v>0</v>
      </c>
      <c r="AA142" s="702">
        <v>0</v>
      </c>
      <c r="AB142" s="702">
        <v>0</v>
      </c>
      <c r="AC142" s="702">
        <v>0</v>
      </c>
      <c r="AD142" s="702">
        <v>0</v>
      </c>
      <c r="AE142" s="702">
        <v>0</v>
      </c>
      <c r="AF142" s="702">
        <v>0</v>
      </c>
      <c r="AG142" s="702">
        <v>0</v>
      </c>
      <c r="AH142" s="702">
        <v>0</v>
      </c>
      <c r="AI142" s="702">
        <v>0</v>
      </c>
      <c r="AJ142" s="702">
        <v>0</v>
      </c>
      <c r="AK142" s="702">
        <v>0</v>
      </c>
      <c r="AL142" s="702">
        <v>0</v>
      </c>
      <c r="AM142" s="702">
        <v>0</v>
      </c>
      <c r="AN142" s="702">
        <v>0</v>
      </c>
      <c r="AO142" s="703">
        <v>0</v>
      </c>
      <c r="AP142" s="635"/>
      <c r="AQ142" s="701">
        <v>0</v>
      </c>
      <c r="AR142" s="702">
        <v>0</v>
      </c>
      <c r="AS142" s="702">
        <v>0</v>
      </c>
      <c r="AT142" s="702">
        <v>0</v>
      </c>
      <c r="AU142" s="702">
        <v>0</v>
      </c>
      <c r="AV142" s="702">
        <v>0</v>
      </c>
      <c r="AW142" s="702">
        <v>0</v>
      </c>
      <c r="AX142" s="702">
        <v>0</v>
      </c>
      <c r="AY142" s="702">
        <v>0</v>
      </c>
      <c r="AZ142" s="702">
        <v>0</v>
      </c>
      <c r="BA142" s="702">
        <v>0</v>
      </c>
      <c r="BB142" s="702">
        <v>0</v>
      </c>
      <c r="BC142" s="702">
        <v>0</v>
      </c>
      <c r="BD142" s="702">
        <v>0</v>
      </c>
      <c r="BE142" s="702">
        <v>0</v>
      </c>
      <c r="BF142" s="702">
        <v>0</v>
      </c>
      <c r="BG142" s="702">
        <v>0</v>
      </c>
      <c r="BH142" s="702">
        <v>0</v>
      </c>
      <c r="BI142" s="702">
        <v>0</v>
      </c>
      <c r="BJ142" s="702">
        <v>0</v>
      </c>
      <c r="BK142" s="702">
        <v>0</v>
      </c>
      <c r="BL142" s="702">
        <v>0</v>
      </c>
      <c r="BM142" s="702">
        <v>0</v>
      </c>
      <c r="BN142" s="702">
        <v>0</v>
      </c>
      <c r="BO142" s="702">
        <v>0</v>
      </c>
      <c r="BP142" s="702">
        <v>0</v>
      </c>
      <c r="BQ142" s="702">
        <v>0</v>
      </c>
      <c r="BR142" s="702">
        <v>0</v>
      </c>
      <c r="BS142" s="702">
        <v>0</v>
      </c>
      <c r="BT142" s="703">
        <v>0</v>
      </c>
    </row>
    <row r="143" spans="2:72">
      <c r="B143" s="694"/>
      <c r="C143" s="694"/>
      <c r="D143" s="694"/>
      <c r="E143" s="694"/>
      <c r="F143" s="694"/>
      <c r="G143" s="694"/>
      <c r="H143" s="694"/>
      <c r="I143" s="646"/>
      <c r="J143" s="646"/>
      <c r="K143" s="635"/>
      <c r="L143" s="701">
        <v>0</v>
      </c>
      <c r="M143" s="702">
        <v>0</v>
      </c>
      <c r="N143" s="702">
        <v>0</v>
      </c>
      <c r="O143" s="702">
        <v>0</v>
      </c>
      <c r="P143" s="702">
        <v>0</v>
      </c>
      <c r="Q143" s="702">
        <v>0</v>
      </c>
      <c r="R143" s="702">
        <v>0</v>
      </c>
      <c r="S143" s="702">
        <v>0</v>
      </c>
      <c r="T143" s="702">
        <v>0</v>
      </c>
      <c r="U143" s="702">
        <v>0</v>
      </c>
      <c r="V143" s="702">
        <v>0</v>
      </c>
      <c r="W143" s="702">
        <v>0</v>
      </c>
      <c r="X143" s="702">
        <v>0</v>
      </c>
      <c r="Y143" s="702">
        <v>0</v>
      </c>
      <c r="Z143" s="702">
        <v>0</v>
      </c>
      <c r="AA143" s="702">
        <v>0</v>
      </c>
      <c r="AB143" s="702">
        <v>0</v>
      </c>
      <c r="AC143" s="702">
        <v>0</v>
      </c>
      <c r="AD143" s="702">
        <v>0</v>
      </c>
      <c r="AE143" s="702">
        <v>0</v>
      </c>
      <c r="AF143" s="702">
        <v>0</v>
      </c>
      <c r="AG143" s="702">
        <v>0</v>
      </c>
      <c r="AH143" s="702">
        <v>0</v>
      </c>
      <c r="AI143" s="702">
        <v>0</v>
      </c>
      <c r="AJ143" s="702">
        <v>0</v>
      </c>
      <c r="AK143" s="702">
        <v>0</v>
      </c>
      <c r="AL143" s="702">
        <v>0</v>
      </c>
      <c r="AM143" s="702">
        <v>0</v>
      </c>
      <c r="AN143" s="702">
        <v>0</v>
      </c>
      <c r="AO143" s="703">
        <v>0</v>
      </c>
      <c r="AP143" s="635"/>
      <c r="AQ143" s="701">
        <v>0</v>
      </c>
      <c r="AR143" s="702">
        <v>0</v>
      </c>
      <c r="AS143" s="702">
        <v>0</v>
      </c>
      <c r="AT143" s="702">
        <v>0</v>
      </c>
      <c r="AU143" s="702">
        <v>0</v>
      </c>
      <c r="AV143" s="702">
        <v>0</v>
      </c>
      <c r="AW143" s="702">
        <v>0</v>
      </c>
      <c r="AX143" s="702">
        <v>0</v>
      </c>
      <c r="AY143" s="702">
        <v>0</v>
      </c>
      <c r="AZ143" s="702">
        <v>0</v>
      </c>
      <c r="BA143" s="702">
        <v>0</v>
      </c>
      <c r="BB143" s="702">
        <v>0</v>
      </c>
      <c r="BC143" s="702">
        <v>0</v>
      </c>
      <c r="BD143" s="702">
        <v>0</v>
      </c>
      <c r="BE143" s="702">
        <v>0</v>
      </c>
      <c r="BF143" s="702">
        <v>0</v>
      </c>
      <c r="BG143" s="702">
        <v>0</v>
      </c>
      <c r="BH143" s="702">
        <v>0</v>
      </c>
      <c r="BI143" s="702">
        <v>0</v>
      </c>
      <c r="BJ143" s="702">
        <v>0</v>
      </c>
      <c r="BK143" s="702">
        <v>0</v>
      </c>
      <c r="BL143" s="702">
        <v>0</v>
      </c>
      <c r="BM143" s="702">
        <v>0</v>
      </c>
      <c r="BN143" s="702">
        <v>0</v>
      </c>
      <c r="BO143" s="702">
        <v>0</v>
      </c>
      <c r="BP143" s="702">
        <v>0</v>
      </c>
      <c r="BQ143" s="702">
        <v>0</v>
      </c>
      <c r="BR143" s="702">
        <v>0</v>
      </c>
      <c r="BS143" s="702">
        <v>0</v>
      </c>
      <c r="BT143" s="703">
        <v>0</v>
      </c>
    </row>
    <row r="144" spans="2:72">
      <c r="B144" s="694"/>
      <c r="C144" s="694"/>
      <c r="D144" s="694"/>
      <c r="E144" s="694"/>
      <c r="F144" s="694"/>
      <c r="G144" s="694"/>
      <c r="H144" s="694"/>
      <c r="I144" s="646"/>
      <c r="J144" s="646"/>
      <c r="K144" s="635"/>
      <c r="L144" s="701">
        <v>0</v>
      </c>
      <c r="M144" s="702">
        <v>0</v>
      </c>
      <c r="N144" s="702">
        <v>0</v>
      </c>
      <c r="O144" s="702">
        <v>0</v>
      </c>
      <c r="P144" s="702">
        <v>0</v>
      </c>
      <c r="Q144" s="702">
        <v>0</v>
      </c>
      <c r="R144" s="702">
        <v>0</v>
      </c>
      <c r="S144" s="702">
        <v>0</v>
      </c>
      <c r="T144" s="702">
        <v>0</v>
      </c>
      <c r="U144" s="702">
        <v>0</v>
      </c>
      <c r="V144" s="702">
        <v>0</v>
      </c>
      <c r="W144" s="702">
        <v>0</v>
      </c>
      <c r="X144" s="702">
        <v>0</v>
      </c>
      <c r="Y144" s="702">
        <v>0</v>
      </c>
      <c r="Z144" s="702">
        <v>0</v>
      </c>
      <c r="AA144" s="702">
        <v>0</v>
      </c>
      <c r="AB144" s="702">
        <v>0</v>
      </c>
      <c r="AC144" s="702">
        <v>0</v>
      </c>
      <c r="AD144" s="702">
        <v>0</v>
      </c>
      <c r="AE144" s="702">
        <v>0</v>
      </c>
      <c r="AF144" s="702">
        <v>0</v>
      </c>
      <c r="AG144" s="702">
        <v>0</v>
      </c>
      <c r="AH144" s="702">
        <v>0</v>
      </c>
      <c r="AI144" s="702">
        <v>0</v>
      </c>
      <c r="AJ144" s="702">
        <v>0</v>
      </c>
      <c r="AK144" s="702">
        <v>0</v>
      </c>
      <c r="AL144" s="702">
        <v>0</v>
      </c>
      <c r="AM144" s="702">
        <v>0</v>
      </c>
      <c r="AN144" s="702">
        <v>0</v>
      </c>
      <c r="AO144" s="703">
        <v>0</v>
      </c>
      <c r="AP144" s="635"/>
      <c r="AQ144" s="701">
        <v>0</v>
      </c>
      <c r="AR144" s="702">
        <v>0</v>
      </c>
      <c r="AS144" s="702">
        <v>0</v>
      </c>
      <c r="AT144" s="702">
        <v>0</v>
      </c>
      <c r="AU144" s="702">
        <v>0</v>
      </c>
      <c r="AV144" s="702">
        <v>0</v>
      </c>
      <c r="AW144" s="702">
        <v>0</v>
      </c>
      <c r="AX144" s="702">
        <v>0</v>
      </c>
      <c r="AY144" s="702">
        <v>0</v>
      </c>
      <c r="AZ144" s="702">
        <v>0</v>
      </c>
      <c r="BA144" s="702">
        <v>0</v>
      </c>
      <c r="BB144" s="702">
        <v>0</v>
      </c>
      <c r="BC144" s="702">
        <v>0</v>
      </c>
      <c r="BD144" s="702">
        <v>0</v>
      </c>
      <c r="BE144" s="702">
        <v>0</v>
      </c>
      <c r="BF144" s="702">
        <v>0</v>
      </c>
      <c r="BG144" s="702">
        <v>0</v>
      </c>
      <c r="BH144" s="702">
        <v>0</v>
      </c>
      <c r="BI144" s="702">
        <v>0</v>
      </c>
      <c r="BJ144" s="702">
        <v>0</v>
      </c>
      <c r="BK144" s="702">
        <v>0</v>
      </c>
      <c r="BL144" s="702">
        <v>0</v>
      </c>
      <c r="BM144" s="702">
        <v>0</v>
      </c>
      <c r="BN144" s="702">
        <v>0</v>
      </c>
      <c r="BO144" s="702">
        <v>0</v>
      </c>
      <c r="BP144" s="702">
        <v>0</v>
      </c>
      <c r="BQ144" s="702">
        <v>0</v>
      </c>
      <c r="BR144" s="702">
        <v>0</v>
      </c>
      <c r="BS144" s="702">
        <v>0</v>
      </c>
      <c r="BT144" s="703">
        <v>0</v>
      </c>
    </row>
    <row r="145" spans="2:72">
      <c r="B145" s="694"/>
      <c r="C145" s="694"/>
      <c r="D145" s="694"/>
      <c r="E145" s="694"/>
      <c r="F145" s="694"/>
      <c r="G145" s="694"/>
      <c r="H145" s="694"/>
      <c r="I145" s="646"/>
      <c r="J145" s="646"/>
      <c r="K145" s="635"/>
      <c r="L145" s="701">
        <v>0</v>
      </c>
      <c r="M145" s="702">
        <v>0</v>
      </c>
      <c r="N145" s="702">
        <v>0</v>
      </c>
      <c r="O145" s="702">
        <v>0</v>
      </c>
      <c r="P145" s="702">
        <v>0</v>
      </c>
      <c r="Q145" s="702">
        <v>0</v>
      </c>
      <c r="R145" s="702">
        <v>0</v>
      </c>
      <c r="S145" s="702">
        <v>0</v>
      </c>
      <c r="T145" s="702">
        <v>0</v>
      </c>
      <c r="U145" s="702">
        <v>0</v>
      </c>
      <c r="V145" s="702">
        <v>0</v>
      </c>
      <c r="W145" s="702">
        <v>0</v>
      </c>
      <c r="X145" s="702">
        <v>0</v>
      </c>
      <c r="Y145" s="702">
        <v>0</v>
      </c>
      <c r="Z145" s="702">
        <v>0</v>
      </c>
      <c r="AA145" s="702">
        <v>0</v>
      </c>
      <c r="AB145" s="702">
        <v>0</v>
      </c>
      <c r="AC145" s="702">
        <v>0</v>
      </c>
      <c r="AD145" s="702">
        <v>0</v>
      </c>
      <c r="AE145" s="702">
        <v>0</v>
      </c>
      <c r="AF145" s="702">
        <v>0</v>
      </c>
      <c r="AG145" s="702">
        <v>0</v>
      </c>
      <c r="AH145" s="702">
        <v>0</v>
      </c>
      <c r="AI145" s="702">
        <v>0</v>
      </c>
      <c r="AJ145" s="702">
        <v>0</v>
      </c>
      <c r="AK145" s="702">
        <v>0</v>
      </c>
      <c r="AL145" s="702">
        <v>0</v>
      </c>
      <c r="AM145" s="702">
        <v>0</v>
      </c>
      <c r="AN145" s="702">
        <v>0</v>
      </c>
      <c r="AO145" s="703">
        <v>0</v>
      </c>
      <c r="AP145" s="635"/>
      <c r="AQ145" s="701">
        <v>0</v>
      </c>
      <c r="AR145" s="702">
        <v>0</v>
      </c>
      <c r="AS145" s="702">
        <v>0</v>
      </c>
      <c r="AT145" s="702">
        <v>0</v>
      </c>
      <c r="AU145" s="702">
        <v>0</v>
      </c>
      <c r="AV145" s="702">
        <v>0</v>
      </c>
      <c r="AW145" s="702">
        <v>0</v>
      </c>
      <c r="AX145" s="702">
        <v>0</v>
      </c>
      <c r="AY145" s="702">
        <v>0</v>
      </c>
      <c r="AZ145" s="702">
        <v>0</v>
      </c>
      <c r="BA145" s="702">
        <v>0</v>
      </c>
      <c r="BB145" s="702">
        <v>0</v>
      </c>
      <c r="BC145" s="702">
        <v>0</v>
      </c>
      <c r="BD145" s="702">
        <v>0</v>
      </c>
      <c r="BE145" s="702">
        <v>0</v>
      </c>
      <c r="BF145" s="702">
        <v>0</v>
      </c>
      <c r="BG145" s="702">
        <v>0</v>
      </c>
      <c r="BH145" s="702">
        <v>0</v>
      </c>
      <c r="BI145" s="702">
        <v>0</v>
      </c>
      <c r="BJ145" s="702">
        <v>0</v>
      </c>
      <c r="BK145" s="702">
        <v>0</v>
      </c>
      <c r="BL145" s="702">
        <v>0</v>
      </c>
      <c r="BM145" s="702">
        <v>0</v>
      </c>
      <c r="BN145" s="702">
        <v>0</v>
      </c>
      <c r="BO145" s="702">
        <v>0</v>
      </c>
      <c r="BP145" s="702">
        <v>0</v>
      </c>
      <c r="BQ145" s="702">
        <v>0</v>
      </c>
      <c r="BR145" s="702">
        <v>0</v>
      </c>
      <c r="BS145" s="702">
        <v>0</v>
      </c>
      <c r="BT145" s="703">
        <v>0</v>
      </c>
    </row>
    <row r="146" spans="2:72">
      <c r="B146" s="694"/>
      <c r="C146" s="694"/>
      <c r="D146" s="694"/>
      <c r="E146" s="694"/>
      <c r="F146" s="694"/>
      <c r="G146" s="694"/>
      <c r="H146" s="694"/>
      <c r="I146" s="646"/>
      <c r="J146" s="646"/>
      <c r="K146" s="635"/>
      <c r="L146" s="701">
        <v>0</v>
      </c>
      <c r="M146" s="702">
        <v>0</v>
      </c>
      <c r="N146" s="702">
        <v>0</v>
      </c>
      <c r="O146" s="702">
        <v>0</v>
      </c>
      <c r="P146" s="702">
        <v>0</v>
      </c>
      <c r="Q146" s="702">
        <v>0</v>
      </c>
      <c r="R146" s="702">
        <v>0</v>
      </c>
      <c r="S146" s="702">
        <v>0</v>
      </c>
      <c r="T146" s="702">
        <v>0</v>
      </c>
      <c r="U146" s="702">
        <v>0</v>
      </c>
      <c r="V146" s="702">
        <v>0</v>
      </c>
      <c r="W146" s="702">
        <v>0</v>
      </c>
      <c r="X146" s="702">
        <v>0</v>
      </c>
      <c r="Y146" s="702">
        <v>0</v>
      </c>
      <c r="Z146" s="702">
        <v>0</v>
      </c>
      <c r="AA146" s="702">
        <v>0</v>
      </c>
      <c r="AB146" s="702">
        <v>0</v>
      </c>
      <c r="AC146" s="702">
        <v>0</v>
      </c>
      <c r="AD146" s="702">
        <v>0</v>
      </c>
      <c r="AE146" s="702">
        <v>0</v>
      </c>
      <c r="AF146" s="702">
        <v>0</v>
      </c>
      <c r="AG146" s="702">
        <v>0</v>
      </c>
      <c r="AH146" s="702">
        <v>0</v>
      </c>
      <c r="AI146" s="702">
        <v>0</v>
      </c>
      <c r="AJ146" s="702">
        <v>0</v>
      </c>
      <c r="AK146" s="702">
        <v>0</v>
      </c>
      <c r="AL146" s="702">
        <v>0</v>
      </c>
      <c r="AM146" s="702">
        <v>0</v>
      </c>
      <c r="AN146" s="702">
        <v>0</v>
      </c>
      <c r="AO146" s="703">
        <v>0</v>
      </c>
      <c r="AP146" s="635"/>
      <c r="AQ146" s="701">
        <v>0</v>
      </c>
      <c r="AR146" s="702">
        <v>0</v>
      </c>
      <c r="AS146" s="702">
        <v>0</v>
      </c>
      <c r="AT146" s="702">
        <v>0</v>
      </c>
      <c r="AU146" s="702">
        <v>0</v>
      </c>
      <c r="AV146" s="702">
        <v>0</v>
      </c>
      <c r="AW146" s="702">
        <v>0</v>
      </c>
      <c r="AX146" s="702">
        <v>0</v>
      </c>
      <c r="AY146" s="702">
        <v>0</v>
      </c>
      <c r="AZ146" s="702">
        <v>0</v>
      </c>
      <c r="BA146" s="702">
        <v>0</v>
      </c>
      <c r="BB146" s="702">
        <v>0</v>
      </c>
      <c r="BC146" s="702">
        <v>0</v>
      </c>
      <c r="BD146" s="702">
        <v>0</v>
      </c>
      <c r="BE146" s="702">
        <v>0</v>
      </c>
      <c r="BF146" s="702">
        <v>0</v>
      </c>
      <c r="BG146" s="702">
        <v>0</v>
      </c>
      <c r="BH146" s="702">
        <v>0</v>
      </c>
      <c r="BI146" s="702">
        <v>0</v>
      </c>
      <c r="BJ146" s="702">
        <v>0</v>
      </c>
      <c r="BK146" s="702">
        <v>0</v>
      </c>
      <c r="BL146" s="702">
        <v>0</v>
      </c>
      <c r="BM146" s="702">
        <v>0</v>
      </c>
      <c r="BN146" s="702">
        <v>0</v>
      </c>
      <c r="BO146" s="702">
        <v>0</v>
      </c>
      <c r="BP146" s="702">
        <v>0</v>
      </c>
      <c r="BQ146" s="702">
        <v>0</v>
      </c>
      <c r="BR146" s="702">
        <v>0</v>
      </c>
      <c r="BS146" s="702">
        <v>0</v>
      </c>
      <c r="BT146" s="703">
        <v>0</v>
      </c>
    </row>
    <row r="147" spans="2:72">
      <c r="B147" s="694"/>
      <c r="C147" s="694"/>
      <c r="D147" s="694"/>
      <c r="E147" s="694"/>
      <c r="F147" s="694"/>
      <c r="G147" s="694"/>
      <c r="H147" s="694"/>
      <c r="I147" s="646"/>
      <c r="J147" s="646"/>
      <c r="K147" s="635"/>
      <c r="L147" s="701">
        <v>0</v>
      </c>
      <c r="M147" s="702">
        <v>0</v>
      </c>
      <c r="N147" s="702">
        <v>0</v>
      </c>
      <c r="O147" s="702">
        <v>0</v>
      </c>
      <c r="P147" s="702">
        <v>0</v>
      </c>
      <c r="Q147" s="702">
        <v>0</v>
      </c>
      <c r="R147" s="702">
        <v>0</v>
      </c>
      <c r="S147" s="702">
        <v>0</v>
      </c>
      <c r="T147" s="702">
        <v>0</v>
      </c>
      <c r="U147" s="702">
        <v>0</v>
      </c>
      <c r="V147" s="702">
        <v>0</v>
      </c>
      <c r="W147" s="702">
        <v>0</v>
      </c>
      <c r="X147" s="702">
        <v>0</v>
      </c>
      <c r="Y147" s="702">
        <v>0</v>
      </c>
      <c r="Z147" s="702">
        <v>0</v>
      </c>
      <c r="AA147" s="702">
        <v>0</v>
      </c>
      <c r="AB147" s="702">
        <v>0</v>
      </c>
      <c r="AC147" s="702">
        <v>0</v>
      </c>
      <c r="AD147" s="702">
        <v>0</v>
      </c>
      <c r="AE147" s="702">
        <v>0</v>
      </c>
      <c r="AF147" s="702">
        <v>0</v>
      </c>
      <c r="AG147" s="702">
        <v>0</v>
      </c>
      <c r="AH147" s="702">
        <v>0</v>
      </c>
      <c r="AI147" s="702">
        <v>0</v>
      </c>
      <c r="AJ147" s="702">
        <v>0</v>
      </c>
      <c r="AK147" s="702">
        <v>0</v>
      </c>
      <c r="AL147" s="702">
        <v>0</v>
      </c>
      <c r="AM147" s="702">
        <v>0</v>
      </c>
      <c r="AN147" s="702">
        <v>0</v>
      </c>
      <c r="AO147" s="703">
        <v>0</v>
      </c>
      <c r="AP147" s="635"/>
      <c r="AQ147" s="701">
        <v>0</v>
      </c>
      <c r="AR147" s="702">
        <v>0</v>
      </c>
      <c r="AS147" s="702">
        <v>0</v>
      </c>
      <c r="AT147" s="702">
        <v>0</v>
      </c>
      <c r="AU147" s="702">
        <v>0</v>
      </c>
      <c r="AV147" s="702">
        <v>0</v>
      </c>
      <c r="AW147" s="702">
        <v>0</v>
      </c>
      <c r="AX147" s="702">
        <v>0</v>
      </c>
      <c r="AY147" s="702">
        <v>0</v>
      </c>
      <c r="AZ147" s="702">
        <v>0</v>
      </c>
      <c r="BA147" s="702">
        <v>0</v>
      </c>
      <c r="BB147" s="702">
        <v>0</v>
      </c>
      <c r="BC147" s="702">
        <v>0</v>
      </c>
      <c r="BD147" s="702">
        <v>0</v>
      </c>
      <c r="BE147" s="702">
        <v>0</v>
      </c>
      <c r="BF147" s="702">
        <v>0</v>
      </c>
      <c r="BG147" s="702">
        <v>0</v>
      </c>
      <c r="BH147" s="702">
        <v>0</v>
      </c>
      <c r="BI147" s="702">
        <v>0</v>
      </c>
      <c r="BJ147" s="702">
        <v>0</v>
      </c>
      <c r="BK147" s="702">
        <v>0</v>
      </c>
      <c r="BL147" s="702">
        <v>0</v>
      </c>
      <c r="BM147" s="702">
        <v>0</v>
      </c>
      <c r="BN147" s="702">
        <v>0</v>
      </c>
      <c r="BO147" s="702">
        <v>0</v>
      </c>
      <c r="BP147" s="702">
        <v>0</v>
      </c>
      <c r="BQ147" s="702">
        <v>0</v>
      </c>
      <c r="BR147" s="702">
        <v>0</v>
      </c>
      <c r="BS147" s="702">
        <v>0</v>
      </c>
      <c r="BT147" s="703">
        <v>0</v>
      </c>
    </row>
    <row r="148" spans="2:72">
      <c r="B148" s="694"/>
      <c r="C148" s="694"/>
      <c r="D148" s="694"/>
      <c r="E148" s="694"/>
      <c r="F148" s="694"/>
      <c r="G148" s="694"/>
      <c r="H148" s="694"/>
      <c r="I148" s="646"/>
      <c r="J148" s="646"/>
      <c r="K148" s="635"/>
      <c r="L148" s="701">
        <v>0</v>
      </c>
      <c r="M148" s="702">
        <v>0</v>
      </c>
      <c r="N148" s="702">
        <v>0</v>
      </c>
      <c r="O148" s="702">
        <v>0</v>
      </c>
      <c r="P148" s="702">
        <v>0</v>
      </c>
      <c r="Q148" s="702">
        <v>0</v>
      </c>
      <c r="R148" s="702">
        <v>0</v>
      </c>
      <c r="S148" s="702">
        <v>0</v>
      </c>
      <c r="T148" s="702">
        <v>0</v>
      </c>
      <c r="U148" s="702">
        <v>0</v>
      </c>
      <c r="V148" s="702">
        <v>0</v>
      </c>
      <c r="W148" s="702">
        <v>0</v>
      </c>
      <c r="X148" s="702">
        <v>0</v>
      </c>
      <c r="Y148" s="702">
        <v>0</v>
      </c>
      <c r="Z148" s="702">
        <v>0</v>
      </c>
      <c r="AA148" s="702">
        <v>0</v>
      </c>
      <c r="AB148" s="702">
        <v>0</v>
      </c>
      <c r="AC148" s="702">
        <v>0</v>
      </c>
      <c r="AD148" s="702">
        <v>0</v>
      </c>
      <c r="AE148" s="702">
        <v>0</v>
      </c>
      <c r="AF148" s="702">
        <v>0</v>
      </c>
      <c r="AG148" s="702">
        <v>0</v>
      </c>
      <c r="AH148" s="702">
        <v>0</v>
      </c>
      <c r="AI148" s="702">
        <v>0</v>
      </c>
      <c r="AJ148" s="702">
        <v>0</v>
      </c>
      <c r="AK148" s="702">
        <v>0</v>
      </c>
      <c r="AL148" s="702">
        <v>0</v>
      </c>
      <c r="AM148" s="702">
        <v>0</v>
      </c>
      <c r="AN148" s="702">
        <v>0</v>
      </c>
      <c r="AO148" s="703">
        <v>0</v>
      </c>
      <c r="AP148" s="635"/>
      <c r="AQ148" s="701">
        <v>0</v>
      </c>
      <c r="AR148" s="702">
        <v>0</v>
      </c>
      <c r="AS148" s="702">
        <v>0</v>
      </c>
      <c r="AT148" s="702">
        <v>0</v>
      </c>
      <c r="AU148" s="702">
        <v>0</v>
      </c>
      <c r="AV148" s="702">
        <v>0</v>
      </c>
      <c r="AW148" s="702">
        <v>0</v>
      </c>
      <c r="AX148" s="702">
        <v>0</v>
      </c>
      <c r="AY148" s="702">
        <v>0</v>
      </c>
      <c r="AZ148" s="702">
        <v>0</v>
      </c>
      <c r="BA148" s="702">
        <v>0</v>
      </c>
      <c r="BB148" s="702">
        <v>0</v>
      </c>
      <c r="BC148" s="702">
        <v>0</v>
      </c>
      <c r="BD148" s="702">
        <v>0</v>
      </c>
      <c r="BE148" s="702">
        <v>0</v>
      </c>
      <c r="BF148" s="702">
        <v>0</v>
      </c>
      <c r="BG148" s="702">
        <v>0</v>
      </c>
      <c r="BH148" s="702">
        <v>0</v>
      </c>
      <c r="BI148" s="702">
        <v>0</v>
      </c>
      <c r="BJ148" s="702">
        <v>0</v>
      </c>
      <c r="BK148" s="702">
        <v>0</v>
      </c>
      <c r="BL148" s="702">
        <v>0</v>
      </c>
      <c r="BM148" s="702">
        <v>0</v>
      </c>
      <c r="BN148" s="702">
        <v>0</v>
      </c>
      <c r="BO148" s="702">
        <v>0</v>
      </c>
      <c r="BP148" s="702">
        <v>0</v>
      </c>
      <c r="BQ148" s="702">
        <v>0</v>
      </c>
      <c r="BR148" s="702">
        <v>0</v>
      </c>
      <c r="BS148" s="702">
        <v>0</v>
      </c>
      <c r="BT148" s="703">
        <v>0</v>
      </c>
    </row>
    <row r="149" spans="2:72">
      <c r="B149" s="694"/>
      <c r="C149" s="694"/>
      <c r="D149" s="694"/>
      <c r="E149" s="694"/>
      <c r="F149" s="694"/>
      <c r="G149" s="694"/>
      <c r="H149" s="694"/>
      <c r="I149" s="646"/>
      <c r="J149" s="646"/>
      <c r="K149" s="635"/>
      <c r="L149" s="701">
        <v>0</v>
      </c>
      <c r="M149" s="702">
        <v>0</v>
      </c>
      <c r="N149" s="702">
        <v>0</v>
      </c>
      <c r="O149" s="702">
        <v>0</v>
      </c>
      <c r="P149" s="702">
        <v>0</v>
      </c>
      <c r="Q149" s="702">
        <v>0</v>
      </c>
      <c r="R149" s="702">
        <v>0</v>
      </c>
      <c r="S149" s="702">
        <v>0</v>
      </c>
      <c r="T149" s="702">
        <v>0</v>
      </c>
      <c r="U149" s="702">
        <v>0</v>
      </c>
      <c r="V149" s="702">
        <v>0</v>
      </c>
      <c r="W149" s="702">
        <v>0</v>
      </c>
      <c r="X149" s="702">
        <v>0</v>
      </c>
      <c r="Y149" s="702">
        <v>0</v>
      </c>
      <c r="Z149" s="702">
        <v>0</v>
      </c>
      <c r="AA149" s="702">
        <v>0</v>
      </c>
      <c r="AB149" s="702">
        <v>0</v>
      </c>
      <c r="AC149" s="702">
        <v>0</v>
      </c>
      <c r="AD149" s="702">
        <v>0</v>
      </c>
      <c r="AE149" s="702">
        <v>0</v>
      </c>
      <c r="AF149" s="702">
        <v>0</v>
      </c>
      <c r="AG149" s="702">
        <v>0</v>
      </c>
      <c r="AH149" s="702">
        <v>0</v>
      </c>
      <c r="AI149" s="702">
        <v>0</v>
      </c>
      <c r="AJ149" s="702">
        <v>0</v>
      </c>
      <c r="AK149" s="702">
        <v>0</v>
      </c>
      <c r="AL149" s="702">
        <v>0</v>
      </c>
      <c r="AM149" s="702">
        <v>0</v>
      </c>
      <c r="AN149" s="702">
        <v>0</v>
      </c>
      <c r="AO149" s="703">
        <v>0</v>
      </c>
      <c r="AP149" s="635"/>
      <c r="AQ149" s="701">
        <v>0</v>
      </c>
      <c r="AR149" s="702">
        <v>0</v>
      </c>
      <c r="AS149" s="702">
        <v>0</v>
      </c>
      <c r="AT149" s="702">
        <v>0</v>
      </c>
      <c r="AU149" s="702">
        <v>0</v>
      </c>
      <c r="AV149" s="702">
        <v>0</v>
      </c>
      <c r="AW149" s="702">
        <v>0</v>
      </c>
      <c r="AX149" s="702">
        <v>0</v>
      </c>
      <c r="AY149" s="702">
        <v>0</v>
      </c>
      <c r="AZ149" s="702">
        <v>0</v>
      </c>
      <c r="BA149" s="702">
        <v>0</v>
      </c>
      <c r="BB149" s="702">
        <v>0</v>
      </c>
      <c r="BC149" s="702">
        <v>0</v>
      </c>
      <c r="BD149" s="702">
        <v>0</v>
      </c>
      <c r="BE149" s="702">
        <v>0</v>
      </c>
      <c r="BF149" s="702">
        <v>0</v>
      </c>
      <c r="BG149" s="702">
        <v>0</v>
      </c>
      <c r="BH149" s="702">
        <v>0</v>
      </c>
      <c r="BI149" s="702">
        <v>0</v>
      </c>
      <c r="BJ149" s="702">
        <v>0</v>
      </c>
      <c r="BK149" s="702">
        <v>0</v>
      </c>
      <c r="BL149" s="702">
        <v>0</v>
      </c>
      <c r="BM149" s="702">
        <v>0</v>
      </c>
      <c r="BN149" s="702">
        <v>0</v>
      </c>
      <c r="BO149" s="702">
        <v>0</v>
      </c>
      <c r="BP149" s="702">
        <v>0</v>
      </c>
      <c r="BQ149" s="702">
        <v>0</v>
      </c>
      <c r="BR149" s="702">
        <v>0</v>
      </c>
      <c r="BS149" s="702">
        <v>0</v>
      </c>
      <c r="BT149" s="703">
        <v>0</v>
      </c>
    </row>
    <row r="150" spans="2:72">
      <c r="B150" s="694"/>
      <c r="C150" s="694"/>
      <c r="D150" s="694"/>
      <c r="E150" s="694"/>
      <c r="F150" s="694"/>
      <c r="G150" s="694"/>
      <c r="H150" s="694"/>
      <c r="I150" s="646"/>
      <c r="J150" s="646"/>
      <c r="K150" s="635"/>
      <c r="L150" s="701">
        <v>0</v>
      </c>
      <c r="M150" s="702">
        <v>0</v>
      </c>
      <c r="N150" s="702">
        <v>0</v>
      </c>
      <c r="O150" s="702">
        <v>0</v>
      </c>
      <c r="P150" s="702">
        <v>0</v>
      </c>
      <c r="Q150" s="702">
        <v>0</v>
      </c>
      <c r="R150" s="702">
        <v>0</v>
      </c>
      <c r="S150" s="702">
        <v>0</v>
      </c>
      <c r="T150" s="702">
        <v>0</v>
      </c>
      <c r="U150" s="702">
        <v>0</v>
      </c>
      <c r="V150" s="702">
        <v>0</v>
      </c>
      <c r="W150" s="702">
        <v>0</v>
      </c>
      <c r="X150" s="702">
        <v>0</v>
      </c>
      <c r="Y150" s="702">
        <v>0</v>
      </c>
      <c r="Z150" s="702">
        <v>0</v>
      </c>
      <c r="AA150" s="702">
        <v>0</v>
      </c>
      <c r="AB150" s="702">
        <v>0</v>
      </c>
      <c r="AC150" s="702">
        <v>0</v>
      </c>
      <c r="AD150" s="702">
        <v>0</v>
      </c>
      <c r="AE150" s="702">
        <v>0</v>
      </c>
      <c r="AF150" s="702">
        <v>0</v>
      </c>
      <c r="AG150" s="702">
        <v>0</v>
      </c>
      <c r="AH150" s="702">
        <v>0</v>
      </c>
      <c r="AI150" s="702">
        <v>0</v>
      </c>
      <c r="AJ150" s="702">
        <v>0</v>
      </c>
      <c r="AK150" s="702">
        <v>0</v>
      </c>
      <c r="AL150" s="702">
        <v>0</v>
      </c>
      <c r="AM150" s="702">
        <v>0</v>
      </c>
      <c r="AN150" s="702">
        <v>0</v>
      </c>
      <c r="AO150" s="703">
        <v>0</v>
      </c>
      <c r="AP150" s="635"/>
      <c r="AQ150" s="701">
        <v>0</v>
      </c>
      <c r="AR150" s="702">
        <v>0</v>
      </c>
      <c r="AS150" s="702">
        <v>0</v>
      </c>
      <c r="AT150" s="702">
        <v>0</v>
      </c>
      <c r="AU150" s="702">
        <v>0</v>
      </c>
      <c r="AV150" s="702">
        <v>0</v>
      </c>
      <c r="AW150" s="702">
        <v>0</v>
      </c>
      <c r="AX150" s="702">
        <v>0</v>
      </c>
      <c r="AY150" s="702">
        <v>0</v>
      </c>
      <c r="AZ150" s="702">
        <v>0</v>
      </c>
      <c r="BA150" s="702">
        <v>0</v>
      </c>
      <c r="BB150" s="702">
        <v>0</v>
      </c>
      <c r="BC150" s="702">
        <v>0</v>
      </c>
      <c r="BD150" s="702">
        <v>0</v>
      </c>
      <c r="BE150" s="702">
        <v>0</v>
      </c>
      <c r="BF150" s="702">
        <v>0</v>
      </c>
      <c r="BG150" s="702">
        <v>0</v>
      </c>
      <c r="BH150" s="702">
        <v>0</v>
      </c>
      <c r="BI150" s="702">
        <v>0</v>
      </c>
      <c r="BJ150" s="702">
        <v>0</v>
      </c>
      <c r="BK150" s="702">
        <v>0</v>
      </c>
      <c r="BL150" s="702">
        <v>0</v>
      </c>
      <c r="BM150" s="702">
        <v>0</v>
      </c>
      <c r="BN150" s="702">
        <v>0</v>
      </c>
      <c r="BO150" s="702">
        <v>0</v>
      </c>
      <c r="BP150" s="702">
        <v>0</v>
      </c>
      <c r="BQ150" s="702">
        <v>0</v>
      </c>
      <c r="BR150" s="702">
        <v>0</v>
      </c>
      <c r="BS150" s="702">
        <v>0</v>
      </c>
      <c r="BT150" s="703">
        <v>0</v>
      </c>
    </row>
    <row r="151" spans="2:72">
      <c r="B151" s="694"/>
      <c r="C151" s="694"/>
      <c r="D151" s="694"/>
      <c r="E151" s="694"/>
      <c r="F151" s="694"/>
      <c r="G151" s="694"/>
      <c r="H151" s="694"/>
      <c r="I151" s="646"/>
      <c r="J151" s="646"/>
      <c r="K151" s="635"/>
      <c r="L151" s="701">
        <v>0</v>
      </c>
      <c r="M151" s="702">
        <v>0</v>
      </c>
      <c r="N151" s="702">
        <v>0</v>
      </c>
      <c r="O151" s="702">
        <v>0</v>
      </c>
      <c r="P151" s="702">
        <v>0</v>
      </c>
      <c r="Q151" s="702">
        <v>0</v>
      </c>
      <c r="R151" s="702">
        <v>0</v>
      </c>
      <c r="S151" s="702">
        <v>0</v>
      </c>
      <c r="T151" s="702">
        <v>0</v>
      </c>
      <c r="U151" s="702">
        <v>0</v>
      </c>
      <c r="V151" s="702">
        <v>0</v>
      </c>
      <c r="W151" s="702">
        <v>0</v>
      </c>
      <c r="X151" s="702">
        <v>0</v>
      </c>
      <c r="Y151" s="702">
        <v>0</v>
      </c>
      <c r="Z151" s="702">
        <v>0</v>
      </c>
      <c r="AA151" s="702">
        <v>0</v>
      </c>
      <c r="AB151" s="702">
        <v>0</v>
      </c>
      <c r="AC151" s="702">
        <v>0</v>
      </c>
      <c r="AD151" s="702">
        <v>0</v>
      </c>
      <c r="AE151" s="702">
        <v>0</v>
      </c>
      <c r="AF151" s="702">
        <v>0</v>
      </c>
      <c r="AG151" s="702">
        <v>0</v>
      </c>
      <c r="AH151" s="702">
        <v>0</v>
      </c>
      <c r="AI151" s="702">
        <v>0</v>
      </c>
      <c r="AJ151" s="702">
        <v>0</v>
      </c>
      <c r="AK151" s="702">
        <v>0</v>
      </c>
      <c r="AL151" s="702">
        <v>0</v>
      </c>
      <c r="AM151" s="702">
        <v>0</v>
      </c>
      <c r="AN151" s="702">
        <v>0</v>
      </c>
      <c r="AO151" s="703">
        <v>0</v>
      </c>
      <c r="AP151" s="635"/>
      <c r="AQ151" s="701">
        <v>0</v>
      </c>
      <c r="AR151" s="702">
        <v>0</v>
      </c>
      <c r="AS151" s="702">
        <v>0</v>
      </c>
      <c r="AT151" s="702">
        <v>0</v>
      </c>
      <c r="AU151" s="702">
        <v>0</v>
      </c>
      <c r="AV151" s="702">
        <v>0</v>
      </c>
      <c r="AW151" s="702">
        <v>0</v>
      </c>
      <c r="AX151" s="702">
        <v>0</v>
      </c>
      <c r="AY151" s="702">
        <v>0</v>
      </c>
      <c r="AZ151" s="702">
        <v>0</v>
      </c>
      <c r="BA151" s="702">
        <v>0</v>
      </c>
      <c r="BB151" s="702">
        <v>0</v>
      </c>
      <c r="BC151" s="702">
        <v>0</v>
      </c>
      <c r="BD151" s="702">
        <v>0</v>
      </c>
      <c r="BE151" s="702">
        <v>0</v>
      </c>
      <c r="BF151" s="702">
        <v>0</v>
      </c>
      <c r="BG151" s="702">
        <v>0</v>
      </c>
      <c r="BH151" s="702">
        <v>0</v>
      </c>
      <c r="BI151" s="702">
        <v>0</v>
      </c>
      <c r="BJ151" s="702">
        <v>0</v>
      </c>
      <c r="BK151" s="702">
        <v>0</v>
      </c>
      <c r="BL151" s="702">
        <v>0</v>
      </c>
      <c r="BM151" s="702">
        <v>0</v>
      </c>
      <c r="BN151" s="702">
        <v>0</v>
      </c>
      <c r="BO151" s="702">
        <v>0</v>
      </c>
      <c r="BP151" s="702">
        <v>0</v>
      </c>
      <c r="BQ151" s="702">
        <v>0</v>
      </c>
      <c r="BR151" s="702">
        <v>0</v>
      </c>
      <c r="BS151" s="702">
        <v>0</v>
      </c>
      <c r="BT151" s="703">
        <v>0</v>
      </c>
    </row>
    <row r="152" spans="2:72">
      <c r="B152" s="694"/>
      <c r="C152" s="694"/>
      <c r="D152" s="694"/>
      <c r="E152" s="694"/>
      <c r="F152" s="694"/>
      <c r="G152" s="694"/>
      <c r="H152" s="694"/>
      <c r="I152" s="646"/>
      <c r="J152" s="646"/>
      <c r="K152" s="635"/>
      <c r="L152" s="701">
        <v>0</v>
      </c>
      <c r="M152" s="702">
        <v>0</v>
      </c>
      <c r="N152" s="702">
        <v>0</v>
      </c>
      <c r="O152" s="702">
        <v>0</v>
      </c>
      <c r="P152" s="702">
        <v>0</v>
      </c>
      <c r="Q152" s="702">
        <v>0</v>
      </c>
      <c r="R152" s="702">
        <v>0</v>
      </c>
      <c r="S152" s="702">
        <v>0</v>
      </c>
      <c r="T152" s="702">
        <v>0</v>
      </c>
      <c r="U152" s="702">
        <v>0</v>
      </c>
      <c r="V152" s="702">
        <v>0</v>
      </c>
      <c r="W152" s="702">
        <v>0</v>
      </c>
      <c r="X152" s="702">
        <v>0</v>
      </c>
      <c r="Y152" s="702">
        <v>0</v>
      </c>
      <c r="Z152" s="702">
        <v>0</v>
      </c>
      <c r="AA152" s="702">
        <v>0</v>
      </c>
      <c r="AB152" s="702">
        <v>0</v>
      </c>
      <c r="AC152" s="702">
        <v>0</v>
      </c>
      <c r="AD152" s="702">
        <v>0</v>
      </c>
      <c r="AE152" s="702">
        <v>0</v>
      </c>
      <c r="AF152" s="702">
        <v>0</v>
      </c>
      <c r="AG152" s="702">
        <v>0</v>
      </c>
      <c r="AH152" s="702">
        <v>0</v>
      </c>
      <c r="AI152" s="702">
        <v>0</v>
      </c>
      <c r="AJ152" s="702">
        <v>0</v>
      </c>
      <c r="AK152" s="702">
        <v>0</v>
      </c>
      <c r="AL152" s="702">
        <v>0</v>
      </c>
      <c r="AM152" s="702">
        <v>0</v>
      </c>
      <c r="AN152" s="702">
        <v>0</v>
      </c>
      <c r="AO152" s="703">
        <v>0</v>
      </c>
      <c r="AP152" s="635"/>
      <c r="AQ152" s="701">
        <v>0</v>
      </c>
      <c r="AR152" s="702">
        <v>0</v>
      </c>
      <c r="AS152" s="702">
        <v>0</v>
      </c>
      <c r="AT152" s="702">
        <v>0</v>
      </c>
      <c r="AU152" s="702">
        <v>0</v>
      </c>
      <c r="AV152" s="702">
        <v>0</v>
      </c>
      <c r="AW152" s="702">
        <v>0</v>
      </c>
      <c r="AX152" s="702">
        <v>0</v>
      </c>
      <c r="AY152" s="702">
        <v>0</v>
      </c>
      <c r="AZ152" s="702">
        <v>0</v>
      </c>
      <c r="BA152" s="702">
        <v>0</v>
      </c>
      <c r="BB152" s="702">
        <v>0</v>
      </c>
      <c r="BC152" s="702">
        <v>0</v>
      </c>
      <c r="BD152" s="702">
        <v>0</v>
      </c>
      <c r="BE152" s="702">
        <v>0</v>
      </c>
      <c r="BF152" s="702">
        <v>0</v>
      </c>
      <c r="BG152" s="702">
        <v>0</v>
      </c>
      <c r="BH152" s="702">
        <v>0</v>
      </c>
      <c r="BI152" s="702">
        <v>0</v>
      </c>
      <c r="BJ152" s="702">
        <v>0</v>
      </c>
      <c r="BK152" s="702">
        <v>0</v>
      </c>
      <c r="BL152" s="702">
        <v>0</v>
      </c>
      <c r="BM152" s="702">
        <v>0</v>
      </c>
      <c r="BN152" s="702">
        <v>0</v>
      </c>
      <c r="BO152" s="702">
        <v>0</v>
      </c>
      <c r="BP152" s="702">
        <v>0</v>
      </c>
      <c r="BQ152" s="702">
        <v>0</v>
      </c>
      <c r="BR152" s="702">
        <v>0</v>
      </c>
      <c r="BS152" s="702">
        <v>0</v>
      </c>
      <c r="BT152" s="703">
        <v>0</v>
      </c>
    </row>
    <row r="153" spans="2:72">
      <c r="B153" s="694"/>
      <c r="C153" s="694"/>
      <c r="D153" s="694"/>
      <c r="E153" s="694"/>
      <c r="F153" s="694"/>
      <c r="G153" s="694"/>
      <c r="H153" s="694"/>
      <c r="I153" s="646"/>
      <c r="J153" s="646"/>
      <c r="K153" s="635"/>
      <c r="L153" s="701">
        <v>0</v>
      </c>
      <c r="M153" s="702">
        <v>0</v>
      </c>
      <c r="N153" s="702">
        <v>0</v>
      </c>
      <c r="O153" s="702">
        <v>0</v>
      </c>
      <c r="P153" s="702">
        <v>0</v>
      </c>
      <c r="Q153" s="702">
        <v>0</v>
      </c>
      <c r="R153" s="702">
        <v>0</v>
      </c>
      <c r="S153" s="702">
        <v>0</v>
      </c>
      <c r="T153" s="702">
        <v>0</v>
      </c>
      <c r="U153" s="702">
        <v>0</v>
      </c>
      <c r="V153" s="702">
        <v>0</v>
      </c>
      <c r="W153" s="702">
        <v>0</v>
      </c>
      <c r="X153" s="702">
        <v>0</v>
      </c>
      <c r="Y153" s="702">
        <v>0</v>
      </c>
      <c r="Z153" s="702">
        <v>0</v>
      </c>
      <c r="AA153" s="702">
        <v>0</v>
      </c>
      <c r="AB153" s="702">
        <v>0</v>
      </c>
      <c r="AC153" s="702">
        <v>0</v>
      </c>
      <c r="AD153" s="702">
        <v>0</v>
      </c>
      <c r="AE153" s="702">
        <v>0</v>
      </c>
      <c r="AF153" s="702">
        <v>0</v>
      </c>
      <c r="AG153" s="702">
        <v>0</v>
      </c>
      <c r="AH153" s="702">
        <v>0</v>
      </c>
      <c r="AI153" s="702">
        <v>0</v>
      </c>
      <c r="AJ153" s="702">
        <v>0</v>
      </c>
      <c r="AK153" s="702">
        <v>0</v>
      </c>
      <c r="AL153" s="702">
        <v>0</v>
      </c>
      <c r="AM153" s="702">
        <v>0</v>
      </c>
      <c r="AN153" s="702">
        <v>0</v>
      </c>
      <c r="AO153" s="703">
        <v>0</v>
      </c>
      <c r="AP153" s="635"/>
      <c r="AQ153" s="701">
        <v>0</v>
      </c>
      <c r="AR153" s="702">
        <v>0</v>
      </c>
      <c r="AS153" s="702">
        <v>0</v>
      </c>
      <c r="AT153" s="702">
        <v>0</v>
      </c>
      <c r="AU153" s="702">
        <v>0</v>
      </c>
      <c r="AV153" s="702">
        <v>0</v>
      </c>
      <c r="AW153" s="702">
        <v>0</v>
      </c>
      <c r="AX153" s="702">
        <v>0</v>
      </c>
      <c r="AY153" s="702">
        <v>0</v>
      </c>
      <c r="AZ153" s="702">
        <v>0</v>
      </c>
      <c r="BA153" s="702">
        <v>0</v>
      </c>
      <c r="BB153" s="702">
        <v>0</v>
      </c>
      <c r="BC153" s="702">
        <v>0</v>
      </c>
      <c r="BD153" s="702">
        <v>0</v>
      </c>
      <c r="BE153" s="702">
        <v>0</v>
      </c>
      <c r="BF153" s="702">
        <v>0</v>
      </c>
      <c r="BG153" s="702">
        <v>0</v>
      </c>
      <c r="BH153" s="702">
        <v>0</v>
      </c>
      <c r="BI153" s="702">
        <v>0</v>
      </c>
      <c r="BJ153" s="702">
        <v>0</v>
      </c>
      <c r="BK153" s="702">
        <v>0</v>
      </c>
      <c r="BL153" s="702">
        <v>0</v>
      </c>
      <c r="BM153" s="702">
        <v>0</v>
      </c>
      <c r="BN153" s="702">
        <v>0</v>
      </c>
      <c r="BO153" s="702">
        <v>0</v>
      </c>
      <c r="BP153" s="702">
        <v>0</v>
      </c>
      <c r="BQ153" s="702">
        <v>0</v>
      </c>
      <c r="BR153" s="702">
        <v>0</v>
      </c>
      <c r="BS153" s="702">
        <v>0</v>
      </c>
      <c r="BT153" s="703">
        <v>0</v>
      </c>
    </row>
    <row r="154" spans="2:72">
      <c r="B154" s="694"/>
      <c r="C154" s="694"/>
      <c r="D154" s="694"/>
      <c r="E154" s="694"/>
      <c r="F154" s="694"/>
      <c r="G154" s="694"/>
      <c r="H154" s="694"/>
      <c r="I154" s="646"/>
      <c r="J154" s="646"/>
      <c r="K154" s="635"/>
      <c r="L154" s="701">
        <v>0</v>
      </c>
      <c r="M154" s="702">
        <v>0</v>
      </c>
      <c r="N154" s="702">
        <v>0</v>
      </c>
      <c r="O154" s="702">
        <v>0</v>
      </c>
      <c r="P154" s="702">
        <v>0</v>
      </c>
      <c r="Q154" s="702">
        <v>0</v>
      </c>
      <c r="R154" s="702">
        <v>0</v>
      </c>
      <c r="S154" s="702">
        <v>0</v>
      </c>
      <c r="T154" s="702">
        <v>0</v>
      </c>
      <c r="U154" s="702">
        <v>0</v>
      </c>
      <c r="V154" s="702">
        <v>0</v>
      </c>
      <c r="W154" s="702">
        <v>0</v>
      </c>
      <c r="X154" s="702">
        <v>0</v>
      </c>
      <c r="Y154" s="702">
        <v>0</v>
      </c>
      <c r="Z154" s="702">
        <v>0</v>
      </c>
      <c r="AA154" s="702">
        <v>0</v>
      </c>
      <c r="AB154" s="702">
        <v>0</v>
      </c>
      <c r="AC154" s="702">
        <v>0</v>
      </c>
      <c r="AD154" s="702">
        <v>0</v>
      </c>
      <c r="AE154" s="702">
        <v>0</v>
      </c>
      <c r="AF154" s="702">
        <v>0</v>
      </c>
      <c r="AG154" s="702">
        <v>0</v>
      </c>
      <c r="AH154" s="702">
        <v>0</v>
      </c>
      <c r="AI154" s="702">
        <v>0</v>
      </c>
      <c r="AJ154" s="702">
        <v>0</v>
      </c>
      <c r="AK154" s="702">
        <v>0</v>
      </c>
      <c r="AL154" s="702">
        <v>0</v>
      </c>
      <c r="AM154" s="702">
        <v>0</v>
      </c>
      <c r="AN154" s="702">
        <v>0</v>
      </c>
      <c r="AO154" s="703">
        <v>0</v>
      </c>
      <c r="AP154" s="635"/>
      <c r="AQ154" s="701">
        <v>0</v>
      </c>
      <c r="AR154" s="702">
        <v>0</v>
      </c>
      <c r="AS154" s="702">
        <v>0</v>
      </c>
      <c r="AT154" s="702">
        <v>0</v>
      </c>
      <c r="AU154" s="702">
        <v>0</v>
      </c>
      <c r="AV154" s="702">
        <v>0</v>
      </c>
      <c r="AW154" s="702">
        <v>0</v>
      </c>
      <c r="AX154" s="702">
        <v>0</v>
      </c>
      <c r="AY154" s="702">
        <v>0</v>
      </c>
      <c r="AZ154" s="702">
        <v>0</v>
      </c>
      <c r="BA154" s="702">
        <v>0</v>
      </c>
      <c r="BB154" s="702">
        <v>0</v>
      </c>
      <c r="BC154" s="702">
        <v>0</v>
      </c>
      <c r="BD154" s="702">
        <v>0</v>
      </c>
      <c r="BE154" s="702">
        <v>0</v>
      </c>
      <c r="BF154" s="702">
        <v>0</v>
      </c>
      <c r="BG154" s="702">
        <v>0</v>
      </c>
      <c r="BH154" s="702">
        <v>0</v>
      </c>
      <c r="BI154" s="702">
        <v>0</v>
      </c>
      <c r="BJ154" s="702">
        <v>0</v>
      </c>
      <c r="BK154" s="702">
        <v>0</v>
      </c>
      <c r="BL154" s="702">
        <v>0</v>
      </c>
      <c r="BM154" s="702">
        <v>0</v>
      </c>
      <c r="BN154" s="702">
        <v>0</v>
      </c>
      <c r="BO154" s="702">
        <v>0</v>
      </c>
      <c r="BP154" s="702">
        <v>0</v>
      </c>
      <c r="BQ154" s="702">
        <v>0</v>
      </c>
      <c r="BR154" s="702">
        <v>0</v>
      </c>
      <c r="BS154" s="702">
        <v>0</v>
      </c>
      <c r="BT154" s="703">
        <v>0</v>
      </c>
    </row>
    <row r="155" spans="2:72">
      <c r="B155" s="694"/>
      <c r="C155" s="694"/>
      <c r="D155" s="694"/>
      <c r="E155" s="694"/>
      <c r="F155" s="694"/>
      <c r="G155" s="694"/>
      <c r="H155" s="694"/>
      <c r="I155" s="646"/>
      <c r="J155" s="646"/>
      <c r="K155" s="635"/>
      <c r="L155" s="701">
        <v>0</v>
      </c>
      <c r="M155" s="702">
        <v>0</v>
      </c>
      <c r="N155" s="702">
        <v>0</v>
      </c>
      <c r="O155" s="702">
        <v>0</v>
      </c>
      <c r="P155" s="702">
        <v>0</v>
      </c>
      <c r="Q155" s="702">
        <v>0</v>
      </c>
      <c r="R155" s="702">
        <v>0</v>
      </c>
      <c r="S155" s="702">
        <v>0</v>
      </c>
      <c r="T155" s="702">
        <v>0</v>
      </c>
      <c r="U155" s="702">
        <v>0</v>
      </c>
      <c r="V155" s="702">
        <v>0</v>
      </c>
      <c r="W155" s="702">
        <v>0</v>
      </c>
      <c r="X155" s="702">
        <v>0</v>
      </c>
      <c r="Y155" s="702">
        <v>0</v>
      </c>
      <c r="Z155" s="702">
        <v>0</v>
      </c>
      <c r="AA155" s="702">
        <v>0</v>
      </c>
      <c r="AB155" s="702">
        <v>0</v>
      </c>
      <c r="AC155" s="702">
        <v>0</v>
      </c>
      <c r="AD155" s="702">
        <v>0</v>
      </c>
      <c r="AE155" s="702">
        <v>0</v>
      </c>
      <c r="AF155" s="702">
        <v>0</v>
      </c>
      <c r="AG155" s="702">
        <v>0</v>
      </c>
      <c r="AH155" s="702">
        <v>0</v>
      </c>
      <c r="AI155" s="702">
        <v>0</v>
      </c>
      <c r="AJ155" s="702">
        <v>0</v>
      </c>
      <c r="AK155" s="702">
        <v>0</v>
      </c>
      <c r="AL155" s="702">
        <v>0</v>
      </c>
      <c r="AM155" s="702">
        <v>0</v>
      </c>
      <c r="AN155" s="702">
        <v>0</v>
      </c>
      <c r="AO155" s="703">
        <v>0</v>
      </c>
      <c r="AP155" s="635"/>
      <c r="AQ155" s="701">
        <v>0</v>
      </c>
      <c r="AR155" s="702">
        <v>0</v>
      </c>
      <c r="AS155" s="702">
        <v>0</v>
      </c>
      <c r="AT155" s="702">
        <v>0</v>
      </c>
      <c r="AU155" s="702">
        <v>0</v>
      </c>
      <c r="AV155" s="702">
        <v>0</v>
      </c>
      <c r="AW155" s="702">
        <v>0</v>
      </c>
      <c r="AX155" s="702">
        <v>0</v>
      </c>
      <c r="AY155" s="702">
        <v>0</v>
      </c>
      <c r="AZ155" s="702">
        <v>0</v>
      </c>
      <c r="BA155" s="702">
        <v>0</v>
      </c>
      <c r="BB155" s="702">
        <v>0</v>
      </c>
      <c r="BC155" s="702">
        <v>0</v>
      </c>
      <c r="BD155" s="702">
        <v>0</v>
      </c>
      <c r="BE155" s="702">
        <v>0</v>
      </c>
      <c r="BF155" s="702">
        <v>0</v>
      </c>
      <c r="BG155" s="702">
        <v>0</v>
      </c>
      <c r="BH155" s="702">
        <v>0</v>
      </c>
      <c r="BI155" s="702">
        <v>0</v>
      </c>
      <c r="BJ155" s="702">
        <v>0</v>
      </c>
      <c r="BK155" s="702">
        <v>0</v>
      </c>
      <c r="BL155" s="702">
        <v>0</v>
      </c>
      <c r="BM155" s="702">
        <v>0</v>
      </c>
      <c r="BN155" s="702">
        <v>0</v>
      </c>
      <c r="BO155" s="702">
        <v>0</v>
      </c>
      <c r="BP155" s="702">
        <v>0</v>
      </c>
      <c r="BQ155" s="702">
        <v>0</v>
      </c>
      <c r="BR155" s="702">
        <v>0</v>
      </c>
      <c r="BS155" s="702">
        <v>0</v>
      </c>
      <c r="BT155" s="703">
        <v>0</v>
      </c>
    </row>
    <row r="156" spans="2:72">
      <c r="B156" s="694"/>
      <c r="C156" s="694"/>
      <c r="D156" s="694"/>
      <c r="E156" s="694"/>
      <c r="F156" s="694"/>
      <c r="G156" s="694"/>
      <c r="H156" s="694"/>
      <c r="I156" s="646"/>
      <c r="J156" s="646"/>
      <c r="K156" s="635"/>
      <c r="L156" s="701">
        <v>0</v>
      </c>
      <c r="M156" s="702">
        <v>0</v>
      </c>
      <c r="N156" s="702">
        <v>0</v>
      </c>
      <c r="O156" s="702">
        <v>0</v>
      </c>
      <c r="P156" s="702">
        <v>0</v>
      </c>
      <c r="Q156" s="702">
        <v>0</v>
      </c>
      <c r="R156" s="702">
        <v>0</v>
      </c>
      <c r="S156" s="702">
        <v>0</v>
      </c>
      <c r="T156" s="702">
        <v>0</v>
      </c>
      <c r="U156" s="702">
        <v>0</v>
      </c>
      <c r="V156" s="702">
        <v>0</v>
      </c>
      <c r="W156" s="702">
        <v>0</v>
      </c>
      <c r="X156" s="702">
        <v>0</v>
      </c>
      <c r="Y156" s="702">
        <v>0</v>
      </c>
      <c r="Z156" s="702">
        <v>0</v>
      </c>
      <c r="AA156" s="702">
        <v>0</v>
      </c>
      <c r="AB156" s="702">
        <v>0</v>
      </c>
      <c r="AC156" s="702">
        <v>0</v>
      </c>
      <c r="AD156" s="702">
        <v>0</v>
      </c>
      <c r="AE156" s="702">
        <v>0</v>
      </c>
      <c r="AF156" s="702">
        <v>0</v>
      </c>
      <c r="AG156" s="702">
        <v>0</v>
      </c>
      <c r="AH156" s="702">
        <v>0</v>
      </c>
      <c r="AI156" s="702">
        <v>0</v>
      </c>
      <c r="AJ156" s="702">
        <v>0</v>
      </c>
      <c r="AK156" s="702">
        <v>0</v>
      </c>
      <c r="AL156" s="702">
        <v>0</v>
      </c>
      <c r="AM156" s="702">
        <v>0</v>
      </c>
      <c r="AN156" s="702">
        <v>0</v>
      </c>
      <c r="AO156" s="703">
        <v>0</v>
      </c>
      <c r="AP156" s="635"/>
      <c r="AQ156" s="701">
        <v>0</v>
      </c>
      <c r="AR156" s="702">
        <v>0</v>
      </c>
      <c r="AS156" s="702">
        <v>0</v>
      </c>
      <c r="AT156" s="702">
        <v>0</v>
      </c>
      <c r="AU156" s="702">
        <v>0</v>
      </c>
      <c r="AV156" s="702">
        <v>0</v>
      </c>
      <c r="AW156" s="702">
        <v>0</v>
      </c>
      <c r="AX156" s="702">
        <v>0</v>
      </c>
      <c r="AY156" s="702">
        <v>0</v>
      </c>
      <c r="AZ156" s="702">
        <v>0</v>
      </c>
      <c r="BA156" s="702">
        <v>0</v>
      </c>
      <c r="BB156" s="702">
        <v>0</v>
      </c>
      <c r="BC156" s="702">
        <v>0</v>
      </c>
      <c r="BD156" s="702">
        <v>0</v>
      </c>
      <c r="BE156" s="702">
        <v>0</v>
      </c>
      <c r="BF156" s="702">
        <v>0</v>
      </c>
      <c r="BG156" s="702">
        <v>0</v>
      </c>
      <c r="BH156" s="702">
        <v>0</v>
      </c>
      <c r="BI156" s="702">
        <v>0</v>
      </c>
      <c r="BJ156" s="702">
        <v>0</v>
      </c>
      <c r="BK156" s="702">
        <v>0</v>
      </c>
      <c r="BL156" s="702">
        <v>0</v>
      </c>
      <c r="BM156" s="702">
        <v>0</v>
      </c>
      <c r="BN156" s="702">
        <v>0</v>
      </c>
      <c r="BO156" s="702">
        <v>0</v>
      </c>
      <c r="BP156" s="702">
        <v>0</v>
      </c>
      <c r="BQ156" s="702">
        <v>0</v>
      </c>
      <c r="BR156" s="702">
        <v>0</v>
      </c>
      <c r="BS156" s="702">
        <v>0</v>
      </c>
      <c r="BT156" s="703">
        <v>0</v>
      </c>
    </row>
    <row r="157" spans="2:72">
      <c r="B157" s="694"/>
      <c r="C157" s="694"/>
      <c r="D157" s="694"/>
      <c r="E157" s="694"/>
      <c r="F157" s="694"/>
      <c r="G157" s="694"/>
      <c r="H157" s="694"/>
      <c r="I157" s="646"/>
      <c r="J157" s="646"/>
      <c r="K157" s="635"/>
      <c r="L157" s="701">
        <v>0</v>
      </c>
      <c r="M157" s="702">
        <v>0</v>
      </c>
      <c r="N157" s="702">
        <v>0</v>
      </c>
      <c r="O157" s="702">
        <v>0</v>
      </c>
      <c r="P157" s="702">
        <v>0</v>
      </c>
      <c r="Q157" s="702">
        <v>0</v>
      </c>
      <c r="R157" s="702">
        <v>0</v>
      </c>
      <c r="S157" s="702">
        <v>0</v>
      </c>
      <c r="T157" s="702">
        <v>0</v>
      </c>
      <c r="U157" s="702">
        <v>0</v>
      </c>
      <c r="V157" s="702">
        <v>0</v>
      </c>
      <c r="W157" s="702">
        <v>0</v>
      </c>
      <c r="X157" s="702">
        <v>0</v>
      </c>
      <c r="Y157" s="702">
        <v>0</v>
      </c>
      <c r="Z157" s="702">
        <v>0</v>
      </c>
      <c r="AA157" s="702">
        <v>0</v>
      </c>
      <c r="AB157" s="702">
        <v>0</v>
      </c>
      <c r="AC157" s="702">
        <v>0</v>
      </c>
      <c r="AD157" s="702">
        <v>0</v>
      </c>
      <c r="AE157" s="702">
        <v>0</v>
      </c>
      <c r="AF157" s="702">
        <v>0</v>
      </c>
      <c r="AG157" s="702">
        <v>0</v>
      </c>
      <c r="AH157" s="702">
        <v>0</v>
      </c>
      <c r="AI157" s="702">
        <v>0</v>
      </c>
      <c r="AJ157" s="702">
        <v>0</v>
      </c>
      <c r="AK157" s="702">
        <v>0</v>
      </c>
      <c r="AL157" s="702">
        <v>0</v>
      </c>
      <c r="AM157" s="702">
        <v>0</v>
      </c>
      <c r="AN157" s="702">
        <v>0</v>
      </c>
      <c r="AO157" s="703">
        <v>0</v>
      </c>
      <c r="AP157" s="635"/>
      <c r="AQ157" s="701">
        <v>0</v>
      </c>
      <c r="AR157" s="702">
        <v>0</v>
      </c>
      <c r="AS157" s="702">
        <v>0</v>
      </c>
      <c r="AT157" s="702">
        <v>0</v>
      </c>
      <c r="AU157" s="702">
        <v>0</v>
      </c>
      <c r="AV157" s="702">
        <v>0</v>
      </c>
      <c r="AW157" s="702">
        <v>0</v>
      </c>
      <c r="AX157" s="702">
        <v>0</v>
      </c>
      <c r="AY157" s="702">
        <v>0</v>
      </c>
      <c r="AZ157" s="702">
        <v>0</v>
      </c>
      <c r="BA157" s="702">
        <v>0</v>
      </c>
      <c r="BB157" s="702">
        <v>0</v>
      </c>
      <c r="BC157" s="702">
        <v>0</v>
      </c>
      <c r="BD157" s="702">
        <v>0</v>
      </c>
      <c r="BE157" s="702">
        <v>0</v>
      </c>
      <c r="BF157" s="702">
        <v>0</v>
      </c>
      <c r="BG157" s="702">
        <v>0</v>
      </c>
      <c r="BH157" s="702">
        <v>0</v>
      </c>
      <c r="BI157" s="702">
        <v>0</v>
      </c>
      <c r="BJ157" s="702">
        <v>0</v>
      </c>
      <c r="BK157" s="702">
        <v>0</v>
      </c>
      <c r="BL157" s="702">
        <v>0</v>
      </c>
      <c r="BM157" s="702">
        <v>0</v>
      </c>
      <c r="BN157" s="702">
        <v>0</v>
      </c>
      <c r="BO157" s="702">
        <v>0</v>
      </c>
      <c r="BP157" s="702">
        <v>0</v>
      </c>
      <c r="BQ157" s="702">
        <v>0</v>
      </c>
      <c r="BR157" s="702">
        <v>0</v>
      </c>
      <c r="BS157" s="702">
        <v>0</v>
      </c>
      <c r="BT157" s="703">
        <v>0</v>
      </c>
    </row>
    <row r="158" spans="2:72">
      <c r="B158" s="694"/>
      <c r="C158" s="694"/>
      <c r="D158" s="694"/>
      <c r="E158" s="694"/>
      <c r="F158" s="694"/>
      <c r="G158" s="694"/>
      <c r="H158" s="694"/>
      <c r="I158" s="646"/>
      <c r="J158" s="646"/>
      <c r="K158" s="635"/>
      <c r="L158" s="701">
        <v>0</v>
      </c>
      <c r="M158" s="702">
        <v>0</v>
      </c>
      <c r="N158" s="702">
        <v>0</v>
      </c>
      <c r="O158" s="702">
        <v>0</v>
      </c>
      <c r="P158" s="702">
        <v>0</v>
      </c>
      <c r="Q158" s="702">
        <v>0</v>
      </c>
      <c r="R158" s="702">
        <v>0</v>
      </c>
      <c r="S158" s="702">
        <v>0</v>
      </c>
      <c r="T158" s="702">
        <v>0</v>
      </c>
      <c r="U158" s="702">
        <v>0</v>
      </c>
      <c r="V158" s="702">
        <v>0</v>
      </c>
      <c r="W158" s="702">
        <v>0</v>
      </c>
      <c r="X158" s="702">
        <v>0</v>
      </c>
      <c r="Y158" s="702">
        <v>0</v>
      </c>
      <c r="Z158" s="702">
        <v>0</v>
      </c>
      <c r="AA158" s="702">
        <v>0</v>
      </c>
      <c r="AB158" s="702">
        <v>0</v>
      </c>
      <c r="AC158" s="702">
        <v>0</v>
      </c>
      <c r="AD158" s="702">
        <v>0</v>
      </c>
      <c r="AE158" s="702">
        <v>0</v>
      </c>
      <c r="AF158" s="702">
        <v>0</v>
      </c>
      <c r="AG158" s="702">
        <v>0</v>
      </c>
      <c r="AH158" s="702">
        <v>0</v>
      </c>
      <c r="AI158" s="702">
        <v>0</v>
      </c>
      <c r="AJ158" s="702">
        <v>0</v>
      </c>
      <c r="AK158" s="702">
        <v>0</v>
      </c>
      <c r="AL158" s="702">
        <v>0</v>
      </c>
      <c r="AM158" s="702">
        <v>0</v>
      </c>
      <c r="AN158" s="702">
        <v>0</v>
      </c>
      <c r="AO158" s="703">
        <v>0</v>
      </c>
      <c r="AP158" s="635"/>
      <c r="AQ158" s="701">
        <v>0</v>
      </c>
      <c r="AR158" s="702">
        <v>0</v>
      </c>
      <c r="AS158" s="702">
        <v>0</v>
      </c>
      <c r="AT158" s="702">
        <v>0</v>
      </c>
      <c r="AU158" s="702">
        <v>0</v>
      </c>
      <c r="AV158" s="702">
        <v>0</v>
      </c>
      <c r="AW158" s="702">
        <v>0</v>
      </c>
      <c r="AX158" s="702">
        <v>0</v>
      </c>
      <c r="AY158" s="702">
        <v>0</v>
      </c>
      <c r="AZ158" s="702">
        <v>0</v>
      </c>
      <c r="BA158" s="702">
        <v>0</v>
      </c>
      <c r="BB158" s="702">
        <v>0</v>
      </c>
      <c r="BC158" s="702">
        <v>0</v>
      </c>
      <c r="BD158" s="702">
        <v>0</v>
      </c>
      <c r="BE158" s="702">
        <v>0</v>
      </c>
      <c r="BF158" s="702">
        <v>0</v>
      </c>
      <c r="BG158" s="702">
        <v>0</v>
      </c>
      <c r="BH158" s="702">
        <v>0</v>
      </c>
      <c r="BI158" s="702">
        <v>0</v>
      </c>
      <c r="BJ158" s="702">
        <v>0</v>
      </c>
      <c r="BK158" s="702">
        <v>0</v>
      </c>
      <c r="BL158" s="702">
        <v>0</v>
      </c>
      <c r="BM158" s="702">
        <v>0</v>
      </c>
      <c r="BN158" s="702">
        <v>0</v>
      </c>
      <c r="BO158" s="702">
        <v>0</v>
      </c>
      <c r="BP158" s="702">
        <v>0</v>
      </c>
      <c r="BQ158" s="702">
        <v>0</v>
      </c>
      <c r="BR158" s="702">
        <v>0</v>
      </c>
      <c r="BS158" s="702">
        <v>0</v>
      </c>
      <c r="BT158" s="703">
        <v>0</v>
      </c>
    </row>
    <row r="159" spans="2:72">
      <c r="B159" s="694"/>
      <c r="C159" s="694"/>
      <c r="D159" s="694"/>
      <c r="E159" s="694"/>
      <c r="F159" s="694"/>
      <c r="G159" s="694"/>
      <c r="H159" s="694"/>
      <c r="I159" s="646"/>
      <c r="J159" s="646"/>
      <c r="K159" s="635"/>
      <c r="L159" s="701">
        <v>0</v>
      </c>
      <c r="M159" s="702">
        <v>0</v>
      </c>
      <c r="N159" s="702">
        <v>0</v>
      </c>
      <c r="O159" s="702">
        <v>0</v>
      </c>
      <c r="P159" s="702">
        <v>0</v>
      </c>
      <c r="Q159" s="702">
        <v>0</v>
      </c>
      <c r="R159" s="702">
        <v>0</v>
      </c>
      <c r="S159" s="702">
        <v>0</v>
      </c>
      <c r="T159" s="702">
        <v>0</v>
      </c>
      <c r="U159" s="702">
        <v>0</v>
      </c>
      <c r="V159" s="702">
        <v>0</v>
      </c>
      <c r="W159" s="702">
        <v>0</v>
      </c>
      <c r="X159" s="702">
        <v>0</v>
      </c>
      <c r="Y159" s="702">
        <v>0</v>
      </c>
      <c r="Z159" s="702">
        <v>0</v>
      </c>
      <c r="AA159" s="702">
        <v>0</v>
      </c>
      <c r="AB159" s="702">
        <v>0</v>
      </c>
      <c r="AC159" s="702">
        <v>0</v>
      </c>
      <c r="AD159" s="702">
        <v>0</v>
      </c>
      <c r="AE159" s="702">
        <v>0</v>
      </c>
      <c r="AF159" s="702">
        <v>0</v>
      </c>
      <c r="AG159" s="702">
        <v>0</v>
      </c>
      <c r="AH159" s="702">
        <v>0</v>
      </c>
      <c r="AI159" s="702">
        <v>0</v>
      </c>
      <c r="AJ159" s="702">
        <v>0</v>
      </c>
      <c r="AK159" s="702">
        <v>0</v>
      </c>
      <c r="AL159" s="702">
        <v>0</v>
      </c>
      <c r="AM159" s="702">
        <v>0</v>
      </c>
      <c r="AN159" s="702">
        <v>0</v>
      </c>
      <c r="AO159" s="703">
        <v>0</v>
      </c>
      <c r="AP159" s="635"/>
      <c r="AQ159" s="701">
        <v>0</v>
      </c>
      <c r="AR159" s="702">
        <v>0</v>
      </c>
      <c r="AS159" s="702">
        <v>0</v>
      </c>
      <c r="AT159" s="702">
        <v>0</v>
      </c>
      <c r="AU159" s="702">
        <v>0</v>
      </c>
      <c r="AV159" s="702">
        <v>0</v>
      </c>
      <c r="AW159" s="702">
        <v>0</v>
      </c>
      <c r="AX159" s="702">
        <v>0</v>
      </c>
      <c r="AY159" s="702">
        <v>0</v>
      </c>
      <c r="AZ159" s="702">
        <v>0</v>
      </c>
      <c r="BA159" s="702">
        <v>0</v>
      </c>
      <c r="BB159" s="702">
        <v>0</v>
      </c>
      <c r="BC159" s="702">
        <v>0</v>
      </c>
      <c r="BD159" s="702">
        <v>0</v>
      </c>
      <c r="BE159" s="702">
        <v>0</v>
      </c>
      <c r="BF159" s="702">
        <v>0</v>
      </c>
      <c r="BG159" s="702">
        <v>0</v>
      </c>
      <c r="BH159" s="702">
        <v>0</v>
      </c>
      <c r="BI159" s="702">
        <v>0</v>
      </c>
      <c r="BJ159" s="702">
        <v>0</v>
      </c>
      <c r="BK159" s="702">
        <v>0</v>
      </c>
      <c r="BL159" s="702">
        <v>0</v>
      </c>
      <c r="BM159" s="702">
        <v>0</v>
      </c>
      <c r="BN159" s="702">
        <v>0</v>
      </c>
      <c r="BO159" s="702">
        <v>0</v>
      </c>
      <c r="BP159" s="702">
        <v>0</v>
      </c>
      <c r="BQ159" s="702">
        <v>0</v>
      </c>
      <c r="BR159" s="702">
        <v>0</v>
      </c>
      <c r="BS159" s="702">
        <v>0</v>
      </c>
      <c r="BT159" s="703">
        <v>0</v>
      </c>
    </row>
    <row r="160" spans="2:72">
      <c r="B160" s="694"/>
      <c r="C160" s="694"/>
      <c r="D160" s="694"/>
      <c r="E160" s="694"/>
      <c r="F160" s="694"/>
      <c r="G160" s="694"/>
      <c r="H160" s="694"/>
      <c r="I160" s="646"/>
      <c r="J160" s="646"/>
      <c r="K160" s="635"/>
      <c r="L160" s="701">
        <v>0</v>
      </c>
      <c r="M160" s="702">
        <v>0</v>
      </c>
      <c r="N160" s="702">
        <v>0</v>
      </c>
      <c r="O160" s="702">
        <v>0</v>
      </c>
      <c r="P160" s="702">
        <v>0</v>
      </c>
      <c r="Q160" s="702">
        <v>0</v>
      </c>
      <c r="R160" s="702">
        <v>0</v>
      </c>
      <c r="S160" s="702">
        <v>0</v>
      </c>
      <c r="T160" s="702">
        <v>0</v>
      </c>
      <c r="U160" s="702">
        <v>0</v>
      </c>
      <c r="V160" s="702">
        <v>0</v>
      </c>
      <c r="W160" s="702">
        <v>0</v>
      </c>
      <c r="X160" s="702">
        <v>0</v>
      </c>
      <c r="Y160" s="702">
        <v>0</v>
      </c>
      <c r="Z160" s="702">
        <v>0</v>
      </c>
      <c r="AA160" s="702">
        <v>0</v>
      </c>
      <c r="AB160" s="702">
        <v>0</v>
      </c>
      <c r="AC160" s="702">
        <v>0</v>
      </c>
      <c r="AD160" s="702">
        <v>0</v>
      </c>
      <c r="AE160" s="702">
        <v>0</v>
      </c>
      <c r="AF160" s="702">
        <v>0</v>
      </c>
      <c r="AG160" s="702">
        <v>0</v>
      </c>
      <c r="AH160" s="702">
        <v>0</v>
      </c>
      <c r="AI160" s="702">
        <v>0</v>
      </c>
      <c r="AJ160" s="702">
        <v>0</v>
      </c>
      <c r="AK160" s="702">
        <v>0</v>
      </c>
      <c r="AL160" s="702">
        <v>0</v>
      </c>
      <c r="AM160" s="702">
        <v>0</v>
      </c>
      <c r="AN160" s="702">
        <v>0</v>
      </c>
      <c r="AO160" s="703">
        <v>0</v>
      </c>
      <c r="AP160" s="635"/>
      <c r="AQ160" s="701">
        <v>0</v>
      </c>
      <c r="AR160" s="702">
        <v>0</v>
      </c>
      <c r="AS160" s="702">
        <v>0</v>
      </c>
      <c r="AT160" s="702">
        <v>0</v>
      </c>
      <c r="AU160" s="702">
        <v>0</v>
      </c>
      <c r="AV160" s="702">
        <v>0</v>
      </c>
      <c r="AW160" s="702">
        <v>0</v>
      </c>
      <c r="AX160" s="702">
        <v>0</v>
      </c>
      <c r="AY160" s="702">
        <v>0</v>
      </c>
      <c r="AZ160" s="702">
        <v>0</v>
      </c>
      <c r="BA160" s="702">
        <v>0</v>
      </c>
      <c r="BB160" s="702">
        <v>0</v>
      </c>
      <c r="BC160" s="702">
        <v>0</v>
      </c>
      <c r="BD160" s="702">
        <v>0</v>
      </c>
      <c r="BE160" s="702">
        <v>0</v>
      </c>
      <c r="BF160" s="702">
        <v>0</v>
      </c>
      <c r="BG160" s="702">
        <v>0</v>
      </c>
      <c r="BH160" s="702">
        <v>0</v>
      </c>
      <c r="BI160" s="702">
        <v>0</v>
      </c>
      <c r="BJ160" s="702">
        <v>0</v>
      </c>
      <c r="BK160" s="702">
        <v>0</v>
      </c>
      <c r="BL160" s="702">
        <v>0</v>
      </c>
      <c r="BM160" s="702">
        <v>0</v>
      </c>
      <c r="BN160" s="702">
        <v>0</v>
      </c>
      <c r="BO160" s="702">
        <v>0</v>
      </c>
      <c r="BP160" s="702">
        <v>0</v>
      </c>
      <c r="BQ160" s="702">
        <v>0</v>
      </c>
      <c r="BR160" s="702">
        <v>0</v>
      </c>
      <c r="BS160" s="702">
        <v>0</v>
      </c>
      <c r="BT160" s="703">
        <v>0</v>
      </c>
    </row>
    <row r="161" spans="2:72">
      <c r="B161" s="694"/>
      <c r="C161" s="694"/>
      <c r="D161" s="694"/>
      <c r="E161" s="694"/>
      <c r="F161" s="694"/>
      <c r="G161" s="694"/>
      <c r="H161" s="694"/>
      <c r="I161" s="646"/>
      <c r="J161" s="646"/>
      <c r="K161" s="635"/>
      <c r="L161" s="701">
        <v>0</v>
      </c>
      <c r="M161" s="702">
        <v>0</v>
      </c>
      <c r="N161" s="702">
        <v>0</v>
      </c>
      <c r="O161" s="702">
        <v>0</v>
      </c>
      <c r="P161" s="702">
        <v>0</v>
      </c>
      <c r="Q161" s="702">
        <v>0</v>
      </c>
      <c r="R161" s="702">
        <v>0</v>
      </c>
      <c r="S161" s="702">
        <v>0</v>
      </c>
      <c r="T161" s="702">
        <v>0</v>
      </c>
      <c r="U161" s="702">
        <v>0</v>
      </c>
      <c r="V161" s="702">
        <v>0</v>
      </c>
      <c r="W161" s="702">
        <v>0</v>
      </c>
      <c r="X161" s="702">
        <v>0</v>
      </c>
      <c r="Y161" s="702">
        <v>0</v>
      </c>
      <c r="Z161" s="702">
        <v>0</v>
      </c>
      <c r="AA161" s="702">
        <v>0</v>
      </c>
      <c r="AB161" s="702">
        <v>0</v>
      </c>
      <c r="AC161" s="702">
        <v>0</v>
      </c>
      <c r="AD161" s="702">
        <v>0</v>
      </c>
      <c r="AE161" s="702">
        <v>0</v>
      </c>
      <c r="AF161" s="702">
        <v>0</v>
      </c>
      <c r="AG161" s="702">
        <v>0</v>
      </c>
      <c r="AH161" s="702">
        <v>0</v>
      </c>
      <c r="AI161" s="702">
        <v>0</v>
      </c>
      <c r="AJ161" s="702">
        <v>0</v>
      </c>
      <c r="AK161" s="702">
        <v>0</v>
      </c>
      <c r="AL161" s="702">
        <v>0</v>
      </c>
      <c r="AM161" s="702">
        <v>0</v>
      </c>
      <c r="AN161" s="702">
        <v>0</v>
      </c>
      <c r="AO161" s="703">
        <v>0</v>
      </c>
      <c r="AP161" s="635"/>
      <c r="AQ161" s="701">
        <v>0</v>
      </c>
      <c r="AR161" s="702">
        <v>0</v>
      </c>
      <c r="AS161" s="702">
        <v>0</v>
      </c>
      <c r="AT161" s="702">
        <v>0</v>
      </c>
      <c r="AU161" s="702">
        <v>0</v>
      </c>
      <c r="AV161" s="702">
        <v>0</v>
      </c>
      <c r="AW161" s="702">
        <v>0</v>
      </c>
      <c r="AX161" s="702">
        <v>0</v>
      </c>
      <c r="AY161" s="702">
        <v>0</v>
      </c>
      <c r="AZ161" s="702">
        <v>0</v>
      </c>
      <c r="BA161" s="702">
        <v>0</v>
      </c>
      <c r="BB161" s="702">
        <v>0</v>
      </c>
      <c r="BC161" s="702">
        <v>0</v>
      </c>
      <c r="BD161" s="702">
        <v>0</v>
      </c>
      <c r="BE161" s="702">
        <v>0</v>
      </c>
      <c r="BF161" s="702">
        <v>0</v>
      </c>
      <c r="BG161" s="702">
        <v>0</v>
      </c>
      <c r="BH161" s="702">
        <v>0</v>
      </c>
      <c r="BI161" s="702">
        <v>0</v>
      </c>
      <c r="BJ161" s="702">
        <v>0</v>
      </c>
      <c r="BK161" s="702">
        <v>0</v>
      </c>
      <c r="BL161" s="702">
        <v>0</v>
      </c>
      <c r="BM161" s="702">
        <v>0</v>
      </c>
      <c r="BN161" s="702">
        <v>0</v>
      </c>
      <c r="BO161" s="702">
        <v>0</v>
      </c>
      <c r="BP161" s="702">
        <v>0</v>
      </c>
      <c r="BQ161" s="702">
        <v>0</v>
      </c>
      <c r="BR161" s="702">
        <v>0</v>
      </c>
      <c r="BS161" s="702">
        <v>0</v>
      </c>
      <c r="BT161" s="703">
        <v>0</v>
      </c>
    </row>
    <row r="162" spans="2:72">
      <c r="B162" s="694"/>
      <c r="C162" s="694"/>
      <c r="D162" s="694"/>
      <c r="E162" s="694"/>
      <c r="F162" s="694"/>
      <c r="G162" s="694"/>
      <c r="H162" s="694"/>
      <c r="I162" s="646"/>
      <c r="J162" s="646"/>
      <c r="K162" s="635"/>
      <c r="L162" s="701">
        <v>0</v>
      </c>
      <c r="M162" s="702">
        <v>0</v>
      </c>
      <c r="N162" s="702">
        <v>0</v>
      </c>
      <c r="O162" s="702">
        <v>0</v>
      </c>
      <c r="P162" s="702">
        <v>0</v>
      </c>
      <c r="Q162" s="702">
        <v>0</v>
      </c>
      <c r="R162" s="702">
        <v>0</v>
      </c>
      <c r="S162" s="702">
        <v>0</v>
      </c>
      <c r="T162" s="702">
        <v>0</v>
      </c>
      <c r="U162" s="702">
        <v>0</v>
      </c>
      <c r="V162" s="702">
        <v>0</v>
      </c>
      <c r="W162" s="702">
        <v>0</v>
      </c>
      <c r="X162" s="702">
        <v>0</v>
      </c>
      <c r="Y162" s="702">
        <v>0</v>
      </c>
      <c r="Z162" s="702">
        <v>0</v>
      </c>
      <c r="AA162" s="702">
        <v>0</v>
      </c>
      <c r="AB162" s="702">
        <v>0</v>
      </c>
      <c r="AC162" s="702">
        <v>0</v>
      </c>
      <c r="AD162" s="702">
        <v>0</v>
      </c>
      <c r="AE162" s="702">
        <v>0</v>
      </c>
      <c r="AF162" s="702">
        <v>0</v>
      </c>
      <c r="AG162" s="702">
        <v>0</v>
      </c>
      <c r="AH162" s="702">
        <v>0</v>
      </c>
      <c r="AI162" s="702">
        <v>0</v>
      </c>
      <c r="AJ162" s="702">
        <v>0</v>
      </c>
      <c r="AK162" s="702">
        <v>0</v>
      </c>
      <c r="AL162" s="702">
        <v>0</v>
      </c>
      <c r="AM162" s="702">
        <v>0</v>
      </c>
      <c r="AN162" s="702">
        <v>0</v>
      </c>
      <c r="AO162" s="703">
        <v>0</v>
      </c>
      <c r="AP162" s="635"/>
      <c r="AQ162" s="701">
        <v>0</v>
      </c>
      <c r="AR162" s="702">
        <v>0</v>
      </c>
      <c r="AS162" s="702">
        <v>0</v>
      </c>
      <c r="AT162" s="702">
        <v>0</v>
      </c>
      <c r="AU162" s="702">
        <v>0</v>
      </c>
      <c r="AV162" s="702">
        <v>0</v>
      </c>
      <c r="AW162" s="702">
        <v>0</v>
      </c>
      <c r="AX162" s="702">
        <v>0</v>
      </c>
      <c r="AY162" s="702">
        <v>0</v>
      </c>
      <c r="AZ162" s="702">
        <v>0</v>
      </c>
      <c r="BA162" s="702">
        <v>0</v>
      </c>
      <c r="BB162" s="702">
        <v>0</v>
      </c>
      <c r="BC162" s="702">
        <v>0</v>
      </c>
      <c r="BD162" s="702">
        <v>0</v>
      </c>
      <c r="BE162" s="702">
        <v>0</v>
      </c>
      <c r="BF162" s="702">
        <v>0</v>
      </c>
      <c r="BG162" s="702">
        <v>0</v>
      </c>
      <c r="BH162" s="702">
        <v>0</v>
      </c>
      <c r="BI162" s="702">
        <v>0</v>
      </c>
      <c r="BJ162" s="702">
        <v>0</v>
      </c>
      <c r="BK162" s="702">
        <v>0</v>
      </c>
      <c r="BL162" s="702">
        <v>0</v>
      </c>
      <c r="BM162" s="702">
        <v>0</v>
      </c>
      <c r="BN162" s="702">
        <v>0</v>
      </c>
      <c r="BO162" s="702">
        <v>0</v>
      </c>
      <c r="BP162" s="702">
        <v>0</v>
      </c>
      <c r="BQ162" s="702">
        <v>0</v>
      </c>
      <c r="BR162" s="702">
        <v>0</v>
      </c>
      <c r="BS162" s="702">
        <v>0</v>
      </c>
      <c r="BT162" s="703">
        <v>0</v>
      </c>
    </row>
    <row r="163" spans="2:72">
      <c r="B163" s="694"/>
      <c r="C163" s="694"/>
      <c r="D163" s="694"/>
      <c r="E163" s="694"/>
      <c r="F163" s="694"/>
      <c r="G163" s="694"/>
      <c r="H163" s="694"/>
      <c r="I163" s="646"/>
      <c r="J163" s="646"/>
      <c r="K163" s="635"/>
      <c r="L163" s="701">
        <v>0</v>
      </c>
      <c r="M163" s="702">
        <v>0</v>
      </c>
      <c r="N163" s="702">
        <v>0</v>
      </c>
      <c r="O163" s="702">
        <v>0</v>
      </c>
      <c r="P163" s="702">
        <v>0</v>
      </c>
      <c r="Q163" s="702">
        <v>0</v>
      </c>
      <c r="R163" s="702">
        <v>0</v>
      </c>
      <c r="S163" s="702">
        <v>0</v>
      </c>
      <c r="T163" s="702">
        <v>0</v>
      </c>
      <c r="U163" s="702">
        <v>0</v>
      </c>
      <c r="V163" s="702">
        <v>0</v>
      </c>
      <c r="W163" s="702">
        <v>0</v>
      </c>
      <c r="X163" s="702">
        <v>0</v>
      </c>
      <c r="Y163" s="702">
        <v>0</v>
      </c>
      <c r="Z163" s="702">
        <v>0</v>
      </c>
      <c r="AA163" s="702">
        <v>0</v>
      </c>
      <c r="AB163" s="702">
        <v>0</v>
      </c>
      <c r="AC163" s="702">
        <v>0</v>
      </c>
      <c r="AD163" s="702">
        <v>0</v>
      </c>
      <c r="AE163" s="702">
        <v>0</v>
      </c>
      <c r="AF163" s="702">
        <v>0</v>
      </c>
      <c r="AG163" s="702">
        <v>0</v>
      </c>
      <c r="AH163" s="702">
        <v>0</v>
      </c>
      <c r="AI163" s="702">
        <v>0</v>
      </c>
      <c r="AJ163" s="702">
        <v>0</v>
      </c>
      <c r="AK163" s="702">
        <v>0</v>
      </c>
      <c r="AL163" s="702">
        <v>0</v>
      </c>
      <c r="AM163" s="702">
        <v>0</v>
      </c>
      <c r="AN163" s="702">
        <v>0</v>
      </c>
      <c r="AO163" s="703">
        <v>0</v>
      </c>
      <c r="AP163" s="635"/>
      <c r="AQ163" s="701">
        <v>0</v>
      </c>
      <c r="AR163" s="702">
        <v>0</v>
      </c>
      <c r="AS163" s="702">
        <v>0</v>
      </c>
      <c r="AT163" s="702">
        <v>0</v>
      </c>
      <c r="AU163" s="702">
        <v>0</v>
      </c>
      <c r="AV163" s="702">
        <v>0</v>
      </c>
      <c r="AW163" s="702">
        <v>0</v>
      </c>
      <c r="AX163" s="702">
        <v>0</v>
      </c>
      <c r="AY163" s="702">
        <v>0</v>
      </c>
      <c r="AZ163" s="702">
        <v>0</v>
      </c>
      <c r="BA163" s="702">
        <v>0</v>
      </c>
      <c r="BB163" s="702">
        <v>0</v>
      </c>
      <c r="BC163" s="702">
        <v>0</v>
      </c>
      <c r="BD163" s="702">
        <v>0</v>
      </c>
      <c r="BE163" s="702">
        <v>0</v>
      </c>
      <c r="BF163" s="702">
        <v>0</v>
      </c>
      <c r="BG163" s="702">
        <v>0</v>
      </c>
      <c r="BH163" s="702">
        <v>0</v>
      </c>
      <c r="BI163" s="702">
        <v>0</v>
      </c>
      <c r="BJ163" s="702">
        <v>0</v>
      </c>
      <c r="BK163" s="702">
        <v>0</v>
      </c>
      <c r="BL163" s="702">
        <v>0</v>
      </c>
      <c r="BM163" s="702">
        <v>0</v>
      </c>
      <c r="BN163" s="702">
        <v>0</v>
      </c>
      <c r="BO163" s="702">
        <v>0</v>
      </c>
      <c r="BP163" s="702">
        <v>0</v>
      </c>
      <c r="BQ163" s="702">
        <v>0</v>
      </c>
      <c r="BR163" s="702">
        <v>0</v>
      </c>
      <c r="BS163" s="702">
        <v>0</v>
      </c>
      <c r="BT163" s="703">
        <v>0</v>
      </c>
    </row>
    <row r="164" spans="2:72">
      <c r="B164" s="694"/>
      <c r="C164" s="694"/>
      <c r="D164" s="694"/>
      <c r="E164" s="694"/>
      <c r="F164" s="694"/>
      <c r="G164" s="694"/>
      <c r="H164" s="694"/>
      <c r="I164" s="646"/>
      <c r="J164" s="646"/>
      <c r="K164" s="635"/>
      <c r="L164" s="701">
        <v>0</v>
      </c>
      <c r="M164" s="702">
        <v>0</v>
      </c>
      <c r="N164" s="702">
        <v>0</v>
      </c>
      <c r="O164" s="702">
        <v>0</v>
      </c>
      <c r="P164" s="702">
        <v>0</v>
      </c>
      <c r="Q164" s="702">
        <v>0</v>
      </c>
      <c r="R164" s="702">
        <v>0</v>
      </c>
      <c r="S164" s="702">
        <v>0</v>
      </c>
      <c r="T164" s="702">
        <v>0</v>
      </c>
      <c r="U164" s="702">
        <v>0</v>
      </c>
      <c r="V164" s="702">
        <v>0</v>
      </c>
      <c r="W164" s="702">
        <v>0</v>
      </c>
      <c r="X164" s="702">
        <v>0</v>
      </c>
      <c r="Y164" s="702">
        <v>0</v>
      </c>
      <c r="Z164" s="702">
        <v>0</v>
      </c>
      <c r="AA164" s="702">
        <v>0</v>
      </c>
      <c r="AB164" s="702">
        <v>0</v>
      </c>
      <c r="AC164" s="702">
        <v>0</v>
      </c>
      <c r="AD164" s="702">
        <v>0</v>
      </c>
      <c r="AE164" s="702">
        <v>0</v>
      </c>
      <c r="AF164" s="702">
        <v>0</v>
      </c>
      <c r="AG164" s="702">
        <v>0</v>
      </c>
      <c r="AH164" s="702">
        <v>0</v>
      </c>
      <c r="AI164" s="702">
        <v>0</v>
      </c>
      <c r="AJ164" s="702">
        <v>0</v>
      </c>
      <c r="AK164" s="702">
        <v>0</v>
      </c>
      <c r="AL164" s="702">
        <v>0</v>
      </c>
      <c r="AM164" s="702">
        <v>0</v>
      </c>
      <c r="AN164" s="702">
        <v>0</v>
      </c>
      <c r="AO164" s="703">
        <v>0</v>
      </c>
      <c r="AP164" s="635"/>
      <c r="AQ164" s="701">
        <v>0</v>
      </c>
      <c r="AR164" s="702">
        <v>0</v>
      </c>
      <c r="AS164" s="702">
        <v>0</v>
      </c>
      <c r="AT164" s="702">
        <v>0</v>
      </c>
      <c r="AU164" s="702">
        <v>0</v>
      </c>
      <c r="AV164" s="702">
        <v>0</v>
      </c>
      <c r="AW164" s="702">
        <v>0</v>
      </c>
      <c r="AX164" s="702">
        <v>0</v>
      </c>
      <c r="AY164" s="702">
        <v>0</v>
      </c>
      <c r="AZ164" s="702">
        <v>0</v>
      </c>
      <c r="BA164" s="702">
        <v>0</v>
      </c>
      <c r="BB164" s="702">
        <v>0</v>
      </c>
      <c r="BC164" s="702">
        <v>0</v>
      </c>
      <c r="BD164" s="702">
        <v>0</v>
      </c>
      <c r="BE164" s="702">
        <v>0</v>
      </c>
      <c r="BF164" s="702">
        <v>0</v>
      </c>
      <c r="BG164" s="702">
        <v>0</v>
      </c>
      <c r="BH164" s="702">
        <v>0</v>
      </c>
      <c r="BI164" s="702">
        <v>0</v>
      </c>
      <c r="BJ164" s="702">
        <v>0</v>
      </c>
      <c r="BK164" s="702">
        <v>0</v>
      </c>
      <c r="BL164" s="702">
        <v>0</v>
      </c>
      <c r="BM164" s="702">
        <v>0</v>
      </c>
      <c r="BN164" s="702">
        <v>0</v>
      </c>
      <c r="BO164" s="702">
        <v>0</v>
      </c>
      <c r="BP164" s="702">
        <v>0</v>
      </c>
      <c r="BQ164" s="702">
        <v>0</v>
      </c>
      <c r="BR164" s="702">
        <v>0</v>
      </c>
      <c r="BS164" s="702">
        <v>0</v>
      </c>
      <c r="BT164" s="703">
        <v>0</v>
      </c>
    </row>
    <row r="165" spans="2:72">
      <c r="B165" s="694"/>
      <c r="C165" s="694"/>
      <c r="D165" s="694"/>
      <c r="E165" s="694"/>
      <c r="F165" s="694"/>
      <c r="G165" s="694"/>
      <c r="H165" s="694"/>
      <c r="I165" s="646"/>
      <c r="J165" s="646"/>
      <c r="K165" s="635"/>
      <c r="L165" s="701">
        <v>0</v>
      </c>
      <c r="M165" s="702">
        <v>0</v>
      </c>
      <c r="N165" s="702">
        <v>0</v>
      </c>
      <c r="O165" s="702">
        <v>0</v>
      </c>
      <c r="P165" s="702">
        <v>0</v>
      </c>
      <c r="Q165" s="702">
        <v>0</v>
      </c>
      <c r="R165" s="702">
        <v>0</v>
      </c>
      <c r="S165" s="702">
        <v>0</v>
      </c>
      <c r="T165" s="702">
        <v>0</v>
      </c>
      <c r="U165" s="702">
        <v>0</v>
      </c>
      <c r="V165" s="702">
        <v>0</v>
      </c>
      <c r="W165" s="702">
        <v>0</v>
      </c>
      <c r="X165" s="702">
        <v>0</v>
      </c>
      <c r="Y165" s="702">
        <v>0</v>
      </c>
      <c r="Z165" s="702">
        <v>0</v>
      </c>
      <c r="AA165" s="702">
        <v>0</v>
      </c>
      <c r="AB165" s="702">
        <v>0</v>
      </c>
      <c r="AC165" s="702">
        <v>0</v>
      </c>
      <c r="AD165" s="702">
        <v>0</v>
      </c>
      <c r="AE165" s="702">
        <v>0</v>
      </c>
      <c r="AF165" s="702">
        <v>0</v>
      </c>
      <c r="AG165" s="702">
        <v>0</v>
      </c>
      <c r="AH165" s="702">
        <v>0</v>
      </c>
      <c r="AI165" s="702">
        <v>0</v>
      </c>
      <c r="AJ165" s="702">
        <v>0</v>
      </c>
      <c r="AK165" s="702">
        <v>0</v>
      </c>
      <c r="AL165" s="702">
        <v>0</v>
      </c>
      <c r="AM165" s="702">
        <v>0</v>
      </c>
      <c r="AN165" s="702">
        <v>0</v>
      </c>
      <c r="AO165" s="703">
        <v>0</v>
      </c>
      <c r="AP165" s="635"/>
      <c r="AQ165" s="701">
        <v>0</v>
      </c>
      <c r="AR165" s="702">
        <v>0</v>
      </c>
      <c r="AS165" s="702">
        <v>0</v>
      </c>
      <c r="AT165" s="702">
        <v>0</v>
      </c>
      <c r="AU165" s="702">
        <v>0</v>
      </c>
      <c r="AV165" s="702">
        <v>0</v>
      </c>
      <c r="AW165" s="702">
        <v>0</v>
      </c>
      <c r="AX165" s="702">
        <v>0</v>
      </c>
      <c r="AY165" s="702">
        <v>0</v>
      </c>
      <c r="AZ165" s="702">
        <v>0</v>
      </c>
      <c r="BA165" s="702">
        <v>0</v>
      </c>
      <c r="BB165" s="702">
        <v>0</v>
      </c>
      <c r="BC165" s="702">
        <v>0</v>
      </c>
      <c r="BD165" s="702">
        <v>0</v>
      </c>
      <c r="BE165" s="702">
        <v>0</v>
      </c>
      <c r="BF165" s="702">
        <v>0</v>
      </c>
      <c r="BG165" s="702">
        <v>0</v>
      </c>
      <c r="BH165" s="702">
        <v>0</v>
      </c>
      <c r="BI165" s="702">
        <v>0</v>
      </c>
      <c r="BJ165" s="702">
        <v>0</v>
      </c>
      <c r="BK165" s="702">
        <v>0</v>
      </c>
      <c r="BL165" s="702">
        <v>0</v>
      </c>
      <c r="BM165" s="702">
        <v>0</v>
      </c>
      <c r="BN165" s="702">
        <v>0</v>
      </c>
      <c r="BO165" s="702">
        <v>0</v>
      </c>
      <c r="BP165" s="702">
        <v>0</v>
      </c>
      <c r="BQ165" s="702">
        <v>0</v>
      </c>
      <c r="BR165" s="702">
        <v>0</v>
      </c>
      <c r="BS165" s="702">
        <v>0</v>
      </c>
      <c r="BT165" s="703">
        <v>0</v>
      </c>
    </row>
    <row r="166" spans="2:72">
      <c r="B166" s="694"/>
      <c r="C166" s="694"/>
      <c r="D166" s="694"/>
      <c r="E166" s="694"/>
      <c r="F166" s="694"/>
      <c r="G166" s="694"/>
      <c r="H166" s="694"/>
      <c r="I166" s="646"/>
      <c r="J166" s="646"/>
      <c r="K166" s="635"/>
      <c r="L166" s="701">
        <v>0</v>
      </c>
      <c r="M166" s="702">
        <v>0</v>
      </c>
      <c r="N166" s="702">
        <v>0</v>
      </c>
      <c r="O166" s="702">
        <v>0</v>
      </c>
      <c r="P166" s="702">
        <v>0</v>
      </c>
      <c r="Q166" s="702">
        <v>0</v>
      </c>
      <c r="R166" s="702">
        <v>0</v>
      </c>
      <c r="S166" s="702">
        <v>0</v>
      </c>
      <c r="T166" s="702">
        <v>0</v>
      </c>
      <c r="U166" s="702">
        <v>0</v>
      </c>
      <c r="V166" s="702">
        <v>0</v>
      </c>
      <c r="W166" s="702">
        <v>0</v>
      </c>
      <c r="X166" s="702">
        <v>0</v>
      </c>
      <c r="Y166" s="702">
        <v>0</v>
      </c>
      <c r="Z166" s="702">
        <v>0</v>
      </c>
      <c r="AA166" s="702">
        <v>0</v>
      </c>
      <c r="AB166" s="702">
        <v>0</v>
      </c>
      <c r="AC166" s="702">
        <v>0</v>
      </c>
      <c r="AD166" s="702">
        <v>0</v>
      </c>
      <c r="AE166" s="702">
        <v>0</v>
      </c>
      <c r="AF166" s="702">
        <v>0</v>
      </c>
      <c r="AG166" s="702">
        <v>0</v>
      </c>
      <c r="AH166" s="702">
        <v>0</v>
      </c>
      <c r="AI166" s="702">
        <v>0</v>
      </c>
      <c r="AJ166" s="702">
        <v>0</v>
      </c>
      <c r="AK166" s="702">
        <v>0</v>
      </c>
      <c r="AL166" s="702">
        <v>0</v>
      </c>
      <c r="AM166" s="702">
        <v>0</v>
      </c>
      <c r="AN166" s="702">
        <v>0</v>
      </c>
      <c r="AO166" s="703">
        <v>0</v>
      </c>
      <c r="AP166" s="635"/>
      <c r="AQ166" s="701">
        <v>0</v>
      </c>
      <c r="AR166" s="702">
        <v>0</v>
      </c>
      <c r="AS166" s="702">
        <v>0</v>
      </c>
      <c r="AT166" s="702">
        <v>0</v>
      </c>
      <c r="AU166" s="702">
        <v>0</v>
      </c>
      <c r="AV166" s="702">
        <v>0</v>
      </c>
      <c r="AW166" s="702">
        <v>0</v>
      </c>
      <c r="AX166" s="702">
        <v>0</v>
      </c>
      <c r="AY166" s="702">
        <v>0</v>
      </c>
      <c r="AZ166" s="702">
        <v>0</v>
      </c>
      <c r="BA166" s="702">
        <v>0</v>
      </c>
      <c r="BB166" s="702">
        <v>0</v>
      </c>
      <c r="BC166" s="702">
        <v>0</v>
      </c>
      <c r="BD166" s="702">
        <v>0</v>
      </c>
      <c r="BE166" s="702">
        <v>0</v>
      </c>
      <c r="BF166" s="702">
        <v>0</v>
      </c>
      <c r="BG166" s="702">
        <v>0</v>
      </c>
      <c r="BH166" s="702">
        <v>0</v>
      </c>
      <c r="BI166" s="702">
        <v>0</v>
      </c>
      <c r="BJ166" s="702">
        <v>0</v>
      </c>
      <c r="BK166" s="702">
        <v>0</v>
      </c>
      <c r="BL166" s="702">
        <v>0</v>
      </c>
      <c r="BM166" s="702">
        <v>0</v>
      </c>
      <c r="BN166" s="702">
        <v>0</v>
      </c>
      <c r="BO166" s="702">
        <v>0</v>
      </c>
      <c r="BP166" s="702">
        <v>0</v>
      </c>
      <c r="BQ166" s="702">
        <v>0</v>
      </c>
      <c r="BR166" s="702">
        <v>0</v>
      </c>
      <c r="BS166" s="702">
        <v>0</v>
      </c>
      <c r="BT166" s="703">
        <v>0</v>
      </c>
    </row>
    <row r="167" spans="2:72">
      <c r="B167" s="694"/>
      <c r="C167" s="694"/>
      <c r="D167" s="694"/>
      <c r="E167" s="694"/>
      <c r="F167" s="694"/>
      <c r="G167" s="694"/>
      <c r="H167" s="694"/>
      <c r="I167" s="646"/>
      <c r="J167" s="646"/>
      <c r="K167" s="635"/>
      <c r="L167" s="701">
        <v>0</v>
      </c>
      <c r="M167" s="702">
        <v>0</v>
      </c>
      <c r="N167" s="702">
        <v>0</v>
      </c>
      <c r="O167" s="702">
        <v>0</v>
      </c>
      <c r="P167" s="702">
        <v>0</v>
      </c>
      <c r="Q167" s="702">
        <v>0</v>
      </c>
      <c r="R167" s="702">
        <v>0</v>
      </c>
      <c r="S167" s="702">
        <v>0</v>
      </c>
      <c r="T167" s="702">
        <v>0</v>
      </c>
      <c r="U167" s="702">
        <v>0</v>
      </c>
      <c r="V167" s="702">
        <v>0</v>
      </c>
      <c r="W167" s="702">
        <v>0</v>
      </c>
      <c r="X167" s="702">
        <v>0</v>
      </c>
      <c r="Y167" s="702">
        <v>0</v>
      </c>
      <c r="Z167" s="702">
        <v>0</v>
      </c>
      <c r="AA167" s="702">
        <v>0</v>
      </c>
      <c r="AB167" s="702">
        <v>0</v>
      </c>
      <c r="AC167" s="702">
        <v>0</v>
      </c>
      <c r="AD167" s="702">
        <v>0</v>
      </c>
      <c r="AE167" s="702">
        <v>0</v>
      </c>
      <c r="AF167" s="702">
        <v>0</v>
      </c>
      <c r="AG167" s="702">
        <v>0</v>
      </c>
      <c r="AH167" s="702">
        <v>0</v>
      </c>
      <c r="AI167" s="702">
        <v>0</v>
      </c>
      <c r="AJ167" s="702">
        <v>0</v>
      </c>
      <c r="AK167" s="702">
        <v>0</v>
      </c>
      <c r="AL167" s="702">
        <v>0</v>
      </c>
      <c r="AM167" s="702">
        <v>0</v>
      </c>
      <c r="AN167" s="702">
        <v>0</v>
      </c>
      <c r="AO167" s="703">
        <v>0</v>
      </c>
      <c r="AP167" s="635"/>
      <c r="AQ167" s="701">
        <v>0</v>
      </c>
      <c r="AR167" s="702">
        <v>0</v>
      </c>
      <c r="AS167" s="702">
        <v>0</v>
      </c>
      <c r="AT167" s="702">
        <v>0</v>
      </c>
      <c r="AU167" s="702">
        <v>0</v>
      </c>
      <c r="AV167" s="702">
        <v>0</v>
      </c>
      <c r="AW167" s="702">
        <v>0</v>
      </c>
      <c r="AX167" s="702">
        <v>0</v>
      </c>
      <c r="AY167" s="702">
        <v>0</v>
      </c>
      <c r="AZ167" s="702">
        <v>0</v>
      </c>
      <c r="BA167" s="702">
        <v>0</v>
      </c>
      <c r="BB167" s="702">
        <v>0</v>
      </c>
      <c r="BC167" s="702">
        <v>0</v>
      </c>
      <c r="BD167" s="702">
        <v>0</v>
      </c>
      <c r="BE167" s="702">
        <v>0</v>
      </c>
      <c r="BF167" s="702">
        <v>0</v>
      </c>
      <c r="BG167" s="702">
        <v>0</v>
      </c>
      <c r="BH167" s="702">
        <v>0</v>
      </c>
      <c r="BI167" s="702">
        <v>0</v>
      </c>
      <c r="BJ167" s="702">
        <v>0</v>
      </c>
      <c r="BK167" s="702">
        <v>0</v>
      </c>
      <c r="BL167" s="702">
        <v>0</v>
      </c>
      <c r="BM167" s="702">
        <v>0</v>
      </c>
      <c r="BN167" s="702">
        <v>0</v>
      </c>
      <c r="BO167" s="702">
        <v>0</v>
      </c>
      <c r="BP167" s="702">
        <v>0</v>
      </c>
      <c r="BQ167" s="702">
        <v>0</v>
      </c>
      <c r="BR167" s="702">
        <v>0</v>
      </c>
      <c r="BS167" s="702">
        <v>0</v>
      </c>
      <c r="BT167" s="703">
        <v>0</v>
      </c>
    </row>
    <row r="168" spans="2:72">
      <c r="B168" s="694"/>
      <c r="C168" s="694"/>
      <c r="D168" s="694"/>
      <c r="E168" s="694"/>
      <c r="F168" s="694"/>
      <c r="G168" s="694"/>
      <c r="H168" s="694"/>
      <c r="I168" s="646"/>
      <c r="J168" s="646"/>
      <c r="K168" s="635"/>
      <c r="L168" s="701">
        <v>0</v>
      </c>
      <c r="M168" s="702">
        <v>0</v>
      </c>
      <c r="N168" s="702">
        <v>0</v>
      </c>
      <c r="O168" s="702">
        <v>0</v>
      </c>
      <c r="P168" s="702">
        <v>0</v>
      </c>
      <c r="Q168" s="702">
        <v>0</v>
      </c>
      <c r="R168" s="702">
        <v>0</v>
      </c>
      <c r="S168" s="702">
        <v>0</v>
      </c>
      <c r="T168" s="702">
        <v>0</v>
      </c>
      <c r="U168" s="702">
        <v>0</v>
      </c>
      <c r="V168" s="702">
        <v>0</v>
      </c>
      <c r="W168" s="702">
        <v>0</v>
      </c>
      <c r="X168" s="702">
        <v>0</v>
      </c>
      <c r="Y168" s="702">
        <v>0</v>
      </c>
      <c r="Z168" s="702">
        <v>0</v>
      </c>
      <c r="AA168" s="702">
        <v>0</v>
      </c>
      <c r="AB168" s="702">
        <v>0</v>
      </c>
      <c r="AC168" s="702">
        <v>0</v>
      </c>
      <c r="AD168" s="702">
        <v>0</v>
      </c>
      <c r="AE168" s="702">
        <v>0</v>
      </c>
      <c r="AF168" s="702">
        <v>0</v>
      </c>
      <c r="AG168" s="702">
        <v>0</v>
      </c>
      <c r="AH168" s="702">
        <v>0</v>
      </c>
      <c r="AI168" s="702">
        <v>0</v>
      </c>
      <c r="AJ168" s="702">
        <v>0</v>
      </c>
      <c r="AK168" s="702">
        <v>0</v>
      </c>
      <c r="AL168" s="702">
        <v>0</v>
      </c>
      <c r="AM168" s="702">
        <v>0</v>
      </c>
      <c r="AN168" s="702">
        <v>0</v>
      </c>
      <c r="AO168" s="703">
        <v>0</v>
      </c>
      <c r="AP168" s="635"/>
      <c r="AQ168" s="701">
        <v>0</v>
      </c>
      <c r="AR168" s="702">
        <v>0</v>
      </c>
      <c r="AS168" s="702">
        <v>0</v>
      </c>
      <c r="AT168" s="702">
        <v>0</v>
      </c>
      <c r="AU168" s="702">
        <v>0</v>
      </c>
      <c r="AV168" s="702">
        <v>0</v>
      </c>
      <c r="AW168" s="702">
        <v>0</v>
      </c>
      <c r="AX168" s="702">
        <v>0</v>
      </c>
      <c r="AY168" s="702">
        <v>0</v>
      </c>
      <c r="AZ168" s="702">
        <v>0</v>
      </c>
      <c r="BA168" s="702">
        <v>0</v>
      </c>
      <c r="BB168" s="702">
        <v>0</v>
      </c>
      <c r="BC168" s="702">
        <v>0</v>
      </c>
      <c r="BD168" s="702">
        <v>0</v>
      </c>
      <c r="BE168" s="702">
        <v>0</v>
      </c>
      <c r="BF168" s="702">
        <v>0</v>
      </c>
      <c r="BG168" s="702">
        <v>0</v>
      </c>
      <c r="BH168" s="702">
        <v>0</v>
      </c>
      <c r="BI168" s="702">
        <v>0</v>
      </c>
      <c r="BJ168" s="702">
        <v>0</v>
      </c>
      <c r="BK168" s="702">
        <v>0</v>
      </c>
      <c r="BL168" s="702">
        <v>0</v>
      </c>
      <c r="BM168" s="702">
        <v>0</v>
      </c>
      <c r="BN168" s="702">
        <v>0</v>
      </c>
      <c r="BO168" s="702">
        <v>0</v>
      </c>
      <c r="BP168" s="702">
        <v>0</v>
      </c>
      <c r="BQ168" s="702">
        <v>0</v>
      </c>
      <c r="BR168" s="702">
        <v>0</v>
      </c>
      <c r="BS168" s="702">
        <v>0</v>
      </c>
      <c r="BT168" s="703">
        <v>0</v>
      </c>
    </row>
    <row r="169" spans="2:72">
      <c r="B169" s="694"/>
      <c r="C169" s="694"/>
      <c r="D169" s="694"/>
      <c r="E169" s="694"/>
      <c r="F169" s="694"/>
      <c r="G169" s="694"/>
      <c r="H169" s="694"/>
      <c r="I169" s="646"/>
      <c r="J169" s="646"/>
      <c r="K169" s="635"/>
      <c r="L169" s="701">
        <v>0</v>
      </c>
      <c r="M169" s="702">
        <v>0</v>
      </c>
      <c r="N169" s="702">
        <v>0</v>
      </c>
      <c r="O169" s="702">
        <v>0</v>
      </c>
      <c r="P169" s="702">
        <v>0</v>
      </c>
      <c r="Q169" s="702">
        <v>0</v>
      </c>
      <c r="R169" s="702">
        <v>0</v>
      </c>
      <c r="S169" s="702">
        <v>0</v>
      </c>
      <c r="T169" s="702">
        <v>0</v>
      </c>
      <c r="U169" s="702">
        <v>0</v>
      </c>
      <c r="V169" s="702">
        <v>0</v>
      </c>
      <c r="W169" s="702">
        <v>0</v>
      </c>
      <c r="X169" s="702">
        <v>0</v>
      </c>
      <c r="Y169" s="702">
        <v>0</v>
      </c>
      <c r="Z169" s="702">
        <v>0</v>
      </c>
      <c r="AA169" s="702">
        <v>0</v>
      </c>
      <c r="AB169" s="702">
        <v>0</v>
      </c>
      <c r="AC169" s="702">
        <v>0</v>
      </c>
      <c r="AD169" s="702">
        <v>0</v>
      </c>
      <c r="AE169" s="702">
        <v>0</v>
      </c>
      <c r="AF169" s="702">
        <v>0</v>
      </c>
      <c r="AG169" s="702">
        <v>0</v>
      </c>
      <c r="AH169" s="702">
        <v>0</v>
      </c>
      <c r="AI169" s="702">
        <v>0</v>
      </c>
      <c r="AJ169" s="702">
        <v>0</v>
      </c>
      <c r="AK169" s="702">
        <v>0</v>
      </c>
      <c r="AL169" s="702">
        <v>0</v>
      </c>
      <c r="AM169" s="702">
        <v>0</v>
      </c>
      <c r="AN169" s="702">
        <v>0</v>
      </c>
      <c r="AO169" s="703">
        <v>0</v>
      </c>
      <c r="AP169" s="635"/>
      <c r="AQ169" s="701">
        <v>0</v>
      </c>
      <c r="AR169" s="702">
        <v>0</v>
      </c>
      <c r="AS169" s="702">
        <v>0</v>
      </c>
      <c r="AT169" s="702">
        <v>0</v>
      </c>
      <c r="AU169" s="702">
        <v>0</v>
      </c>
      <c r="AV169" s="702">
        <v>0</v>
      </c>
      <c r="AW169" s="702">
        <v>0</v>
      </c>
      <c r="AX169" s="702">
        <v>0</v>
      </c>
      <c r="AY169" s="702">
        <v>0</v>
      </c>
      <c r="AZ169" s="702">
        <v>0</v>
      </c>
      <c r="BA169" s="702">
        <v>0</v>
      </c>
      <c r="BB169" s="702">
        <v>0</v>
      </c>
      <c r="BC169" s="702">
        <v>0</v>
      </c>
      <c r="BD169" s="702">
        <v>0</v>
      </c>
      <c r="BE169" s="702">
        <v>0</v>
      </c>
      <c r="BF169" s="702">
        <v>0</v>
      </c>
      <c r="BG169" s="702">
        <v>0</v>
      </c>
      <c r="BH169" s="702">
        <v>0</v>
      </c>
      <c r="BI169" s="702">
        <v>0</v>
      </c>
      <c r="BJ169" s="702">
        <v>0</v>
      </c>
      <c r="BK169" s="702">
        <v>0</v>
      </c>
      <c r="BL169" s="702">
        <v>0</v>
      </c>
      <c r="BM169" s="702">
        <v>0</v>
      </c>
      <c r="BN169" s="702">
        <v>0</v>
      </c>
      <c r="BO169" s="702">
        <v>0</v>
      </c>
      <c r="BP169" s="702">
        <v>0</v>
      </c>
      <c r="BQ169" s="702">
        <v>0</v>
      </c>
      <c r="BR169" s="702">
        <v>0</v>
      </c>
      <c r="BS169" s="702">
        <v>0</v>
      </c>
      <c r="BT169" s="703">
        <v>0</v>
      </c>
    </row>
    <row r="170" spans="2:72">
      <c r="B170" s="694"/>
      <c r="C170" s="694"/>
      <c r="D170" s="694"/>
      <c r="E170" s="694"/>
      <c r="F170" s="694"/>
      <c r="G170" s="694"/>
      <c r="H170" s="694"/>
      <c r="I170" s="646"/>
      <c r="J170" s="646"/>
      <c r="K170" s="635"/>
      <c r="L170" s="701">
        <v>0</v>
      </c>
      <c r="M170" s="702">
        <v>0</v>
      </c>
      <c r="N170" s="702">
        <v>0</v>
      </c>
      <c r="O170" s="702">
        <v>0</v>
      </c>
      <c r="P170" s="702">
        <v>0</v>
      </c>
      <c r="Q170" s="702">
        <v>0</v>
      </c>
      <c r="R170" s="702">
        <v>0</v>
      </c>
      <c r="S170" s="702">
        <v>0</v>
      </c>
      <c r="T170" s="702">
        <v>0</v>
      </c>
      <c r="U170" s="702">
        <v>0</v>
      </c>
      <c r="V170" s="702">
        <v>0</v>
      </c>
      <c r="W170" s="702">
        <v>0</v>
      </c>
      <c r="X170" s="702">
        <v>0</v>
      </c>
      <c r="Y170" s="702">
        <v>0</v>
      </c>
      <c r="Z170" s="702">
        <v>0</v>
      </c>
      <c r="AA170" s="702">
        <v>0</v>
      </c>
      <c r="AB170" s="702">
        <v>0</v>
      </c>
      <c r="AC170" s="702">
        <v>0</v>
      </c>
      <c r="AD170" s="702">
        <v>0</v>
      </c>
      <c r="AE170" s="702">
        <v>0</v>
      </c>
      <c r="AF170" s="702">
        <v>0</v>
      </c>
      <c r="AG170" s="702">
        <v>0</v>
      </c>
      <c r="AH170" s="702">
        <v>0</v>
      </c>
      <c r="AI170" s="702">
        <v>0</v>
      </c>
      <c r="AJ170" s="702">
        <v>0</v>
      </c>
      <c r="AK170" s="702">
        <v>0</v>
      </c>
      <c r="AL170" s="702">
        <v>0</v>
      </c>
      <c r="AM170" s="702">
        <v>0</v>
      </c>
      <c r="AN170" s="702">
        <v>0</v>
      </c>
      <c r="AO170" s="703">
        <v>0</v>
      </c>
      <c r="AP170" s="635"/>
      <c r="AQ170" s="701">
        <v>0</v>
      </c>
      <c r="AR170" s="702">
        <v>0</v>
      </c>
      <c r="AS170" s="702">
        <v>0</v>
      </c>
      <c r="AT170" s="702">
        <v>0</v>
      </c>
      <c r="AU170" s="702">
        <v>0</v>
      </c>
      <c r="AV170" s="702">
        <v>0</v>
      </c>
      <c r="AW170" s="702">
        <v>0</v>
      </c>
      <c r="AX170" s="702">
        <v>0</v>
      </c>
      <c r="AY170" s="702">
        <v>0</v>
      </c>
      <c r="AZ170" s="702">
        <v>0</v>
      </c>
      <c r="BA170" s="702">
        <v>0</v>
      </c>
      <c r="BB170" s="702">
        <v>0</v>
      </c>
      <c r="BC170" s="702">
        <v>0</v>
      </c>
      <c r="BD170" s="702">
        <v>0</v>
      </c>
      <c r="BE170" s="702">
        <v>0</v>
      </c>
      <c r="BF170" s="702">
        <v>0</v>
      </c>
      <c r="BG170" s="702">
        <v>0</v>
      </c>
      <c r="BH170" s="702">
        <v>0</v>
      </c>
      <c r="BI170" s="702">
        <v>0</v>
      </c>
      <c r="BJ170" s="702">
        <v>0</v>
      </c>
      <c r="BK170" s="702">
        <v>0</v>
      </c>
      <c r="BL170" s="702">
        <v>0</v>
      </c>
      <c r="BM170" s="702">
        <v>0</v>
      </c>
      <c r="BN170" s="702">
        <v>0</v>
      </c>
      <c r="BO170" s="702">
        <v>0</v>
      </c>
      <c r="BP170" s="702">
        <v>0</v>
      </c>
      <c r="BQ170" s="702">
        <v>0</v>
      </c>
      <c r="BR170" s="702">
        <v>0</v>
      </c>
      <c r="BS170" s="702">
        <v>0</v>
      </c>
      <c r="BT170" s="703">
        <v>0</v>
      </c>
    </row>
    <row r="171" spans="2:72">
      <c r="B171" s="694"/>
      <c r="C171" s="694"/>
      <c r="D171" s="694"/>
      <c r="E171" s="694"/>
      <c r="F171" s="694"/>
      <c r="G171" s="694"/>
      <c r="H171" s="694"/>
      <c r="I171" s="646"/>
      <c r="J171" s="646"/>
      <c r="K171" s="635"/>
      <c r="L171" s="701">
        <v>0</v>
      </c>
      <c r="M171" s="702">
        <v>0</v>
      </c>
      <c r="N171" s="702">
        <v>0</v>
      </c>
      <c r="O171" s="702">
        <v>0</v>
      </c>
      <c r="P171" s="702">
        <v>0</v>
      </c>
      <c r="Q171" s="702">
        <v>0</v>
      </c>
      <c r="R171" s="702">
        <v>0</v>
      </c>
      <c r="S171" s="702">
        <v>0</v>
      </c>
      <c r="T171" s="702">
        <v>0</v>
      </c>
      <c r="U171" s="702">
        <v>0</v>
      </c>
      <c r="V171" s="702">
        <v>0</v>
      </c>
      <c r="W171" s="702">
        <v>0</v>
      </c>
      <c r="X171" s="702">
        <v>0</v>
      </c>
      <c r="Y171" s="702">
        <v>0</v>
      </c>
      <c r="Z171" s="702">
        <v>0</v>
      </c>
      <c r="AA171" s="702">
        <v>0</v>
      </c>
      <c r="AB171" s="702">
        <v>0</v>
      </c>
      <c r="AC171" s="702">
        <v>0</v>
      </c>
      <c r="AD171" s="702">
        <v>0</v>
      </c>
      <c r="AE171" s="702">
        <v>0</v>
      </c>
      <c r="AF171" s="702">
        <v>0</v>
      </c>
      <c r="AG171" s="702">
        <v>0</v>
      </c>
      <c r="AH171" s="702">
        <v>0</v>
      </c>
      <c r="AI171" s="702">
        <v>0</v>
      </c>
      <c r="AJ171" s="702">
        <v>0</v>
      </c>
      <c r="AK171" s="702">
        <v>0</v>
      </c>
      <c r="AL171" s="702">
        <v>0</v>
      </c>
      <c r="AM171" s="702">
        <v>0</v>
      </c>
      <c r="AN171" s="702">
        <v>0</v>
      </c>
      <c r="AO171" s="703">
        <v>0</v>
      </c>
      <c r="AP171" s="635"/>
      <c r="AQ171" s="701">
        <v>0</v>
      </c>
      <c r="AR171" s="702">
        <v>0</v>
      </c>
      <c r="AS171" s="702">
        <v>0</v>
      </c>
      <c r="AT171" s="702">
        <v>0</v>
      </c>
      <c r="AU171" s="702">
        <v>0</v>
      </c>
      <c r="AV171" s="702">
        <v>0</v>
      </c>
      <c r="AW171" s="702">
        <v>0</v>
      </c>
      <c r="AX171" s="702">
        <v>0</v>
      </c>
      <c r="AY171" s="702">
        <v>0</v>
      </c>
      <c r="AZ171" s="702">
        <v>0</v>
      </c>
      <c r="BA171" s="702">
        <v>0</v>
      </c>
      <c r="BB171" s="702">
        <v>0</v>
      </c>
      <c r="BC171" s="702">
        <v>0</v>
      </c>
      <c r="BD171" s="702">
        <v>0</v>
      </c>
      <c r="BE171" s="702">
        <v>0</v>
      </c>
      <c r="BF171" s="702">
        <v>0</v>
      </c>
      <c r="BG171" s="702">
        <v>0</v>
      </c>
      <c r="BH171" s="702">
        <v>0</v>
      </c>
      <c r="BI171" s="702">
        <v>0</v>
      </c>
      <c r="BJ171" s="702">
        <v>0</v>
      </c>
      <c r="BK171" s="702">
        <v>0</v>
      </c>
      <c r="BL171" s="702">
        <v>0</v>
      </c>
      <c r="BM171" s="702">
        <v>0</v>
      </c>
      <c r="BN171" s="702">
        <v>0</v>
      </c>
      <c r="BO171" s="702">
        <v>0</v>
      </c>
      <c r="BP171" s="702">
        <v>0</v>
      </c>
      <c r="BQ171" s="702">
        <v>0</v>
      </c>
      <c r="BR171" s="702">
        <v>0</v>
      </c>
      <c r="BS171" s="702">
        <v>0</v>
      </c>
      <c r="BT171" s="703">
        <v>0</v>
      </c>
    </row>
    <row r="172" spans="2:72">
      <c r="B172" s="694"/>
      <c r="C172" s="694"/>
      <c r="D172" s="694"/>
      <c r="E172" s="694"/>
      <c r="F172" s="694"/>
      <c r="G172" s="694"/>
      <c r="H172" s="694"/>
      <c r="I172" s="646"/>
      <c r="J172" s="646"/>
      <c r="K172" s="635"/>
      <c r="L172" s="701">
        <v>0</v>
      </c>
      <c r="M172" s="702">
        <v>0</v>
      </c>
      <c r="N172" s="702">
        <v>0</v>
      </c>
      <c r="O172" s="702">
        <v>0</v>
      </c>
      <c r="P172" s="702">
        <v>0</v>
      </c>
      <c r="Q172" s="702">
        <v>0</v>
      </c>
      <c r="R172" s="702">
        <v>0</v>
      </c>
      <c r="S172" s="702">
        <v>0</v>
      </c>
      <c r="T172" s="702">
        <v>0</v>
      </c>
      <c r="U172" s="702">
        <v>0</v>
      </c>
      <c r="V172" s="702">
        <v>0</v>
      </c>
      <c r="W172" s="702">
        <v>0</v>
      </c>
      <c r="X172" s="702">
        <v>0</v>
      </c>
      <c r="Y172" s="702">
        <v>0</v>
      </c>
      <c r="Z172" s="702">
        <v>0</v>
      </c>
      <c r="AA172" s="702">
        <v>0</v>
      </c>
      <c r="AB172" s="702">
        <v>0</v>
      </c>
      <c r="AC172" s="702">
        <v>0</v>
      </c>
      <c r="AD172" s="702">
        <v>0</v>
      </c>
      <c r="AE172" s="702">
        <v>0</v>
      </c>
      <c r="AF172" s="702">
        <v>0</v>
      </c>
      <c r="AG172" s="702">
        <v>0</v>
      </c>
      <c r="AH172" s="702">
        <v>0</v>
      </c>
      <c r="AI172" s="702">
        <v>0</v>
      </c>
      <c r="AJ172" s="702">
        <v>0</v>
      </c>
      <c r="AK172" s="702">
        <v>0</v>
      </c>
      <c r="AL172" s="702">
        <v>0</v>
      </c>
      <c r="AM172" s="702">
        <v>0</v>
      </c>
      <c r="AN172" s="702">
        <v>0</v>
      </c>
      <c r="AO172" s="703">
        <v>0</v>
      </c>
      <c r="AP172" s="635"/>
      <c r="AQ172" s="701">
        <v>0</v>
      </c>
      <c r="AR172" s="702">
        <v>0</v>
      </c>
      <c r="AS172" s="702">
        <v>0</v>
      </c>
      <c r="AT172" s="702">
        <v>0</v>
      </c>
      <c r="AU172" s="702">
        <v>0</v>
      </c>
      <c r="AV172" s="702">
        <v>0</v>
      </c>
      <c r="AW172" s="702">
        <v>0</v>
      </c>
      <c r="AX172" s="702">
        <v>0</v>
      </c>
      <c r="AY172" s="702">
        <v>0</v>
      </c>
      <c r="AZ172" s="702">
        <v>0</v>
      </c>
      <c r="BA172" s="702">
        <v>0</v>
      </c>
      <c r="BB172" s="702">
        <v>0</v>
      </c>
      <c r="BC172" s="702">
        <v>0</v>
      </c>
      <c r="BD172" s="702">
        <v>0</v>
      </c>
      <c r="BE172" s="702">
        <v>0</v>
      </c>
      <c r="BF172" s="702">
        <v>0</v>
      </c>
      <c r="BG172" s="702">
        <v>0</v>
      </c>
      <c r="BH172" s="702">
        <v>0</v>
      </c>
      <c r="BI172" s="702">
        <v>0</v>
      </c>
      <c r="BJ172" s="702">
        <v>0</v>
      </c>
      <c r="BK172" s="702">
        <v>0</v>
      </c>
      <c r="BL172" s="702">
        <v>0</v>
      </c>
      <c r="BM172" s="702">
        <v>0</v>
      </c>
      <c r="BN172" s="702">
        <v>0</v>
      </c>
      <c r="BO172" s="702">
        <v>0</v>
      </c>
      <c r="BP172" s="702">
        <v>0</v>
      </c>
      <c r="BQ172" s="702">
        <v>0</v>
      </c>
      <c r="BR172" s="702">
        <v>0</v>
      </c>
      <c r="BS172" s="702">
        <v>0</v>
      </c>
      <c r="BT172" s="703">
        <v>0</v>
      </c>
    </row>
    <row r="173" spans="2:72">
      <c r="B173" s="694"/>
      <c r="C173" s="694"/>
      <c r="D173" s="694"/>
      <c r="E173" s="694"/>
      <c r="F173" s="694"/>
      <c r="G173" s="694"/>
      <c r="H173" s="694"/>
      <c r="I173" s="646"/>
      <c r="J173" s="646"/>
      <c r="K173" s="635"/>
      <c r="L173" s="701">
        <v>0</v>
      </c>
      <c r="M173" s="702">
        <v>0</v>
      </c>
      <c r="N173" s="702">
        <v>0</v>
      </c>
      <c r="O173" s="702">
        <v>0</v>
      </c>
      <c r="P173" s="702">
        <v>0</v>
      </c>
      <c r="Q173" s="702">
        <v>0</v>
      </c>
      <c r="R173" s="702">
        <v>0</v>
      </c>
      <c r="S173" s="702">
        <v>0</v>
      </c>
      <c r="T173" s="702">
        <v>0</v>
      </c>
      <c r="U173" s="702">
        <v>0</v>
      </c>
      <c r="V173" s="702">
        <v>0</v>
      </c>
      <c r="W173" s="702">
        <v>0</v>
      </c>
      <c r="X173" s="702">
        <v>0</v>
      </c>
      <c r="Y173" s="702">
        <v>0</v>
      </c>
      <c r="Z173" s="702">
        <v>0</v>
      </c>
      <c r="AA173" s="702">
        <v>0</v>
      </c>
      <c r="AB173" s="702">
        <v>0</v>
      </c>
      <c r="AC173" s="702">
        <v>0</v>
      </c>
      <c r="AD173" s="702">
        <v>0</v>
      </c>
      <c r="AE173" s="702">
        <v>0</v>
      </c>
      <c r="AF173" s="702">
        <v>0</v>
      </c>
      <c r="AG173" s="702">
        <v>0</v>
      </c>
      <c r="AH173" s="702">
        <v>0</v>
      </c>
      <c r="AI173" s="702">
        <v>0</v>
      </c>
      <c r="AJ173" s="702">
        <v>0</v>
      </c>
      <c r="AK173" s="702">
        <v>0</v>
      </c>
      <c r="AL173" s="702">
        <v>0</v>
      </c>
      <c r="AM173" s="702">
        <v>0</v>
      </c>
      <c r="AN173" s="702">
        <v>0</v>
      </c>
      <c r="AO173" s="703">
        <v>0</v>
      </c>
      <c r="AP173" s="635"/>
      <c r="AQ173" s="701">
        <v>0</v>
      </c>
      <c r="AR173" s="702">
        <v>0</v>
      </c>
      <c r="AS173" s="702">
        <v>0</v>
      </c>
      <c r="AT173" s="702">
        <v>0</v>
      </c>
      <c r="AU173" s="702">
        <v>0</v>
      </c>
      <c r="AV173" s="702">
        <v>0</v>
      </c>
      <c r="AW173" s="702">
        <v>0</v>
      </c>
      <c r="AX173" s="702">
        <v>0</v>
      </c>
      <c r="AY173" s="702">
        <v>0</v>
      </c>
      <c r="AZ173" s="702">
        <v>0</v>
      </c>
      <c r="BA173" s="702">
        <v>0</v>
      </c>
      <c r="BB173" s="702">
        <v>0</v>
      </c>
      <c r="BC173" s="702">
        <v>0</v>
      </c>
      <c r="BD173" s="702">
        <v>0</v>
      </c>
      <c r="BE173" s="702">
        <v>0</v>
      </c>
      <c r="BF173" s="702">
        <v>0</v>
      </c>
      <c r="BG173" s="702">
        <v>0</v>
      </c>
      <c r="BH173" s="702">
        <v>0</v>
      </c>
      <c r="BI173" s="702">
        <v>0</v>
      </c>
      <c r="BJ173" s="702">
        <v>0</v>
      </c>
      <c r="BK173" s="702">
        <v>0</v>
      </c>
      <c r="BL173" s="702">
        <v>0</v>
      </c>
      <c r="BM173" s="702">
        <v>0</v>
      </c>
      <c r="BN173" s="702">
        <v>0</v>
      </c>
      <c r="BO173" s="702">
        <v>0</v>
      </c>
      <c r="BP173" s="702">
        <v>0</v>
      </c>
      <c r="BQ173" s="702">
        <v>0</v>
      </c>
      <c r="BR173" s="702">
        <v>0</v>
      </c>
      <c r="BS173" s="702">
        <v>0</v>
      </c>
      <c r="BT173" s="703">
        <v>0</v>
      </c>
    </row>
    <row r="174" spans="2:72">
      <c r="B174" s="694"/>
      <c r="C174" s="694"/>
      <c r="D174" s="694"/>
      <c r="E174" s="694"/>
      <c r="F174" s="694"/>
      <c r="G174" s="694"/>
      <c r="H174" s="694"/>
      <c r="I174" s="646"/>
      <c r="J174" s="646"/>
      <c r="K174" s="635"/>
      <c r="L174" s="701">
        <v>0</v>
      </c>
      <c r="M174" s="702">
        <v>0</v>
      </c>
      <c r="N174" s="702">
        <v>0</v>
      </c>
      <c r="O174" s="702">
        <v>0</v>
      </c>
      <c r="P174" s="702">
        <v>0</v>
      </c>
      <c r="Q174" s="702">
        <v>0</v>
      </c>
      <c r="R174" s="702">
        <v>0</v>
      </c>
      <c r="S174" s="702">
        <v>0</v>
      </c>
      <c r="T174" s="702">
        <v>0</v>
      </c>
      <c r="U174" s="702">
        <v>0</v>
      </c>
      <c r="V174" s="702">
        <v>0</v>
      </c>
      <c r="W174" s="702">
        <v>0</v>
      </c>
      <c r="X174" s="702">
        <v>0</v>
      </c>
      <c r="Y174" s="702">
        <v>0</v>
      </c>
      <c r="Z174" s="702">
        <v>0</v>
      </c>
      <c r="AA174" s="702">
        <v>0</v>
      </c>
      <c r="AB174" s="702">
        <v>0</v>
      </c>
      <c r="AC174" s="702">
        <v>0</v>
      </c>
      <c r="AD174" s="702">
        <v>0</v>
      </c>
      <c r="AE174" s="702">
        <v>0</v>
      </c>
      <c r="AF174" s="702">
        <v>0</v>
      </c>
      <c r="AG174" s="702">
        <v>0</v>
      </c>
      <c r="AH174" s="702">
        <v>0</v>
      </c>
      <c r="AI174" s="702">
        <v>0</v>
      </c>
      <c r="AJ174" s="702">
        <v>0</v>
      </c>
      <c r="AK174" s="702">
        <v>0</v>
      </c>
      <c r="AL174" s="702">
        <v>0</v>
      </c>
      <c r="AM174" s="702">
        <v>0</v>
      </c>
      <c r="AN174" s="702">
        <v>0</v>
      </c>
      <c r="AO174" s="703">
        <v>0</v>
      </c>
      <c r="AP174" s="635"/>
      <c r="AQ174" s="701">
        <v>0</v>
      </c>
      <c r="AR174" s="702">
        <v>0</v>
      </c>
      <c r="AS174" s="702">
        <v>0</v>
      </c>
      <c r="AT174" s="702">
        <v>0</v>
      </c>
      <c r="AU174" s="702">
        <v>0</v>
      </c>
      <c r="AV174" s="702">
        <v>0</v>
      </c>
      <c r="AW174" s="702">
        <v>0</v>
      </c>
      <c r="AX174" s="702">
        <v>0</v>
      </c>
      <c r="AY174" s="702">
        <v>0</v>
      </c>
      <c r="AZ174" s="702">
        <v>0</v>
      </c>
      <c r="BA174" s="702">
        <v>0</v>
      </c>
      <c r="BB174" s="702">
        <v>0</v>
      </c>
      <c r="BC174" s="702">
        <v>0</v>
      </c>
      <c r="BD174" s="702">
        <v>0</v>
      </c>
      <c r="BE174" s="702">
        <v>0</v>
      </c>
      <c r="BF174" s="702">
        <v>0</v>
      </c>
      <c r="BG174" s="702">
        <v>0</v>
      </c>
      <c r="BH174" s="702">
        <v>0</v>
      </c>
      <c r="BI174" s="702">
        <v>0</v>
      </c>
      <c r="BJ174" s="702">
        <v>0</v>
      </c>
      <c r="BK174" s="702">
        <v>0</v>
      </c>
      <c r="BL174" s="702">
        <v>0</v>
      </c>
      <c r="BM174" s="702">
        <v>0</v>
      </c>
      <c r="BN174" s="702">
        <v>0</v>
      </c>
      <c r="BO174" s="702">
        <v>0</v>
      </c>
      <c r="BP174" s="702">
        <v>0</v>
      </c>
      <c r="BQ174" s="702">
        <v>0</v>
      </c>
      <c r="BR174" s="702">
        <v>0</v>
      </c>
      <c r="BS174" s="702">
        <v>0</v>
      </c>
      <c r="BT174" s="703">
        <v>0</v>
      </c>
    </row>
    <row r="175" spans="2:72">
      <c r="B175" s="694"/>
      <c r="C175" s="694"/>
      <c r="D175" s="694"/>
      <c r="E175" s="694"/>
      <c r="F175" s="694"/>
      <c r="G175" s="694"/>
      <c r="H175" s="694"/>
      <c r="I175" s="646"/>
      <c r="J175" s="646"/>
      <c r="K175" s="635"/>
      <c r="L175" s="701">
        <v>0</v>
      </c>
      <c r="M175" s="702">
        <v>0</v>
      </c>
      <c r="N175" s="702">
        <v>0</v>
      </c>
      <c r="O175" s="702">
        <v>0</v>
      </c>
      <c r="P175" s="702">
        <v>0</v>
      </c>
      <c r="Q175" s="702">
        <v>0</v>
      </c>
      <c r="R175" s="702">
        <v>0</v>
      </c>
      <c r="S175" s="702">
        <v>0</v>
      </c>
      <c r="T175" s="702">
        <v>0</v>
      </c>
      <c r="U175" s="702">
        <v>0</v>
      </c>
      <c r="V175" s="702">
        <v>0</v>
      </c>
      <c r="W175" s="702">
        <v>0</v>
      </c>
      <c r="X175" s="702">
        <v>0</v>
      </c>
      <c r="Y175" s="702">
        <v>0</v>
      </c>
      <c r="Z175" s="702">
        <v>0</v>
      </c>
      <c r="AA175" s="702">
        <v>0</v>
      </c>
      <c r="AB175" s="702">
        <v>0</v>
      </c>
      <c r="AC175" s="702">
        <v>0</v>
      </c>
      <c r="AD175" s="702">
        <v>0</v>
      </c>
      <c r="AE175" s="702">
        <v>0</v>
      </c>
      <c r="AF175" s="702">
        <v>0</v>
      </c>
      <c r="AG175" s="702">
        <v>0</v>
      </c>
      <c r="AH175" s="702">
        <v>0</v>
      </c>
      <c r="AI175" s="702">
        <v>0</v>
      </c>
      <c r="AJ175" s="702">
        <v>0</v>
      </c>
      <c r="AK175" s="702">
        <v>0</v>
      </c>
      <c r="AL175" s="702">
        <v>0</v>
      </c>
      <c r="AM175" s="702">
        <v>0</v>
      </c>
      <c r="AN175" s="702">
        <v>0</v>
      </c>
      <c r="AO175" s="703">
        <v>0</v>
      </c>
      <c r="AP175" s="635"/>
      <c r="AQ175" s="701">
        <v>0</v>
      </c>
      <c r="AR175" s="702">
        <v>0</v>
      </c>
      <c r="AS175" s="702">
        <v>0</v>
      </c>
      <c r="AT175" s="702">
        <v>0</v>
      </c>
      <c r="AU175" s="702">
        <v>0</v>
      </c>
      <c r="AV175" s="702">
        <v>0</v>
      </c>
      <c r="AW175" s="702">
        <v>0</v>
      </c>
      <c r="AX175" s="702">
        <v>0</v>
      </c>
      <c r="AY175" s="702">
        <v>0</v>
      </c>
      <c r="AZ175" s="702">
        <v>0</v>
      </c>
      <c r="BA175" s="702">
        <v>0</v>
      </c>
      <c r="BB175" s="702">
        <v>0</v>
      </c>
      <c r="BC175" s="702">
        <v>0</v>
      </c>
      <c r="BD175" s="702">
        <v>0</v>
      </c>
      <c r="BE175" s="702">
        <v>0</v>
      </c>
      <c r="BF175" s="702">
        <v>0</v>
      </c>
      <c r="BG175" s="702">
        <v>0</v>
      </c>
      <c r="BH175" s="702">
        <v>0</v>
      </c>
      <c r="BI175" s="702">
        <v>0</v>
      </c>
      <c r="BJ175" s="702">
        <v>0</v>
      </c>
      <c r="BK175" s="702">
        <v>0</v>
      </c>
      <c r="BL175" s="702">
        <v>0</v>
      </c>
      <c r="BM175" s="702">
        <v>0</v>
      </c>
      <c r="BN175" s="702">
        <v>0</v>
      </c>
      <c r="BO175" s="702">
        <v>0</v>
      </c>
      <c r="BP175" s="702">
        <v>0</v>
      </c>
      <c r="BQ175" s="702">
        <v>0</v>
      </c>
      <c r="BR175" s="702">
        <v>0</v>
      </c>
      <c r="BS175" s="702">
        <v>0</v>
      </c>
      <c r="BT175" s="703">
        <v>0</v>
      </c>
    </row>
    <row r="176" spans="2:72">
      <c r="B176" s="694"/>
      <c r="C176" s="694"/>
      <c r="D176" s="694"/>
      <c r="E176" s="694"/>
      <c r="F176" s="694"/>
      <c r="G176" s="694"/>
      <c r="H176" s="694"/>
      <c r="I176" s="646"/>
      <c r="J176" s="646"/>
      <c r="K176" s="635"/>
      <c r="L176" s="701">
        <v>0</v>
      </c>
      <c r="M176" s="702">
        <v>0</v>
      </c>
      <c r="N176" s="702">
        <v>0</v>
      </c>
      <c r="O176" s="702">
        <v>0</v>
      </c>
      <c r="P176" s="702">
        <v>0</v>
      </c>
      <c r="Q176" s="702">
        <v>0</v>
      </c>
      <c r="R176" s="702">
        <v>0</v>
      </c>
      <c r="S176" s="702">
        <v>0</v>
      </c>
      <c r="T176" s="702">
        <v>0</v>
      </c>
      <c r="U176" s="702">
        <v>0</v>
      </c>
      <c r="V176" s="702">
        <v>0</v>
      </c>
      <c r="W176" s="702">
        <v>0</v>
      </c>
      <c r="X176" s="702">
        <v>0</v>
      </c>
      <c r="Y176" s="702">
        <v>0</v>
      </c>
      <c r="Z176" s="702">
        <v>0</v>
      </c>
      <c r="AA176" s="702">
        <v>0</v>
      </c>
      <c r="AB176" s="702">
        <v>0</v>
      </c>
      <c r="AC176" s="702">
        <v>0</v>
      </c>
      <c r="AD176" s="702">
        <v>0</v>
      </c>
      <c r="AE176" s="702">
        <v>0</v>
      </c>
      <c r="AF176" s="702">
        <v>0</v>
      </c>
      <c r="AG176" s="702">
        <v>0</v>
      </c>
      <c r="AH176" s="702">
        <v>0</v>
      </c>
      <c r="AI176" s="702">
        <v>0</v>
      </c>
      <c r="AJ176" s="702">
        <v>0</v>
      </c>
      <c r="AK176" s="702">
        <v>0</v>
      </c>
      <c r="AL176" s="702">
        <v>0</v>
      </c>
      <c r="AM176" s="702">
        <v>0</v>
      </c>
      <c r="AN176" s="702">
        <v>0</v>
      </c>
      <c r="AO176" s="703">
        <v>0</v>
      </c>
      <c r="AP176" s="635"/>
      <c r="AQ176" s="701">
        <v>0</v>
      </c>
      <c r="AR176" s="702">
        <v>0</v>
      </c>
      <c r="AS176" s="702">
        <v>0</v>
      </c>
      <c r="AT176" s="702">
        <v>0</v>
      </c>
      <c r="AU176" s="702">
        <v>0</v>
      </c>
      <c r="AV176" s="702">
        <v>0</v>
      </c>
      <c r="AW176" s="702">
        <v>0</v>
      </c>
      <c r="AX176" s="702">
        <v>0</v>
      </c>
      <c r="AY176" s="702">
        <v>0</v>
      </c>
      <c r="AZ176" s="702">
        <v>0</v>
      </c>
      <c r="BA176" s="702">
        <v>0</v>
      </c>
      <c r="BB176" s="702">
        <v>0</v>
      </c>
      <c r="BC176" s="702">
        <v>0</v>
      </c>
      <c r="BD176" s="702">
        <v>0</v>
      </c>
      <c r="BE176" s="702">
        <v>0</v>
      </c>
      <c r="BF176" s="702">
        <v>0</v>
      </c>
      <c r="BG176" s="702">
        <v>0</v>
      </c>
      <c r="BH176" s="702">
        <v>0</v>
      </c>
      <c r="BI176" s="702">
        <v>0</v>
      </c>
      <c r="BJ176" s="702">
        <v>0</v>
      </c>
      <c r="BK176" s="702">
        <v>0</v>
      </c>
      <c r="BL176" s="702">
        <v>0</v>
      </c>
      <c r="BM176" s="702">
        <v>0</v>
      </c>
      <c r="BN176" s="702">
        <v>0</v>
      </c>
      <c r="BO176" s="702">
        <v>0</v>
      </c>
      <c r="BP176" s="702">
        <v>0</v>
      </c>
      <c r="BQ176" s="702">
        <v>0</v>
      </c>
      <c r="BR176" s="702">
        <v>0</v>
      </c>
      <c r="BS176" s="702">
        <v>0</v>
      </c>
      <c r="BT176" s="703">
        <v>0</v>
      </c>
    </row>
    <row r="177" spans="2:73">
      <c r="B177" s="694"/>
      <c r="C177" s="694"/>
      <c r="D177" s="694"/>
      <c r="E177" s="694"/>
      <c r="F177" s="694"/>
      <c r="G177" s="694"/>
      <c r="H177" s="694"/>
      <c r="I177" s="646"/>
      <c r="J177" s="646"/>
      <c r="K177" s="635"/>
      <c r="L177" s="701">
        <v>0</v>
      </c>
      <c r="M177" s="702">
        <v>0</v>
      </c>
      <c r="N177" s="702">
        <v>0</v>
      </c>
      <c r="O177" s="702">
        <v>0</v>
      </c>
      <c r="P177" s="702">
        <v>0</v>
      </c>
      <c r="Q177" s="702">
        <v>0</v>
      </c>
      <c r="R177" s="702">
        <v>0</v>
      </c>
      <c r="S177" s="702">
        <v>0</v>
      </c>
      <c r="T177" s="702">
        <v>0</v>
      </c>
      <c r="U177" s="702">
        <v>0</v>
      </c>
      <c r="V177" s="702">
        <v>0</v>
      </c>
      <c r="W177" s="702">
        <v>0</v>
      </c>
      <c r="X177" s="702">
        <v>0</v>
      </c>
      <c r="Y177" s="702">
        <v>0</v>
      </c>
      <c r="Z177" s="702">
        <v>0</v>
      </c>
      <c r="AA177" s="702">
        <v>0</v>
      </c>
      <c r="AB177" s="702">
        <v>0</v>
      </c>
      <c r="AC177" s="702">
        <v>0</v>
      </c>
      <c r="AD177" s="702">
        <v>0</v>
      </c>
      <c r="AE177" s="702">
        <v>0</v>
      </c>
      <c r="AF177" s="702">
        <v>0</v>
      </c>
      <c r="AG177" s="702">
        <v>0</v>
      </c>
      <c r="AH177" s="702">
        <v>0</v>
      </c>
      <c r="AI177" s="702">
        <v>0</v>
      </c>
      <c r="AJ177" s="702">
        <v>0</v>
      </c>
      <c r="AK177" s="702">
        <v>0</v>
      </c>
      <c r="AL177" s="702">
        <v>0</v>
      </c>
      <c r="AM177" s="702">
        <v>0</v>
      </c>
      <c r="AN177" s="702">
        <v>0</v>
      </c>
      <c r="AO177" s="703">
        <v>0</v>
      </c>
      <c r="AP177" s="635"/>
      <c r="AQ177" s="701">
        <v>0</v>
      </c>
      <c r="AR177" s="702">
        <v>0</v>
      </c>
      <c r="AS177" s="702">
        <v>0</v>
      </c>
      <c r="AT177" s="702">
        <v>0</v>
      </c>
      <c r="AU177" s="702">
        <v>0</v>
      </c>
      <c r="AV177" s="702">
        <v>0</v>
      </c>
      <c r="AW177" s="702">
        <v>0</v>
      </c>
      <c r="AX177" s="702">
        <v>0</v>
      </c>
      <c r="AY177" s="702">
        <v>0</v>
      </c>
      <c r="AZ177" s="702">
        <v>0</v>
      </c>
      <c r="BA177" s="702">
        <v>0</v>
      </c>
      <c r="BB177" s="702">
        <v>0</v>
      </c>
      <c r="BC177" s="702">
        <v>0</v>
      </c>
      <c r="BD177" s="702">
        <v>0</v>
      </c>
      <c r="BE177" s="702">
        <v>0</v>
      </c>
      <c r="BF177" s="702">
        <v>0</v>
      </c>
      <c r="BG177" s="702">
        <v>0</v>
      </c>
      <c r="BH177" s="702">
        <v>0</v>
      </c>
      <c r="BI177" s="702">
        <v>0</v>
      </c>
      <c r="BJ177" s="702">
        <v>0</v>
      </c>
      <c r="BK177" s="702">
        <v>0</v>
      </c>
      <c r="BL177" s="702">
        <v>0</v>
      </c>
      <c r="BM177" s="702">
        <v>0</v>
      </c>
      <c r="BN177" s="702">
        <v>0</v>
      </c>
      <c r="BO177" s="702">
        <v>0</v>
      </c>
      <c r="BP177" s="702">
        <v>0</v>
      </c>
      <c r="BQ177" s="702">
        <v>0</v>
      </c>
      <c r="BR177" s="702">
        <v>0</v>
      </c>
      <c r="BS177" s="702">
        <v>0</v>
      </c>
      <c r="BT177" s="703">
        <v>0</v>
      </c>
    </row>
    <row r="178" spans="2:73">
      <c r="B178" s="694"/>
      <c r="C178" s="694"/>
      <c r="D178" s="694"/>
      <c r="E178" s="694"/>
      <c r="F178" s="694"/>
      <c r="G178" s="694"/>
      <c r="H178" s="694"/>
      <c r="I178" s="646"/>
      <c r="J178" s="646"/>
      <c r="K178" s="635"/>
      <c r="L178" s="701">
        <v>0</v>
      </c>
      <c r="M178" s="702">
        <v>0</v>
      </c>
      <c r="N178" s="702">
        <v>0</v>
      </c>
      <c r="O178" s="702">
        <v>0</v>
      </c>
      <c r="P178" s="702">
        <v>0</v>
      </c>
      <c r="Q178" s="702">
        <v>0</v>
      </c>
      <c r="R178" s="702">
        <v>0</v>
      </c>
      <c r="S178" s="702">
        <v>0</v>
      </c>
      <c r="T178" s="702">
        <v>0</v>
      </c>
      <c r="U178" s="702">
        <v>0</v>
      </c>
      <c r="V178" s="702">
        <v>0</v>
      </c>
      <c r="W178" s="702">
        <v>0</v>
      </c>
      <c r="X178" s="702">
        <v>0</v>
      </c>
      <c r="Y178" s="702">
        <v>0</v>
      </c>
      <c r="Z178" s="702">
        <v>0</v>
      </c>
      <c r="AA178" s="702">
        <v>0</v>
      </c>
      <c r="AB178" s="702">
        <v>0</v>
      </c>
      <c r="AC178" s="702">
        <v>0</v>
      </c>
      <c r="AD178" s="702">
        <v>0</v>
      </c>
      <c r="AE178" s="702">
        <v>0</v>
      </c>
      <c r="AF178" s="702">
        <v>0</v>
      </c>
      <c r="AG178" s="702">
        <v>0</v>
      </c>
      <c r="AH178" s="702">
        <v>0</v>
      </c>
      <c r="AI178" s="702">
        <v>0</v>
      </c>
      <c r="AJ178" s="702">
        <v>0</v>
      </c>
      <c r="AK178" s="702">
        <v>0</v>
      </c>
      <c r="AL178" s="702">
        <v>0</v>
      </c>
      <c r="AM178" s="702">
        <v>0</v>
      </c>
      <c r="AN178" s="702">
        <v>0</v>
      </c>
      <c r="AO178" s="703">
        <v>0</v>
      </c>
      <c r="AP178" s="635"/>
      <c r="AQ178" s="701">
        <v>0</v>
      </c>
      <c r="AR178" s="702">
        <v>0</v>
      </c>
      <c r="AS178" s="702">
        <v>0</v>
      </c>
      <c r="AT178" s="702">
        <v>0</v>
      </c>
      <c r="AU178" s="702">
        <v>0</v>
      </c>
      <c r="AV178" s="702">
        <v>0</v>
      </c>
      <c r="AW178" s="702">
        <v>0</v>
      </c>
      <c r="AX178" s="702">
        <v>0</v>
      </c>
      <c r="AY178" s="702">
        <v>0</v>
      </c>
      <c r="AZ178" s="702">
        <v>0</v>
      </c>
      <c r="BA178" s="702">
        <v>0</v>
      </c>
      <c r="BB178" s="702">
        <v>0</v>
      </c>
      <c r="BC178" s="702">
        <v>0</v>
      </c>
      <c r="BD178" s="702">
        <v>0</v>
      </c>
      <c r="BE178" s="702">
        <v>0</v>
      </c>
      <c r="BF178" s="702">
        <v>0</v>
      </c>
      <c r="BG178" s="702">
        <v>0</v>
      </c>
      <c r="BH178" s="702">
        <v>0</v>
      </c>
      <c r="BI178" s="702">
        <v>0</v>
      </c>
      <c r="BJ178" s="702">
        <v>0</v>
      </c>
      <c r="BK178" s="702">
        <v>0</v>
      </c>
      <c r="BL178" s="702">
        <v>0</v>
      </c>
      <c r="BM178" s="702">
        <v>0</v>
      </c>
      <c r="BN178" s="702">
        <v>0</v>
      </c>
      <c r="BO178" s="702">
        <v>0</v>
      </c>
      <c r="BP178" s="702">
        <v>0</v>
      </c>
      <c r="BQ178" s="702">
        <v>0</v>
      </c>
      <c r="BR178" s="702">
        <v>0</v>
      </c>
      <c r="BS178" s="702">
        <v>0</v>
      </c>
      <c r="BT178" s="703">
        <v>0</v>
      </c>
    </row>
    <row r="179" spans="2:73">
      <c r="B179" s="694"/>
      <c r="C179" s="694"/>
      <c r="D179" s="694"/>
      <c r="E179" s="694"/>
      <c r="F179" s="694"/>
      <c r="G179" s="694"/>
      <c r="H179" s="694"/>
      <c r="I179" s="646"/>
      <c r="J179" s="646"/>
      <c r="K179" s="635"/>
      <c r="L179" s="701">
        <v>0</v>
      </c>
      <c r="M179" s="702">
        <v>0</v>
      </c>
      <c r="N179" s="702">
        <v>0</v>
      </c>
      <c r="O179" s="702">
        <v>0</v>
      </c>
      <c r="P179" s="702">
        <v>0</v>
      </c>
      <c r="Q179" s="702">
        <v>0</v>
      </c>
      <c r="R179" s="702">
        <v>0</v>
      </c>
      <c r="S179" s="702">
        <v>0</v>
      </c>
      <c r="T179" s="702">
        <v>0</v>
      </c>
      <c r="U179" s="702">
        <v>0</v>
      </c>
      <c r="V179" s="702">
        <v>0</v>
      </c>
      <c r="W179" s="702">
        <v>0</v>
      </c>
      <c r="X179" s="702">
        <v>0</v>
      </c>
      <c r="Y179" s="702">
        <v>0</v>
      </c>
      <c r="Z179" s="702">
        <v>0</v>
      </c>
      <c r="AA179" s="702">
        <v>0</v>
      </c>
      <c r="AB179" s="702">
        <v>0</v>
      </c>
      <c r="AC179" s="702">
        <v>0</v>
      </c>
      <c r="AD179" s="702">
        <v>0</v>
      </c>
      <c r="AE179" s="702">
        <v>0</v>
      </c>
      <c r="AF179" s="702">
        <v>0</v>
      </c>
      <c r="AG179" s="702">
        <v>0</v>
      </c>
      <c r="AH179" s="702">
        <v>0</v>
      </c>
      <c r="AI179" s="702">
        <v>0</v>
      </c>
      <c r="AJ179" s="702">
        <v>0</v>
      </c>
      <c r="AK179" s="702">
        <v>0</v>
      </c>
      <c r="AL179" s="702">
        <v>0</v>
      </c>
      <c r="AM179" s="702">
        <v>0</v>
      </c>
      <c r="AN179" s="702">
        <v>0</v>
      </c>
      <c r="AO179" s="703">
        <v>0</v>
      </c>
      <c r="AP179" s="635"/>
      <c r="AQ179" s="701">
        <v>0</v>
      </c>
      <c r="AR179" s="702">
        <v>0</v>
      </c>
      <c r="AS179" s="702">
        <v>0</v>
      </c>
      <c r="AT179" s="702">
        <v>0</v>
      </c>
      <c r="AU179" s="702">
        <v>0</v>
      </c>
      <c r="AV179" s="702">
        <v>0</v>
      </c>
      <c r="AW179" s="702">
        <v>0</v>
      </c>
      <c r="AX179" s="702">
        <v>0</v>
      </c>
      <c r="AY179" s="702">
        <v>0</v>
      </c>
      <c r="AZ179" s="702">
        <v>0</v>
      </c>
      <c r="BA179" s="702">
        <v>0</v>
      </c>
      <c r="BB179" s="702">
        <v>0</v>
      </c>
      <c r="BC179" s="702">
        <v>0</v>
      </c>
      <c r="BD179" s="702">
        <v>0</v>
      </c>
      <c r="BE179" s="702">
        <v>0</v>
      </c>
      <c r="BF179" s="702">
        <v>0</v>
      </c>
      <c r="BG179" s="702">
        <v>0</v>
      </c>
      <c r="BH179" s="702">
        <v>0</v>
      </c>
      <c r="BI179" s="702">
        <v>0</v>
      </c>
      <c r="BJ179" s="702">
        <v>0</v>
      </c>
      <c r="BK179" s="702">
        <v>0</v>
      </c>
      <c r="BL179" s="702">
        <v>0</v>
      </c>
      <c r="BM179" s="702">
        <v>0</v>
      </c>
      <c r="BN179" s="702">
        <v>0</v>
      </c>
      <c r="BO179" s="702">
        <v>0</v>
      </c>
      <c r="BP179" s="702">
        <v>0</v>
      </c>
      <c r="BQ179" s="702">
        <v>0</v>
      </c>
      <c r="BR179" s="702">
        <v>0</v>
      </c>
      <c r="BS179" s="702">
        <v>0</v>
      </c>
      <c r="BT179" s="703">
        <v>0</v>
      </c>
    </row>
    <row r="180" spans="2:73">
      <c r="B180" s="694"/>
      <c r="C180" s="694"/>
      <c r="D180" s="694"/>
      <c r="E180" s="694"/>
      <c r="F180" s="694"/>
      <c r="G180" s="694"/>
      <c r="H180" s="694"/>
      <c r="I180" s="646"/>
      <c r="J180" s="646"/>
      <c r="K180" s="635"/>
      <c r="L180" s="701">
        <v>0</v>
      </c>
      <c r="M180" s="702">
        <v>0</v>
      </c>
      <c r="N180" s="702">
        <v>0</v>
      </c>
      <c r="O180" s="702">
        <v>0</v>
      </c>
      <c r="P180" s="702">
        <v>0</v>
      </c>
      <c r="Q180" s="702">
        <v>0</v>
      </c>
      <c r="R180" s="702">
        <v>0</v>
      </c>
      <c r="S180" s="702">
        <v>0</v>
      </c>
      <c r="T180" s="702">
        <v>0</v>
      </c>
      <c r="U180" s="702">
        <v>0</v>
      </c>
      <c r="V180" s="702">
        <v>0</v>
      </c>
      <c r="W180" s="702">
        <v>0</v>
      </c>
      <c r="X180" s="702">
        <v>0</v>
      </c>
      <c r="Y180" s="702">
        <v>0</v>
      </c>
      <c r="Z180" s="702">
        <v>0</v>
      </c>
      <c r="AA180" s="702">
        <v>0</v>
      </c>
      <c r="AB180" s="702">
        <v>0</v>
      </c>
      <c r="AC180" s="702">
        <v>0</v>
      </c>
      <c r="AD180" s="702">
        <v>0</v>
      </c>
      <c r="AE180" s="702">
        <v>0</v>
      </c>
      <c r="AF180" s="702">
        <v>0</v>
      </c>
      <c r="AG180" s="702">
        <v>0</v>
      </c>
      <c r="AH180" s="702">
        <v>0</v>
      </c>
      <c r="AI180" s="702">
        <v>0</v>
      </c>
      <c r="AJ180" s="702">
        <v>0</v>
      </c>
      <c r="AK180" s="702">
        <v>0</v>
      </c>
      <c r="AL180" s="702">
        <v>0</v>
      </c>
      <c r="AM180" s="702">
        <v>0</v>
      </c>
      <c r="AN180" s="702">
        <v>0</v>
      </c>
      <c r="AO180" s="703">
        <v>0</v>
      </c>
      <c r="AP180" s="635"/>
      <c r="AQ180" s="701">
        <v>0</v>
      </c>
      <c r="AR180" s="702">
        <v>0</v>
      </c>
      <c r="AS180" s="702">
        <v>0</v>
      </c>
      <c r="AT180" s="702">
        <v>0</v>
      </c>
      <c r="AU180" s="702">
        <v>0</v>
      </c>
      <c r="AV180" s="702">
        <v>0</v>
      </c>
      <c r="AW180" s="702">
        <v>0</v>
      </c>
      <c r="AX180" s="702">
        <v>0</v>
      </c>
      <c r="AY180" s="702">
        <v>0</v>
      </c>
      <c r="AZ180" s="702">
        <v>0</v>
      </c>
      <c r="BA180" s="702">
        <v>0</v>
      </c>
      <c r="BB180" s="702">
        <v>0</v>
      </c>
      <c r="BC180" s="702">
        <v>0</v>
      </c>
      <c r="BD180" s="702">
        <v>0</v>
      </c>
      <c r="BE180" s="702">
        <v>0</v>
      </c>
      <c r="BF180" s="702">
        <v>0</v>
      </c>
      <c r="BG180" s="702">
        <v>0</v>
      </c>
      <c r="BH180" s="702">
        <v>0</v>
      </c>
      <c r="BI180" s="702">
        <v>0</v>
      </c>
      <c r="BJ180" s="702">
        <v>0</v>
      </c>
      <c r="BK180" s="702">
        <v>0</v>
      </c>
      <c r="BL180" s="702">
        <v>0</v>
      </c>
      <c r="BM180" s="702">
        <v>0</v>
      </c>
      <c r="BN180" s="702">
        <v>0</v>
      </c>
      <c r="BO180" s="702">
        <v>0</v>
      </c>
      <c r="BP180" s="702">
        <v>0</v>
      </c>
      <c r="BQ180" s="702">
        <v>0</v>
      </c>
      <c r="BR180" s="702">
        <v>0</v>
      </c>
      <c r="BS180" s="702">
        <v>0</v>
      </c>
      <c r="BT180" s="703">
        <v>0</v>
      </c>
    </row>
    <row r="181" spans="2:73">
      <c r="B181" s="694"/>
      <c r="C181" s="694"/>
      <c r="D181" s="694"/>
      <c r="E181" s="694"/>
      <c r="F181" s="694"/>
      <c r="G181" s="694"/>
      <c r="H181" s="694"/>
      <c r="I181" s="646"/>
      <c r="J181" s="646"/>
      <c r="K181" s="635"/>
      <c r="L181" s="701">
        <v>0</v>
      </c>
      <c r="M181" s="702">
        <v>0</v>
      </c>
      <c r="N181" s="702">
        <v>0</v>
      </c>
      <c r="O181" s="702">
        <v>0</v>
      </c>
      <c r="P181" s="702">
        <v>0</v>
      </c>
      <c r="Q181" s="702">
        <v>0</v>
      </c>
      <c r="R181" s="702">
        <v>0</v>
      </c>
      <c r="S181" s="702">
        <v>0</v>
      </c>
      <c r="T181" s="702">
        <v>0</v>
      </c>
      <c r="U181" s="702">
        <v>0</v>
      </c>
      <c r="V181" s="702">
        <v>0</v>
      </c>
      <c r="W181" s="702">
        <v>0</v>
      </c>
      <c r="X181" s="702">
        <v>0</v>
      </c>
      <c r="Y181" s="702">
        <v>0</v>
      </c>
      <c r="Z181" s="702">
        <v>0</v>
      </c>
      <c r="AA181" s="702">
        <v>0</v>
      </c>
      <c r="AB181" s="702">
        <v>0</v>
      </c>
      <c r="AC181" s="702">
        <v>0</v>
      </c>
      <c r="AD181" s="702">
        <v>0</v>
      </c>
      <c r="AE181" s="702">
        <v>0</v>
      </c>
      <c r="AF181" s="702">
        <v>0</v>
      </c>
      <c r="AG181" s="702">
        <v>0</v>
      </c>
      <c r="AH181" s="702">
        <v>0</v>
      </c>
      <c r="AI181" s="702">
        <v>0</v>
      </c>
      <c r="AJ181" s="702">
        <v>0</v>
      </c>
      <c r="AK181" s="702">
        <v>0</v>
      </c>
      <c r="AL181" s="702">
        <v>0</v>
      </c>
      <c r="AM181" s="702">
        <v>0</v>
      </c>
      <c r="AN181" s="702">
        <v>0</v>
      </c>
      <c r="AO181" s="703">
        <v>0</v>
      </c>
      <c r="AP181" s="635"/>
      <c r="AQ181" s="701">
        <v>0</v>
      </c>
      <c r="AR181" s="702">
        <v>0</v>
      </c>
      <c r="AS181" s="702">
        <v>0</v>
      </c>
      <c r="AT181" s="702">
        <v>0</v>
      </c>
      <c r="AU181" s="702">
        <v>0</v>
      </c>
      <c r="AV181" s="702">
        <v>0</v>
      </c>
      <c r="AW181" s="702">
        <v>0</v>
      </c>
      <c r="AX181" s="702">
        <v>0</v>
      </c>
      <c r="AY181" s="702">
        <v>0</v>
      </c>
      <c r="AZ181" s="702">
        <v>0</v>
      </c>
      <c r="BA181" s="702">
        <v>0</v>
      </c>
      <c r="BB181" s="702">
        <v>0</v>
      </c>
      <c r="BC181" s="702">
        <v>0</v>
      </c>
      <c r="BD181" s="702">
        <v>0</v>
      </c>
      <c r="BE181" s="702">
        <v>0</v>
      </c>
      <c r="BF181" s="702">
        <v>0</v>
      </c>
      <c r="BG181" s="702">
        <v>0</v>
      </c>
      <c r="BH181" s="702">
        <v>0</v>
      </c>
      <c r="BI181" s="702">
        <v>0</v>
      </c>
      <c r="BJ181" s="702">
        <v>0</v>
      </c>
      <c r="BK181" s="702">
        <v>0</v>
      </c>
      <c r="BL181" s="702">
        <v>0</v>
      </c>
      <c r="BM181" s="702">
        <v>0</v>
      </c>
      <c r="BN181" s="702">
        <v>0</v>
      </c>
      <c r="BO181" s="702">
        <v>0</v>
      </c>
      <c r="BP181" s="702">
        <v>0</v>
      </c>
      <c r="BQ181" s="702">
        <v>0</v>
      </c>
      <c r="BR181" s="702">
        <v>0</v>
      </c>
      <c r="BS181" s="702">
        <v>0</v>
      </c>
      <c r="BT181" s="703">
        <v>0</v>
      </c>
    </row>
    <row r="182" spans="2:73">
      <c r="B182" s="694"/>
      <c r="C182" s="694"/>
      <c r="D182" s="694"/>
      <c r="E182" s="694"/>
      <c r="F182" s="694"/>
      <c r="G182" s="694"/>
      <c r="H182" s="694"/>
      <c r="I182" s="646"/>
      <c r="J182" s="646"/>
      <c r="K182" s="635"/>
      <c r="L182" s="701">
        <v>0</v>
      </c>
      <c r="M182" s="702">
        <v>0</v>
      </c>
      <c r="N182" s="702">
        <v>0</v>
      </c>
      <c r="O182" s="702">
        <v>0</v>
      </c>
      <c r="P182" s="702">
        <v>0</v>
      </c>
      <c r="Q182" s="702">
        <v>0</v>
      </c>
      <c r="R182" s="702">
        <v>0</v>
      </c>
      <c r="S182" s="702">
        <v>0</v>
      </c>
      <c r="T182" s="702">
        <v>0</v>
      </c>
      <c r="U182" s="702">
        <v>0</v>
      </c>
      <c r="V182" s="702">
        <v>0</v>
      </c>
      <c r="W182" s="702">
        <v>0</v>
      </c>
      <c r="X182" s="702">
        <v>0</v>
      </c>
      <c r="Y182" s="702">
        <v>0</v>
      </c>
      <c r="Z182" s="702">
        <v>0</v>
      </c>
      <c r="AA182" s="702">
        <v>0</v>
      </c>
      <c r="AB182" s="702">
        <v>0</v>
      </c>
      <c r="AC182" s="702">
        <v>0</v>
      </c>
      <c r="AD182" s="702">
        <v>0</v>
      </c>
      <c r="AE182" s="702">
        <v>0</v>
      </c>
      <c r="AF182" s="702">
        <v>0</v>
      </c>
      <c r="AG182" s="702">
        <v>0</v>
      </c>
      <c r="AH182" s="702">
        <v>0</v>
      </c>
      <c r="AI182" s="702">
        <v>0</v>
      </c>
      <c r="AJ182" s="702">
        <v>0</v>
      </c>
      <c r="AK182" s="702">
        <v>0</v>
      </c>
      <c r="AL182" s="702">
        <v>0</v>
      </c>
      <c r="AM182" s="702">
        <v>0</v>
      </c>
      <c r="AN182" s="702">
        <v>0</v>
      </c>
      <c r="AO182" s="703">
        <v>0</v>
      </c>
      <c r="AP182" s="635"/>
      <c r="AQ182" s="701">
        <v>0</v>
      </c>
      <c r="AR182" s="702">
        <v>0</v>
      </c>
      <c r="AS182" s="702">
        <v>0</v>
      </c>
      <c r="AT182" s="702">
        <v>0</v>
      </c>
      <c r="AU182" s="702">
        <v>0</v>
      </c>
      <c r="AV182" s="702">
        <v>0</v>
      </c>
      <c r="AW182" s="702">
        <v>0</v>
      </c>
      <c r="AX182" s="702">
        <v>0</v>
      </c>
      <c r="AY182" s="702">
        <v>0</v>
      </c>
      <c r="AZ182" s="702">
        <v>0</v>
      </c>
      <c r="BA182" s="702">
        <v>0</v>
      </c>
      <c r="BB182" s="702">
        <v>0</v>
      </c>
      <c r="BC182" s="702">
        <v>0</v>
      </c>
      <c r="BD182" s="702">
        <v>0</v>
      </c>
      <c r="BE182" s="702">
        <v>0</v>
      </c>
      <c r="BF182" s="702">
        <v>0</v>
      </c>
      <c r="BG182" s="702">
        <v>0</v>
      </c>
      <c r="BH182" s="702">
        <v>0</v>
      </c>
      <c r="BI182" s="702">
        <v>0</v>
      </c>
      <c r="BJ182" s="702">
        <v>0</v>
      </c>
      <c r="BK182" s="702">
        <v>0</v>
      </c>
      <c r="BL182" s="702">
        <v>0</v>
      </c>
      <c r="BM182" s="702">
        <v>0</v>
      </c>
      <c r="BN182" s="702">
        <v>0</v>
      </c>
      <c r="BO182" s="702">
        <v>0</v>
      </c>
      <c r="BP182" s="702">
        <v>0</v>
      </c>
      <c r="BQ182" s="702">
        <v>0</v>
      </c>
      <c r="BR182" s="702">
        <v>0</v>
      </c>
      <c r="BS182" s="702">
        <v>0</v>
      </c>
      <c r="BT182" s="703">
        <v>0</v>
      </c>
    </row>
    <row r="183" spans="2:73">
      <c r="B183" s="694"/>
      <c r="C183" s="694"/>
      <c r="D183" s="694"/>
      <c r="E183" s="694"/>
      <c r="F183" s="694"/>
      <c r="G183" s="694"/>
      <c r="H183" s="694"/>
      <c r="I183" s="646"/>
      <c r="J183" s="646"/>
      <c r="K183" s="635"/>
      <c r="L183" s="701">
        <v>0</v>
      </c>
      <c r="M183" s="702">
        <v>0</v>
      </c>
      <c r="N183" s="702">
        <v>0</v>
      </c>
      <c r="O183" s="702">
        <v>0</v>
      </c>
      <c r="P183" s="702">
        <v>0</v>
      </c>
      <c r="Q183" s="702">
        <v>0</v>
      </c>
      <c r="R183" s="702">
        <v>0</v>
      </c>
      <c r="S183" s="702">
        <v>0</v>
      </c>
      <c r="T183" s="702">
        <v>0</v>
      </c>
      <c r="U183" s="702">
        <v>0</v>
      </c>
      <c r="V183" s="702">
        <v>0</v>
      </c>
      <c r="W183" s="702">
        <v>0</v>
      </c>
      <c r="X183" s="702">
        <v>0</v>
      </c>
      <c r="Y183" s="702">
        <v>0</v>
      </c>
      <c r="Z183" s="702">
        <v>0</v>
      </c>
      <c r="AA183" s="702">
        <v>0</v>
      </c>
      <c r="AB183" s="702">
        <v>0</v>
      </c>
      <c r="AC183" s="702">
        <v>0</v>
      </c>
      <c r="AD183" s="702">
        <v>0</v>
      </c>
      <c r="AE183" s="702">
        <v>0</v>
      </c>
      <c r="AF183" s="702">
        <v>0</v>
      </c>
      <c r="AG183" s="702">
        <v>0</v>
      </c>
      <c r="AH183" s="702">
        <v>0</v>
      </c>
      <c r="AI183" s="702">
        <v>0</v>
      </c>
      <c r="AJ183" s="702">
        <v>0</v>
      </c>
      <c r="AK183" s="702">
        <v>0</v>
      </c>
      <c r="AL183" s="702">
        <v>0</v>
      </c>
      <c r="AM183" s="702">
        <v>0</v>
      </c>
      <c r="AN183" s="702">
        <v>0</v>
      </c>
      <c r="AO183" s="703">
        <v>0</v>
      </c>
      <c r="AP183" s="635"/>
      <c r="AQ183" s="701">
        <v>0</v>
      </c>
      <c r="AR183" s="702">
        <v>0</v>
      </c>
      <c r="AS183" s="702">
        <v>0</v>
      </c>
      <c r="AT183" s="702">
        <v>0</v>
      </c>
      <c r="AU183" s="702">
        <v>0</v>
      </c>
      <c r="AV183" s="702">
        <v>0</v>
      </c>
      <c r="AW183" s="702">
        <v>0</v>
      </c>
      <c r="AX183" s="702">
        <v>0</v>
      </c>
      <c r="AY183" s="702">
        <v>0</v>
      </c>
      <c r="AZ183" s="702">
        <v>0</v>
      </c>
      <c r="BA183" s="702">
        <v>0</v>
      </c>
      <c r="BB183" s="702">
        <v>0</v>
      </c>
      <c r="BC183" s="702">
        <v>0</v>
      </c>
      <c r="BD183" s="702">
        <v>0</v>
      </c>
      <c r="BE183" s="702">
        <v>0</v>
      </c>
      <c r="BF183" s="702">
        <v>0</v>
      </c>
      <c r="BG183" s="702">
        <v>0</v>
      </c>
      <c r="BH183" s="702">
        <v>0</v>
      </c>
      <c r="BI183" s="702">
        <v>0</v>
      </c>
      <c r="BJ183" s="702">
        <v>0</v>
      </c>
      <c r="BK183" s="702">
        <v>0</v>
      </c>
      <c r="BL183" s="702">
        <v>0</v>
      </c>
      <c r="BM183" s="702">
        <v>0</v>
      </c>
      <c r="BN183" s="702">
        <v>0</v>
      </c>
      <c r="BO183" s="702">
        <v>0</v>
      </c>
      <c r="BP183" s="702">
        <v>0</v>
      </c>
      <c r="BQ183" s="702">
        <v>0</v>
      </c>
      <c r="BR183" s="702">
        <v>0</v>
      </c>
      <c r="BS183" s="702">
        <v>0</v>
      </c>
      <c r="BT183" s="703">
        <v>0</v>
      </c>
    </row>
    <row r="184" spans="2:73">
      <c r="B184" s="694"/>
      <c r="C184" s="694"/>
      <c r="D184" s="694"/>
      <c r="E184" s="694"/>
      <c r="F184" s="694"/>
      <c r="G184" s="694"/>
      <c r="H184" s="694"/>
      <c r="I184" s="646"/>
      <c r="J184" s="646"/>
      <c r="K184" s="635"/>
      <c r="L184" s="701">
        <v>0</v>
      </c>
      <c r="M184" s="702">
        <v>0</v>
      </c>
      <c r="N184" s="702">
        <v>0</v>
      </c>
      <c r="O184" s="702">
        <v>0</v>
      </c>
      <c r="P184" s="702">
        <v>0</v>
      </c>
      <c r="Q184" s="702">
        <v>0</v>
      </c>
      <c r="R184" s="702">
        <v>0</v>
      </c>
      <c r="S184" s="702">
        <v>0</v>
      </c>
      <c r="T184" s="702">
        <v>0</v>
      </c>
      <c r="U184" s="702">
        <v>0</v>
      </c>
      <c r="V184" s="702">
        <v>0</v>
      </c>
      <c r="W184" s="702">
        <v>0</v>
      </c>
      <c r="X184" s="702">
        <v>0</v>
      </c>
      <c r="Y184" s="702">
        <v>0</v>
      </c>
      <c r="Z184" s="702">
        <v>0</v>
      </c>
      <c r="AA184" s="702">
        <v>0</v>
      </c>
      <c r="AB184" s="702">
        <v>0</v>
      </c>
      <c r="AC184" s="702">
        <v>0</v>
      </c>
      <c r="AD184" s="702">
        <v>0</v>
      </c>
      <c r="AE184" s="702">
        <v>0</v>
      </c>
      <c r="AF184" s="702">
        <v>0</v>
      </c>
      <c r="AG184" s="702">
        <v>0</v>
      </c>
      <c r="AH184" s="702">
        <v>0</v>
      </c>
      <c r="AI184" s="702">
        <v>0</v>
      </c>
      <c r="AJ184" s="702">
        <v>0</v>
      </c>
      <c r="AK184" s="702">
        <v>0</v>
      </c>
      <c r="AL184" s="702">
        <v>0</v>
      </c>
      <c r="AM184" s="702">
        <v>0</v>
      </c>
      <c r="AN184" s="702">
        <v>0</v>
      </c>
      <c r="AO184" s="703">
        <v>0</v>
      </c>
      <c r="AP184" s="635"/>
      <c r="AQ184" s="701">
        <v>0</v>
      </c>
      <c r="AR184" s="702">
        <v>0</v>
      </c>
      <c r="AS184" s="702">
        <v>0</v>
      </c>
      <c r="AT184" s="702">
        <v>0</v>
      </c>
      <c r="AU184" s="702">
        <v>0</v>
      </c>
      <c r="AV184" s="702">
        <v>0</v>
      </c>
      <c r="AW184" s="702">
        <v>0</v>
      </c>
      <c r="AX184" s="702">
        <v>0</v>
      </c>
      <c r="AY184" s="702">
        <v>0</v>
      </c>
      <c r="AZ184" s="702">
        <v>0</v>
      </c>
      <c r="BA184" s="702">
        <v>0</v>
      </c>
      <c r="BB184" s="702">
        <v>0</v>
      </c>
      <c r="BC184" s="702">
        <v>0</v>
      </c>
      <c r="BD184" s="702">
        <v>0</v>
      </c>
      <c r="BE184" s="702">
        <v>0</v>
      </c>
      <c r="BF184" s="702">
        <v>0</v>
      </c>
      <c r="BG184" s="702">
        <v>0</v>
      </c>
      <c r="BH184" s="702">
        <v>0</v>
      </c>
      <c r="BI184" s="702">
        <v>0</v>
      </c>
      <c r="BJ184" s="702">
        <v>0</v>
      </c>
      <c r="BK184" s="702">
        <v>0</v>
      </c>
      <c r="BL184" s="702">
        <v>0</v>
      </c>
      <c r="BM184" s="702">
        <v>0</v>
      </c>
      <c r="BN184" s="702">
        <v>0</v>
      </c>
      <c r="BO184" s="702">
        <v>0</v>
      </c>
      <c r="BP184" s="702">
        <v>0</v>
      </c>
      <c r="BQ184" s="702">
        <v>0</v>
      </c>
      <c r="BR184" s="702">
        <v>0</v>
      </c>
      <c r="BS184" s="702">
        <v>0</v>
      </c>
      <c r="BT184" s="703">
        <v>0</v>
      </c>
    </row>
    <row r="185" spans="2:73">
      <c r="B185" s="694"/>
      <c r="C185" s="694"/>
      <c r="D185" s="694"/>
      <c r="E185" s="694"/>
      <c r="F185" s="694"/>
      <c r="G185" s="694"/>
      <c r="H185" s="694"/>
      <c r="I185" s="646"/>
      <c r="J185" s="646"/>
      <c r="K185" s="635"/>
      <c r="L185" s="701">
        <v>0</v>
      </c>
      <c r="M185" s="702">
        <v>0</v>
      </c>
      <c r="N185" s="702">
        <v>0</v>
      </c>
      <c r="O185" s="702">
        <v>0</v>
      </c>
      <c r="P185" s="702">
        <v>0</v>
      </c>
      <c r="Q185" s="702">
        <v>0</v>
      </c>
      <c r="R185" s="702">
        <v>0</v>
      </c>
      <c r="S185" s="702">
        <v>0</v>
      </c>
      <c r="T185" s="702">
        <v>0</v>
      </c>
      <c r="U185" s="702">
        <v>0</v>
      </c>
      <c r="V185" s="702">
        <v>0</v>
      </c>
      <c r="W185" s="702">
        <v>0</v>
      </c>
      <c r="X185" s="702">
        <v>0</v>
      </c>
      <c r="Y185" s="702">
        <v>0</v>
      </c>
      <c r="Z185" s="702">
        <v>0</v>
      </c>
      <c r="AA185" s="702">
        <v>0</v>
      </c>
      <c r="AB185" s="702">
        <v>0</v>
      </c>
      <c r="AC185" s="702">
        <v>0</v>
      </c>
      <c r="AD185" s="702">
        <v>0</v>
      </c>
      <c r="AE185" s="702">
        <v>0</v>
      </c>
      <c r="AF185" s="702">
        <v>0</v>
      </c>
      <c r="AG185" s="702">
        <v>0</v>
      </c>
      <c r="AH185" s="702">
        <v>0</v>
      </c>
      <c r="AI185" s="702">
        <v>0</v>
      </c>
      <c r="AJ185" s="702">
        <v>0</v>
      </c>
      <c r="AK185" s="702">
        <v>0</v>
      </c>
      <c r="AL185" s="702">
        <v>0</v>
      </c>
      <c r="AM185" s="702">
        <v>0</v>
      </c>
      <c r="AN185" s="702">
        <v>0</v>
      </c>
      <c r="AO185" s="703">
        <v>0</v>
      </c>
      <c r="AP185" s="635"/>
      <c r="AQ185" s="701">
        <v>0</v>
      </c>
      <c r="AR185" s="702">
        <v>0</v>
      </c>
      <c r="AS185" s="702">
        <v>0</v>
      </c>
      <c r="AT185" s="702">
        <v>0</v>
      </c>
      <c r="AU185" s="702">
        <v>0</v>
      </c>
      <c r="AV185" s="702">
        <v>0</v>
      </c>
      <c r="AW185" s="702">
        <v>0</v>
      </c>
      <c r="AX185" s="702">
        <v>0</v>
      </c>
      <c r="AY185" s="702">
        <v>0</v>
      </c>
      <c r="AZ185" s="702">
        <v>0</v>
      </c>
      <c r="BA185" s="702">
        <v>0</v>
      </c>
      <c r="BB185" s="702">
        <v>0</v>
      </c>
      <c r="BC185" s="702">
        <v>0</v>
      </c>
      <c r="BD185" s="702">
        <v>0</v>
      </c>
      <c r="BE185" s="702">
        <v>0</v>
      </c>
      <c r="BF185" s="702">
        <v>0</v>
      </c>
      <c r="BG185" s="702">
        <v>0</v>
      </c>
      <c r="BH185" s="702">
        <v>0</v>
      </c>
      <c r="BI185" s="702">
        <v>0</v>
      </c>
      <c r="BJ185" s="702">
        <v>0</v>
      </c>
      <c r="BK185" s="702">
        <v>0</v>
      </c>
      <c r="BL185" s="702">
        <v>0</v>
      </c>
      <c r="BM185" s="702">
        <v>0</v>
      </c>
      <c r="BN185" s="702">
        <v>0</v>
      </c>
      <c r="BO185" s="702">
        <v>0</v>
      </c>
      <c r="BP185" s="702">
        <v>0</v>
      </c>
      <c r="BQ185" s="702">
        <v>0</v>
      </c>
      <c r="BR185" s="702">
        <v>0</v>
      </c>
      <c r="BS185" s="702">
        <v>0</v>
      </c>
      <c r="BT185" s="703">
        <v>0</v>
      </c>
    </row>
    <row r="186" spans="2:73">
      <c r="B186" s="694"/>
      <c r="C186" s="694"/>
      <c r="D186" s="694"/>
      <c r="E186" s="694"/>
      <c r="F186" s="694"/>
      <c r="G186" s="694"/>
      <c r="H186" s="694"/>
      <c r="I186" s="646"/>
      <c r="J186" s="646"/>
      <c r="K186" s="635"/>
      <c r="L186" s="701">
        <v>0</v>
      </c>
      <c r="M186" s="702">
        <v>0</v>
      </c>
      <c r="N186" s="702">
        <v>0</v>
      </c>
      <c r="O186" s="702">
        <v>0</v>
      </c>
      <c r="P186" s="702">
        <v>0</v>
      </c>
      <c r="Q186" s="702">
        <v>0</v>
      </c>
      <c r="R186" s="702">
        <v>0</v>
      </c>
      <c r="S186" s="702">
        <v>0</v>
      </c>
      <c r="T186" s="702">
        <v>0</v>
      </c>
      <c r="U186" s="702">
        <v>0</v>
      </c>
      <c r="V186" s="702">
        <v>0</v>
      </c>
      <c r="W186" s="702">
        <v>0</v>
      </c>
      <c r="X186" s="702">
        <v>0</v>
      </c>
      <c r="Y186" s="702">
        <v>0</v>
      </c>
      <c r="Z186" s="702">
        <v>0</v>
      </c>
      <c r="AA186" s="702">
        <v>0</v>
      </c>
      <c r="AB186" s="702">
        <v>0</v>
      </c>
      <c r="AC186" s="702">
        <v>0</v>
      </c>
      <c r="AD186" s="702">
        <v>0</v>
      </c>
      <c r="AE186" s="702">
        <v>0</v>
      </c>
      <c r="AF186" s="702">
        <v>0</v>
      </c>
      <c r="AG186" s="702">
        <v>0</v>
      </c>
      <c r="AH186" s="702">
        <v>0</v>
      </c>
      <c r="AI186" s="702">
        <v>0</v>
      </c>
      <c r="AJ186" s="702">
        <v>0</v>
      </c>
      <c r="AK186" s="702">
        <v>0</v>
      </c>
      <c r="AL186" s="702">
        <v>0</v>
      </c>
      <c r="AM186" s="702">
        <v>0</v>
      </c>
      <c r="AN186" s="702">
        <v>0</v>
      </c>
      <c r="AO186" s="703">
        <v>0</v>
      </c>
      <c r="AP186" s="635"/>
      <c r="AQ186" s="701">
        <v>0</v>
      </c>
      <c r="AR186" s="702">
        <v>0</v>
      </c>
      <c r="AS186" s="702">
        <v>0</v>
      </c>
      <c r="AT186" s="702">
        <v>0</v>
      </c>
      <c r="AU186" s="702">
        <v>0</v>
      </c>
      <c r="AV186" s="702">
        <v>0</v>
      </c>
      <c r="AW186" s="702">
        <v>0</v>
      </c>
      <c r="AX186" s="702">
        <v>0</v>
      </c>
      <c r="AY186" s="702">
        <v>0</v>
      </c>
      <c r="AZ186" s="702">
        <v>0</v>
      </c>
      <c r="BA186" s="702">
        <v>0</v>
      </c>
      <c r="BB186" s="702">
        <v>0</v>
      </c>
      <c r="BC186" s="702">
        <v>0</v>
      </c>
      <c r="BD186" s="702">
        <v>0</v>
      </c>
      <c r="BE186" s="702">
        <v>0</v>
      </c>
      <c r="BF186" s="702">
        <v>0</v>
      </c>
      <c r="BG186" s="702">
        <v>0</v>
      </c>
      <c r="BH186" s="702">
        <v>0</v>
      </c>
      <c r="BI186" s="702">
        <v>0</v>
      </c>
      <c r="BJ186" s="702">
        <v>0</v>
      </c>
      <c r="BK186" s="702">
        <v>0</v>
      </c>
      <c r="BL186" s="702">
        <v>0</v>
      </c>
      <c r="BM186" s="702">
        <v>0</v>
      </c>
      <c r="BN186" s="702">
        <v>0</v>
      </c>
      <c r="BO186" s="702">
        <v>0</v>
      </c>
      <c r="BP186" s="702">
        <v>0</v>
      </c>
      <c r="BQ186" s="702">
        <v>0</v>
      </c>
      <c r="BR186" s="702">
        <v>0</v>
      </c>
      <c r="BS186" s="702">
        <v>0</v>
      </c>
      <c r="BT186" s="703">
        <v>0</v>
      </c>
    </row>
    <row r="187" spans="2:73">
      <c r="B187" s="694"/>
      <c r="C187" s="694"/>
      <c r="D187" s="694"/>
      <c r="E187" s="694"/>
      <c r="F187" s="694"/>
      <c r="G187" s="694"/>
      <c r="H187" s="694"/>
      <c r="I187" s="646"/>
      <c r="J187" s="646"/>
      <c r="K187" s="635"/>
      <c r="L187" s="701">
        <v>0</v>
      </c>
      <c r="M187" s="702">
        <v>0</v>
      </c>
      <c r="N187" s="702">
        <v>0</v>
      </c>
      <c r="O187" s="702">
        <v>0</v>
      </c>
      <c r="P187" s="702">
        <v>0</v>
      </c>
      <c r="Q187" s="702">
        <v>0</v>
      </c>
      <c r="R187" s="702">
        <v>0</v>
      </c>
      <c r="S187" s="702">
        <v>0</v>
      </c>
      <c r="T187" s="702">
        <v>0</v>
      </c>
      <c r="U187" s="702">
        <v>0</v>
      </c>
      <c r="V187" s="702">
        <v>0</v>
      </c>
      <c r="W187" s="702">
        <v>0</v>
      </c>
      <c r="X187" s="702">
        <v>0</v>
      </c>
      <c r="Y187" s="702">
        <v>0</v>
      </c>
      <c r="Z187" s="702">
        <v>0</v>
      </c>
      <c r="AA187" s="702">
        <v>0</v>
      </c>
      <c r="AB187" s="702">
        <v>0</v>
      </c>
      <c r="AC187" s="702">
        <v>0</v>
      </c>
      <c r="AD187" s="702">
        <v>0</v>
      </c>
      <c r="AE187" s="702">
        <v>0</v>
      </c>
      <c r="AF187" s="702">
        <v>0</v>
      </c>
      <c r="AG187" s="702">
        <v>0</v>
      </c>
      <c r="AH187" s="702">
        <v>0</v>
      </c>
      <c r="AI187" s="702">
        <v>0</v>
      </c>
      <c r="AJ187" s="702">
        <v>0</v>
      </c>
      <c r="AK187" s="702">
        <v>0</v>
      </c>
      <c r="AL187" s="702">
        <v>0</v>
      </c>
      <c r="AM187" s="702">
        <v>0</v>
      </c>
      <c r="AN187" s="702">
        <v>0</v>
      </c>
      <c r="AO187" s="703">
        <v>0</v>
      </c>
      <c r="AP187" s="635"/>
      <c r="AQ187" s="701">
        <v>0</v>
      </c>
      <c r="AR187" s="702">
        <v>0</v>
      </c>
      <c r="AS187" s="702">
        <v>0</v>
      </c>
      <c r="AT187" s="702">
        <v>0</v>
      </c>
      <c r="AU187" s="702">
        <v>0</v>
      </c>
      <c r="AV187" s="702">
        <v>0</v>
      </c>
      <c r="AW187" s="702">
        <v>0</v>
      </c>
      <c r="AX187" s="702">
        <v>0</v>
      </c>
      <c r="AY187" s="702">
        <v>0</v>
      </c>
      <c r="AZ187" s="702">
        <v>0</v>
      </c>
      <c r="BA187" s="702">
        <v>0</v>
      </c>
      <c r="BB187" s="702">
        <v>0</v>
      </c>
      <c r="BC187" s="702">
        <v>0</v>
      </c>
      <c r="BD187" s="702">
        <v>0</v>
      </c>
      <c r="BE187" s="702">
        <v>0</v>
      </c>
      <c r="BF187" s="702">
        <v>0</v>
      </c>
      <c r="BG187" s="702">
        <v>0</v>
      </c>
      <c r="BH187" s="702">
        <v>0</v>
      </c>
      <c r="BI187" s="702">
        <v>0</v>
      </c>
      <c r="BJ187" s="702">
        <v>0</v>
      </c>
      <c r="BK187" s="702">
        <v>0</v>
      </c>
      <c r="BL187" s="702">
        <v>0</v>
      </c>
      <c r="BM187" s="702">
        <v>0</v>
      </c>
      <c r="BN187" s="702">
        <v>0</v>
      </c>
      <c r="BO187" s="702">
        <v>0</v>
      </c>
      <c r="BP187" s="702">
        <v>0</v>
      </c>
      <c r="BQ187" s="702">
        <v>0</v>
      </c>
      <c r="BR187" s="702">
        <v>0</v>
      </c>
      <c r="BS187" s="702">
        <v>0</v>
      </c>
      <c r="BT187" s="703">
        <v>0</v>
      </c>
    </row>
    <row r="188" spans="2:73">
      <c r="B188" s="694"/>
      <c r="C188" s="694"/>
      <c r="D188" s="694"/>
      <c r="E188" s="694"/>
      <c r="F188" s="694"/>
      <c r="G188" s="694"/>
      <c r="H188" s="694"/>
      <c r="I188" s="646"/>
      <c r="J188" s="646"/>
      <c r="K188" s="635"/>
      <c r="L188" s="701">
        <v>0</v>
      </c>
      <c r="M188" s="702">
        <v>0</v>
      </c>
      <c r="N188" s="702">
        <v>0</v>
      </c>
      <c r="O188" s="702">
        <v>0</v>
      </c>
      <c r="P188" s="702">
        <v>0</v>
      </c>
      <c r="Q188" s="702">
        <v>0</v>
      </c>
      <c r="R188" s="702">
        <v>0</v>
      </c>
      <c r="S188" s="702">
        <v>0</v>
      </c>
      <c r="T188" s="702">
        <v>0</v>
      </c>
      <c r="U188" s="702">
        <v>0</v>
      </c>
      <c r="V188" s="702">
        <v>0</v>
      </c>
      <c r="W188" s="702">
        <v>0</v>
      </c>
      <c r="X188" s="702">
        <v>0</v>
      </c>
      <c r="Y188" s="702">
        <v>0</v>
      </c>
      <c r="Z188" s="702">
        <v>0</v>
      </c>
      <c r="AA188" s="702">
        <v>0</v>
      </c>
      <c r="AB188" s="702">
        <v>0</v>
      </c>
      <c r="AC188" s="702">
        <v>0</v>
      </c>
      <c r="AD188" s="702">
        <v>0</v>
      </c>
      <c r="AE188" s="702">
        <v>0</v>
      </c>
      <c r="AF188" s="702">
        <v>0</v>
      </c>
      <c r="AG188" s="702">
        <v>0</v>
      </c>
      <c r="AH188" s="702">
        <v>0</v>
      </c>
      <c r="AI188" s="702">
        <v>0</v>
      </c>
      <c r="AJ188" s="702">
        <v>0</v>
      </c>
      <c r="AK188" s="702">
        <v>0</v>
      </c>
      <c r="AL188" s="702">
        <v>0</v>
      </c>
      <c r="AM188" s="702">
        <v>0</v>
      </c>
      <c r="AN188" s="702">
        <v>0</v>
      </c>
      <c r="AO188" s="703">
        <v>0</v>
      </c>
      <c r="AP188" s="635"/>
      <c r="AQ188" s="701">
        <v>0</v>
      </c>
      <c r="AR188" s="702">
        <v>0</v>
      </c>
      <c r="AS188" s="702">
        <v>0</v>
      </c>
      <c r="AT188" s="702">
        <v>0</v>
      </c>
      <c r="AU188" s="702">
        <v>0</v>
      </c>
      <c r="AV188" s="702">
        <v>0</v>
      </c>
      <c r="AW188" s="702">
        <v>0</v>
      </c>
      <c r="AX188" s="702">
        <v>0</v>
      </c>
      <c r="AY188" s="702">
        <v>0</v>
      </c>
      <c r="AZ188" s="702">
        <v>0</v>
      </c>
      <c r="BA188" s="702">
        <v>0</v>
      </c>
      <c r="BB188" s="702">
        <v>0</v>
      </c>
      <c r="BC188" s="702">
        <v>0</v>
      </c>
      <c r="BD188" s="702">
        <v>0</v>
      </c>
      <c r="BE188" s="702">
        <v>0</v>
      </c>
      <c r="BF188" s="702">
        <v>0</v>
      </c>
      <c r="BG188" s="702">
        <v>0</v>
      </c>
      <c r="BH188" s="702">
        <v>0</v>
      </c>
      <c r="BI188" s="702">
        <v>0</v>
      </c>
      <c r="BJ188" s="702">
        <v>0</v>
      </c>
      <c r="BK188" s="702">
        <v>0</v>
      </c>
      <c r="BL188" s="702">
        <v>0</v>
      </c>
      <c r="BM188" s="702">
        <v>0</v>
      </c>
      <c r="BN188" s="702">
        <v>0</v>
      </c>
      <c r="BO188" s="702">
        <v>0</v>
      </c>
      <c r="BP188" s="702">
        <v>0</v>
      </c>
      <c r="BQ188" s="702">
        <v>0</v>
      </c>
      <c r="BR188" s="702">
        <v>0</v>
      </c>
      <c r="BS188" s="702">
        <v>0</v>
      </c>
      <c r="BT188" s="703">
        <v>0</v>
      </c>
    </row>
    <row r="190" spans="2:73" s="812" customFormat="1">
      <c r="I190" s="813"/>
      <c r="J190" s="813"/>
      <c r="K190" s="814"/>
      <c r="L190" s="812">
        <f>SUBTOTAL(9,L27:L188)</f>
        <v>1007.0416678137591</v>
      </c>
      <c r="M190" s="812">
        <f t="shared" ref="M190:BT190" si="0">SUBTOTAL(9,M27:M188)</f>
        <v>2267.9439151155157</v>
      </c>
      <c r="N190" s="812">
        <f t="shared" si="0"/>
        <v>4508.3620996668378</v>
      </c>
      <c r="O190" s="812">
        <f t="shared" si="0"/>
        <v>6051.0319209371728</v>
      </c>
      <c r="P190" s="812">
        <f t="shared" si="0"/>
        <v>4135.2580127227093</v>
      </c>
      <c r="Q190" s="812">
        <f t="shared" si="0"/>
        <v>5069.2856122193662</v>
      </c>
      <c r="R190" s="812">
        <f t="shared" si="0"/>
        <v>4966.8888192346458</v>
      </c>
      <c r="S190" s="812">
        <f t="shared" si="0"/>
        <v>4764.9795176255557</v>
      </c>
      <c r="T190" s="812">
        <f t="shared" si="0"/>
        <v>4716.8118754065836</v>
      </c>
      <c r="U190" s="812">
        <f t="shared" si="0"/>
        <v>4698.9736322792678</v>
      </c>
      <c r="V190" s="812">
        <f t="shared" si="0"/>
        <v>4608.9058861542235</v>
      </c>
      <c r="W190" s="812">
        <f t="shared" si="0"/>
        <v>4533.2230146558322</v>
      </c>
      <c r="X190" s="812">
        <f t="shared" si="0"/>
        <v>4304.4776211980507</v>
      </c>
      <c r="Y190" s="812">
        <f t="shared" si="0"/>
        <v>3948.0182871969578</v>
      </c>
      <c r="Z190" s="812">
        <f t="shared" si="0"/>
        <v>3507.0315804755528</v>
      </c>
      <c r="AA190" s="812">
        <f t="shared" si="0"/>
        <v>3258.1538415624877</v>
      </c>
      <c r="AB190" s="812">
        <f t="shared" si="0"/>
        <v>3052.5838071619874</v>
      </c>
      <c r="AC190" s="812">
        <f t="shared" si="0"/>
        <v>2752.1033819765389</v>
      </c>
      <c r="AD190" s="812">
        <f t="shared" si="0"/>
        <v>2588.9078401405645</v>
      </c>
      <c r="AE190" s="812">
        <f t="shared" si="0"/>
        <v>2195.9296484437609</v>
      </c>
      <c r="AF190" s="812">
        <f t="shared" si="0"/>
        <v>1904.0022584978847</v>
      </c>
      <c r="AG190" s="812">
        <f t="shared" si="0"/>
        <v>1470.6774965674485</v>
      </c>
      <c r="AH190" s="812">
        <f t="shared" si="0"/>
        <v>983.71038163744856</v>
      </c>
      <c r="AI190" s="812">
        <f t="shared" si="0"/>
        <v>352.58584465944858</v>
      </c>
      <c r="AJ190" s="812">
        <f t="shared" si="0"/>
        <v>3.4140446574485952</v>
      </c>
      <c r="AK190" s="812">
        <f t="shared" si="0"/>
        <v>3.4140446574485952</v>
      </c>
      <c r="AL190" s="812">
        <f t="shared" si="0"/>
        <v>0</v>
      </c>
      <c r="AM190" s="812">
        <f t="shared" si="0"/>
        <v>0</v>
      </c>
      <c r="AN190" s="812">
        <f t="shared" si="0"/>
        <v>0</v>
      </c>
      <c r="AO190" s="812">
        <f t="shared" si="0"/>
        <v>0</v>
      </c>
      <c r="AP190" s="812" t="s">
        <v>722</v>
      </c>
      <c r="AQ190" s="812">
        <f t="shared" si="0"/>
        <v>3008742.662183072</v>
      </c>
      <c r="AR190" s="812">
        <f t="shared" si="0"/>
        <v>5890532.6077542296</v>
      </c>
      <c r="AS190" s="812">
        <f t="shared" si="0"/>
        <v>8915482.5392187573</v>
      </c>
      <c r="AT190" s="812">
        <f t="shared" si="0"/>
        <v>14621650.445905847</v>
      </c>
      <c r="AU190" s="812">
        <f t="shared" si="0"/>
        <v>21376601.944397852</v>
      </c>
      <c r="AV190" s="812">
        <f t="shared" si="0"/>
        <v>32404040.814404227</v>
      </c>
      <c r="AW190" s="812">
        <f t="shared" si="0"/>
        <v>31909211.69402013</v>
      </c>
      <c r="AX190" s="812">
        <f t="shared" si="0"/>
        <v>31033461.619603548</v>
      </c>
      <c r="AY190" s="812">
        <f t="shared" si="0"/>
        <v>30876175.791215032</v>
      </c>
      <c r="AZ190" s="812">
        <f t="shared" si="0"/>
        <v>30579853.876697451</v>
      </c>
      <c r="BA190" s="812">
        <f t="shared" si="0"/>
        <v>29920461.994987302</v>
      </c>
      <c r="BB190" s="812">
        <f t="shared" si="0"/>
        <v>29394792.771837726</v>
      </c>
      <c r="BC190" s="812">
        <f t="shared" si="0"/>
        <v>27851614.03967249</v>
      </c>
      <c r="BD190" s="812">
        <f t="shared" si="0"/>
        <v>25595548.26495786</v>
      </c>
      <c r="BE190" s="812">
        <f t="shared" si="0"/>
        <v>22727328.233424302</v>
      </c>
      <c r="BF190" s="812">
        <f t="shared" si="0"/>
        <v>21098831.925943702</v>
      </c>
      <c r="BG190" s="812">
        <f t="shared" si="0"/>
        <v>17757953.852080543</v>
      </c>
      <c r="BH190" s="812">
        <f t="shared" si="0"/>
        <v>13303167.954067346</v>
      </c>
      <c r="BI190" s="812">
        <f t="shared" si="0"/>
        <v>12817919.727105072</v>
      </c>
      <c r="BJ190" s="812">
        <f t="shared" si="0"/>
        <v>10842103.497826349</v>
      </c>
      <c r="BK190" s="812">
        <f t="shared" si="0"/>
        <v>9602867.5284436923</v>
      </c>
      <c r="BL190" s="812">
        <f t="shared" si="0"/>
        <v>6235827.627532986</v>
      </c>
      <c r="BM190" s="812">
        <f t="shared" si="0"/>
        <v>3355538.0799013982</v>
      </c>
      <c r="BN190" s="812">
        <f t="shared" si="0"/>
        <v>1589179.5333606559</v>
      </c>
      <c r="BO190" s="812">
        <f t="shared" si="0"/>
        <v>8189.5333606559843</v>
      </c>
      <c r="BP190" s="812">
        <f t="shared" si="0"/>
        <v>4656.5333606559843</v>
      </c>
      <c r="BQ190" s="812">
        <f t="shared" si="0"/>
        <v>0</v>
      </c>
      <c r="BR190" s="812">
        <f t="shared" si="0"/>
        <v>0</v>
      </c>
      <c r="BS190" s="812">
        <f t="shared" si="0"/>
        <v>0</v>
      </c>
      <c r="BT190" s="812">
        <f t="shared" si="0"/>
        <v>0</v>
      </c>
      <c r="BU190" s="814"/>
    </row>
  </sheetData>
  <autoFilter ref="C26:BT127">
    <sortState ref="C26:BT42">
      <sortCondition ref="H25"/>
    </sortState>
  </autoFilter>
  <mergeCells count="1">
    <mergeCell ref="C24:G24"/>
  </mergeCells>
  <conditionalFormatting sqref="AQ44:BT71 L27:AO69 AQ89:BT188 L106:AO188">
    <cfRule type="cellIs" dxfId="7" priority="10" operator="equal">
      <formula>0</formula>
    </cfRule>
  </conditionalFormatting>
  <conditionalFormatting sqref="L74:AO86 AQ72:BT88">
    <cfRule type="cellIs" dxfId="6" priority="9" operator="equal">
      <formula>0</formula>
    </cfRule>
  </conditionalFormatting>
  <conditionalFormatting sqref="L91:AO103">
    <cfRule type="cellIs" dxfId="5" priority="8" operator="equal">
      <formula>0</formula>
    </cfRule>
  </conditionalFormatting>
  <conditionalFormatting sqref="L27:AO32 AQ27:BT32">
    <cfRule type="cellIs" dxfId="4" priority="6" operator="equal">
      <formula>0</formula>
    </cfRule>
  </conditionalFormatting>
  <conditionalFormatting sqref="L33:AO43 AQ33:BT43">
    <cfRule type="cellIs" dxfId="3" priority="5" operator="equal">
      <formula>0</formula>
    </cfRule>
  </conditionalFormatting>
  <conditionalFormatting sqref="L70:AO73">
    <cfRule type="cellIs" dxfId="2" priority="4" operator="equal">
      <formula>0</formula>
    </cfRule>
  </conditionalFormatting>
  <conditionalFormatting sqref="L87:AO90">
    <cfRule type="cellIs" dxfId="1" priority="3" operator="equal">
      <formula>0</formula>
    </cfRule>
  </conditionalFormatting>
  <conditionalFormatting sqref="L104:AO105">
    <cfRule type="cellIs" dxfId="0" priority="2" operator="equal">
      <formula>0</formula>
    </cfRule>
  </conditionalFormatting>
  <pageMargins left="0.25" right="0.25" top="0.75" bottom="0.75" header="0.3" footer="0.3"/>
  <pageSetup scale="21" orientation="landscape" r:id="rId1"/>
  <colBreaks count="3" manualBreakCount="3">
    <brk id="26" max="1048575" man="1"/>
    <brk id="41" max="1048575" man="1"/>
    <brk id="5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S49"/>
  <sheetViews>
    <sheetView showGridLines="0" zoomScaleNormal="100" workbookViewId="0">
      <selection activeCell="G28" sqref="G28"/>
    </sheetView>
  </sheetViews>
  <sheetFormatPr defaultColWidth="9.140625" defaultRowHeight="15"/>
  <cols>
    <col min="1" max="3" width="9.140625" style="12"/>
    <col min="4" max="5" width="16" style="12" customWidth="1"/>
    <col min="6" max="6" width="9.140625" style="12"/>
    <col min="7" max="18" width="10.5703125" style="12" bestFit="1" customWidth="1"/>
    <col min="19" max="19" width="11.5703125" style="12" bestFit="1" customWidth="1"/>
    <col min="20" max="16384" width="9.140625" style="12"/>
  </cols>
  <sheetData>
    <row r="12" spans="2:15" ht="24" customHeight="1"/>
    <row r="13" spans="2:15" ht="15.75">
      <c r="B13" s="590" t="s">
        <v>500</v>
      </c>
    </row>
    <row r="14" spans="2:15" ht="15.75">
      <c r="B14" s="590"/>
    </row>
    <row r="15" spans="2:15" s="670" customFormat="1" ht="27" customHeight="1">
      <c r="B15" s="668" t="s">
        <v>671</v>
      </c>
      <c r="C15" s="669"/>
      <c r="D15" s="669"/>
      <c r="E15" s="669"/>
      <c r="F15" s="669"/>
      <c r="G15" s="669"/>
      <c r="H15" s="669"/>
      <c r="I15" s="669"/>
      <c r="J15" s="669"/>
      <c r="K15" s="669"/>
      <c r="L15" s="669"/>
      <c r="M15" s="669"/>
      <c r="N15" s="669"/>
      <c r="O15" s="669"/>
    </row>
    <row r="19" spans="1:19" ht="23.25">
      <c r="A19" s="819"/>
      <c r="B19" s="820" t="s">
        <v>722</v>
      </c>
      <c r="C19" s="821" t="s">
        <v>722</v>
      </c>
      <c r="D19" s="821"/>
      <c r="E19" s="821"/>
      <c r="F19" s="821"/>
      <c r="G19" s="914" t="s">
        <v>723</v>
      </c>
      <c r="H19" s="914"/>
      <c r="I19" s="914"/>
      <c r="J19" s="914"/>
      <c r="K19" s="914"/>
      <c r="L19" s="914"/>
      <c r="M19" s="914"/>
      <c r="N19" s="914"/>
      <c r="O19" s="914"/>
      <c r="P19" s="914"/>
      <c r="Q19" s="914"/>
      <c r="R19" s="914"/>
      <c r="S19" s="915"/>
    </row>
    <row r="20" spans="1:19" ht="30">
      <c r="A20" s="822"/>
      <c r="B20" s="823"/>
      <c r="C20" s="823"/>
      <c r="D20" s="824" t="s">
        <v>721</v>
      </c>
      <c r="E20" s="824" t="s">
        <v>725</v>
      </c>
      <c r="F20" s="823"/>
      <c r="G20" s="825">
        <v>42370</v>
      </c>
      <c r="H20" s="825">
        <v>42401</v>
      </c>
      <c r="I20" s="825">
        <v>42430</v>
      </c>
      <c r="J20" s="825">
        <v>42461</v>
      </c>
      <c r="K20" s="825">
        <v>42491</v>
      </c>
      <c r="L20" s="825">
        <v>42522</v>
      </c>
      <c r="M20" s="825">
        <v>42552</v>
      </c>
      <c r="N20" s="825">
        <v>42583</v>
      </c>
      <c r="O20" s="825">
        <v>42614</v>
      </c>
      <c r="P20" s="825">
        <v>42644</v>
      </c>
      <c r="Q20" s="825">
        <v>42675</v>
      </c>
      <c r="R20" s="825">
        <v>42705</v>
      </c>
      <c r="S20" s="826" t="s">
        <v>26</v>
      </c>
    </row>
    <row r="21" spans="1:19">
      <c r="A21" s="822"/>
      <c r="B21" s="823"/>
      <c r="C21" s="825">
        <v>42186</v>
      </c>
      <c r="D21" s="827">
        <v>87.915999999999997</v>
      </c>
      <c r="E21" s="827">
        <f>+D21*$B$27</f>
        <v>67.489697667558417</v>
      </c>
      <c r="F21" s="827"/>
      <c r="G21" s="827">
        <f t="shared" ref="G21:R21" si="0">+$D$21*$B$27</f>
        <v>67.489697667558417</v>
      </c>
      <c r="H21" s="827">
        <f t="shared" si="0"/>
        <v>67.489697667558417</v>
      </c>
      <c r="I21" s="827">
        <f t="shared" si="0"/>
        <v>67.489697667558417</v>
      </c>
      <c r="J21" s="827">
        <f t="shared" si="0"/>
        <v>67.489697667558417</v>
      </c>
      <c r="K21" s="827">
        <f t="shared" si="0"/>
        <v>67.489697667558417</v>
      </c>
      <c r="L21" s="827">
        <f t="shared" si="0"/>
        <v>67.489697667558417</v>
      </c>
      <c r="M21" s="827">
        <f t="shared" si="0"/>
        <v>67.489697667558417</v>
      </c>
      <c r="N21" s="827">
        <f t="shared" si="0"/>
        <v>67.489697667558417</v>
      </c>
      <c r="O21" s="827">
        <f t="shared" si="0"/>
        <v>67.489697667558417</v>
      </c>
      <c r="P21" s="827">
        <f t="shared" si="0"/>
        <v>67.489697667558417</v>
      </c>
      <c r="Q21" s="827">
        <f t="shared" si="0"/>
        <v>67.489697667558417</v>
      </c>
      <c r="R21" s="827">
        <f t="shared" si="0"/>
        <v>67.489697667558417</v>
      </c>
      <c r="S21" s="828">
        <f>SUM(G21:R21)</f>
        <v>809.87637201070095</v>
      </c>
    </row>
    <row r="22" spans="1:19">
      <c r="A22" s="822"/>
      <c r="B22" s="823"/>
      <c r="C22" s="825">
        <v>42217</v>
      </c>
      <c r="D22" s="827">
        <v>59.902000000000001</v>
      </c>
      <c r="E22" s="827">
        <f t="shared" ref="E22:E26" si="1">+D22*$B$27</f>
        <v>45.984438210133362</v>
      </c>
      <c r="F22" s="827"/>
      <c r="G22" s="827">
        <f t="shared" ref="G22:R22" si="2">+$D$22*$B$27</f>
        <v>45.984438210133362</v>
      </c>
      <c r="H22" s="827">
        <f t="shared" si="2"/>
        <v>45.984438210133362</v>
      </c>
      <c r="I22" s="827">
        <f t="shared" si="2"/>
        <v>45.984438210133362</v>
      </c>
      <c r="J22" s="827">
        <f t="shared" si="2"/>
        <v>45.984438210133362</v>
      </c>
      <c r="K22" s="827">
        <f t="shared" si="2"/>
        <v>45.984438210133362</v>
      </c>
      <c r="L22" s="827">
        <f t="shared" si="2"/>
        <v>45.984438210133362</v>
      </c>
      <c r="M22" s="827">
        <f t="shared" si="2"/>
        <v>45.984438210133362</v>
      </c>
      <c r="N22" s="827">
        <f t="shared" si="2"/>
        <v>45.984438210133362</v>
      </c>
      <c r="O22" s="827">
        <f t="shared" si="2"/>
        <v>45.984438210133362</v>
      </c>
      <c r="P22" s="827">
        <f t="shared" si="2"/>
        <v>45.984438210133362</v>
      </c>
      <c r="Q22" s="827">
        <f t="shared" si="2"/>
        <v>45.984438210133362</v>
      </c>
      <c r="R22" s="827">
        <f t="shared" si="2"/>
        <v>45.984438210133362</v>
      </c>
      <c r="S22" s="828">
        <f t="shared" ref="S22:S26" si="3">SUM(G22:R22)</f>
        <v>551.81325852160035</v>
      </c>
    </row>
    <row r="23" spans="1:19">
      <c r="A23" s="822"/>
      <c r="B23" s="823"/>
      <c r="C23" s="825">
        <v>42248</v>
      </c>
      <c r="D23" s="827">
        <v>85.99199999999999</v>
      </c>
      <c r="E23" s="827">
        <f t="shared" si="1"/>
        <v>66.012717614867412</v>
      </c>
      <c r="F23" s="827"/>
      <c r="G23" s="827">
        <f t="shared" ref="G23:R23" si="4">+$D$23*$B$27</f>
        <v>66.012717614867412</v>
      </c>
      <c r="H23" s="827">
        <f t="shared" si="4"/>
        <v>66.012717614867412</v>
      </c>
      <c r="I23" s="827">
        <f t="shared" si="4"/>
        <v>66.012717614867412</v>
      </c>
      <c r="J23" s="827">
        <f t="shared" si="4"/>
        <v>66.012717614867412</v>
      </c>
      <c r="K23" s="827">
        <f t="shared" si="4"/>
        <v>66.012717614867412</v>
      </c>
      <c r="L23" s="827">
        <f t="shared" si="4"/>
        <v>66.012717614867412</v>
      </c>
      <c r="M23" s="827">
        <f t="shared" si="4"/>
        <v>66.012717614867412</v>
      </c>
      <c r="N23" s="827">
        <f t="shared" si="4"/>
        <v>66.012717614867412</v>
      </c>
      <c r="O23" s="827">
        <f t="shared" si="4"/>
        <v>66.012717614867412</v>
      </c>
      <c r="P23" s="827">
        <f t="shared" si="4"/>
        <v>66.012717614867412</v>
      </c>
      <c r="Q23" s="827">
        <f t="shared" si="4"/>
        <v>66.012717614867412</v>
      </c>
      <c r="R23" s="827">
        <f t="shared" si="4"/>
        <v>66.012717614867412</v>
      </c>
      <c r="S23" s="828">
        <f t="shared" si="3"/>
        <v>792.15261137840878</v>
      </c>
    </row>
    <row r="24" spans="1:19">
      <c r="A24" s="822"/>
      <c r="B24" s="823"/>
      <c r="C24" s="825">
        <v>42278</v>
      </c>
      <c r="D24" s="827">
        <v>41.555</v>
      </c>
      <c r="E24" s="827">
        <f t="shared" si="1"/>
        <v>31.900159090215549</v>
      </c>
      <c r="F24" s="827"/>
      <c r="G24" s="827">
        <f t="shared" ref="G24:R24" si="5">+$D$24*$B$27</f>
        <v>31.900159090215549</v>
      </c>
      <c r="H24" s="827">
        <f t="shared" si="5"/>
        <v>31.900159090215549</v>
      </c>
      <c r="I24" s="827">
        <f t="shared" si="5"/>
        <v>31.900159090215549</v>
      </c>
      <c r="J24" s="827">
        <f t="shared" si="5"/>
        <v>31.900159090215549</v>
      </c>
      <c r="K24" s="827">
        <f t="shared" si="5"/>
        <v>31.900159090215549</v>
      </c>
      <c r="L24" s="827">
        <f t="shared" si="5"/>
        <v>31.900159090215549</v>
      </c>
      <c r="M24" s="827">
        <f t="shared" si="5"/>
        <v>31.900159090215549</v>
      </c>
      <c r="N24" s="827">
        <f t="shared" si="5"/>
        <v>31.900159090215549</v>
      </c>
      <c r="O24" s="827">
        <f t="shared" si="5"/>
        <v>31.900159090215549</v>
      </c>
      <c r="P24" s="827">
        <f t="shared" si="5"/>
        <v>31.900159090215549</v>
      </c>
      <c r="Q24" s="827">
        <f t="shared" si="5"/>
        <v>31.900159090215549</v>
      </c>
      <c r="R24" s="827">
        <f t="shared" si="5"/>
        <v>31.900159090215549</v>
      </c>
      <c r="S24" s="828">
        <f t="shared" si="3"/>
        <v>382.80190908258652</v>
      </c>
    </row>
    <row r="25" spans="1:19">
      <c r="A25" s="822"/>
      <c r="B25" s="823"/>
      <c r="C25" s="825">
        <v>42309</v>
      </c>
      <c r="D25" s="827">
        <v>85.594999999999999</v>
      </c>
      <c r="E25" s="827">
        <f t="shared" si="1"/>
        <v>65.707956138298641</v>
      </c>
      <c r="F25" s="827"/>
      <c r="G25" s="827">
        <f t="shared" ref="G25:R25" si="6">+$D$25*$B$27</f>
        <v>65.707956138298641</v>
      </c>
      <c r="H25" s="827">
        <f t="shared" si="6"/>
        <v>65.707956138298641</v>
      </c>
      <c r="I25" s="827">
        <f t="shared" si="6"/>
        <v>65.707956138298641</v>
      </c>
      <c r="J25" s="827">
        <f t="shared" si="6"/>
        <v>65.707956138298641</v>
      </c>
      <c r="K25" s="827">
        <f t="shared" si="6"/>
        <v>65.707956138298641</v>
      </c>
      <c r="L25" s="827">
        <f t="shared" si="6"/>
        <v>65.707956138298641</v>
      </c>
      <c r="M25" s="827">
        <f t="shared" si="6"/>
        <v>65.707956138298641</v>
      </c>
      <c r="N25" s="827">
        <f t="shared" si="6"/>
        <v>65.707956138298641</v>
      </c>
      <c r="O25" s="827">
        <f t="shared" si="6"/>
        <v>65.707956138298641</v>
      </c>
      <c r="P25" s="827">
        <f t="shared" si="6"/>
        <v>65.707956138298641</v>
      </c>
      <c r="Q25" s="827">
        <f t="shared" si="6"/>
        <v>65.707956138298641</v>
      </c>
      <c r="R25" s="827">
        <f t="shared" si="6"/>
        <v>65.707956138298641</v>
      </c>
      <c r="S25" s="828">
        <f t="shared" si="3"/>
        <v>788.49547365958369</v>
      </c>
    </row>
    <row r="26" spans="1:19">
      <c r="A26" s="822"/>
      <c r="B26" s="823"/>
      <c r="C26" s="825">
        <v>42339</v>
      </c>
      <c r="D26" s="827">
        <v>43.600999999999999</v>
      </c>
      <c r="E26" s="827">
        <f t="shared" si="1"/>
        <v>33.470793803212324</v>
      </c>
      <c r="F26" s="827"/>
      <c r="G26" s="827">
        <f t="shared" ref="G26:R26" si="7">+$D$26*$B$27</f>
        <v>33.470793803212324</v>
      </c>
      <c r="H26" s="827">
        <f t="shared" si="7"/>
        <v>33.470793803212324</v>
      </c>
      <c r="I26" s="827">
        <f t="shared" si="7"/>
        <v>33.470793803212324</v>
      </c>
      <c r="J26" s="827">
        <f t="shared" si="7"/>
        <v>33.470793803212324</v>
      </c>
      <c r="K26" s="827">
        <f t="shared" si="7"/>
        <v>33.470793803212324</v>
      </c>
      <c r="L26" s="827">
        <f t="shared" si="7"/>
        <v>33.470793803212324</v>
      </c>
      <c r="M26" s="827">
        <f t="shared" si="7"/>
        <v>33.470793803212324</v>
      </c>
      <c r="N26" s="827">
        <f t="shared" si="7"/>
        <v>33.470793803212324</v>
      </c>
      <c r="O26" s="827">
        <f t="shared" si="7"/>
        <v>33.470793803212324</v>
      </c>
      <c r="P26" s="827">
        <f t="shared" si="7"/>
        <v>33.470793803212324</v>
      </c>
      <c r="Q26" s="827">
        <f t="shared" si="7"/>
        <v>33.470793803212324</v>
      </c>
      <c r="R26" s="827">
        <f t="shared" si="7"/>
        <v>33.470793803212324</v>
      </c>
      <c r="S26" s="828">
        <f t="shared" si="3"/>
        <v>401.6495256385478</v>
      </c>
    </row>
    <row r="27" spans="1:19">
      <c r="A27" s="822" t="s">
        <v>724</v>
      </c>
      <c r="B27" s="829">
        <v>0.76766115004729996</v>
      </c>
      <c r="C27" s="825"/>
      <c r="D27" s="827"/>
      <c r="E27" s="827"/>
      <c r="F27" s="830" t="s">
        <v>28</v>
      </c>
      <c r="G27" s="831">
        <f>SUM(G21:G26)</f>
        <v>310.56576252428567</v>
      </c>
      <c r="H27" s="831">
        <f t="shared" ref="H27:S27" si="8">SUM(H21:H26)</f>
        <v>310.56576252428567</v>
      </c>
      <c r="I27" s="831">
        <f t="shared" si="8"/>
        <v>310.56576252428567</v>
      </c>
      <c r="J27" s="831">
        <f t="shared" si="8"/>
        <v>310.56576252428567</v>
      </c>
      <c r="K27" s="831">
        <f t="shared" si="8"/>
        <v>310.56576252428567</v>
      </c>
      <c r="L27" s="831">
        <f t="shared" si="8"/>
        <v>310.56576252428567</v>
      </c>
      <c r="M27" s="831">
        <f t="shared" si="8"/>
        <v>310.56576252428567</v>
      </c>
      <c r="N27" s="831">
        <f t="shared" si="8"/>
        <v>310.56576252428567</v>
      </c>
      <c r="O27" s="831">
        <f t="shared" si="8"/>
        <v>310.56576252428567</v>
      </c>
      <c r="P27" s="831">
        <f t="shared" si="8"/>
        <v>310.56576252428567</v>
      </c>
      <c r="Q27" s="831">
        <f t="shared" si="8"/>
        <v>310.56576252428567</v>
      </c>
      <c r="R27" s="831">
        <f t="shared" si="8"/>
        <v>310.56576252428567</v>
      </c>
      <c r="S27" s="832">
        <f t="shared" si="8"/>
        <v>3726.7891502914281</v>
      </c>
    </row>
    <row r="28" spans="1:19" ht="15.75" thickBot="1">
      <c r="A28" s="822"/>
      <c r="B28" s="829"/>
      <c r="C28" s="825"/>
      <c r="D28" s="827"/>
      <c r="E28" s="833" t="s">
        <v>722</v>
      </c>
      <c r="F28" s="823">
        <v>7.0213000000000001</v>
      </c>
      <c r="G28" s="834">
        <f>+G27*$F$28</f>
        <v>2180.5753884117671</v>
      </c>
      <c r="H28" s="834">
        <f t="shared" ref="H28:S28" si="9">+H27*$F$28</f>
        <v>2180.5753884117671</v>
      </c>
      <c r="I28" s="834">
        <f t="shared" si="9"/>
        <v>2180.5753884117671</v>
      </c>
      <c r="J28" s="834">
        <f t="shared" si="9"/>
        <v>2180.5753884117671</v>
      </c>
      <c r="K28" s="834">
        <f t="shared" si="9"/>
        <v>2180.5753884117671</v>
      </c>
      <c r="L28" s="834">
        <f t="shared" si="9"/>
        <v>2180.5753884117671</v>
      </c>
      <c r="M28" s="834">
        <f t="shared" si="9"/>
        <v>2180.5753884117671</v>
      </c>
      <c r="N28" s="834">
        <f t="shared" si="9"/>
        <v>2180.5753884117671</v>
      </c>
      <c r="O28" s="834">
        <f t="shared" si="9"/>
        <v>2180.5753884117671</v>
      </c>
      <c r="P28" s="834">
        <f t="shared" si="9"/>
        <v>2180.5753884117671</v>
      </c>
      <c r="Q28" s="834">
        <f t="shared" si="9"/>
        <v>2180.5753884117671</v>
      </c>
      <c r="R28" s="834">
        <f t="shared" si="9"/>
        <v>2180.5753884117671</v>
      </c>
      <c r="S28" s="835">
        <f t="shared" si="9"/>
        <v>26166.904660941203</v>
      </c>
    </row>
    <row r="29" spans="1:19">
      <c r="A29" s="822"/>
      <c r="B29" s="823"/>
      <c r="C29" s="825"/>
      <c r="D29" s="827" t="s">
        <v>722</v>
      </c>
      <c r="E29" s="827"/>
      <c r="F29" s="827"/>
      <c r="G29" s="827"/>
      <c r="H29" s="827"/>
      <c r="I29" s="827"/>
      <c r="J29" s="827"/>
      <c r="K29" s="827"/>
      <c r="L29" s="827"/>
      <c r="M29" s="827"/>
      <c r="N29" s="827"/>
      <c r="O29" s="827"/>
      <c r="P29" s="827"/>
      <c r="Q29" s="827"/>
      <c r="R29" s="827"/>
      <c r="S29" s="836"/>
    </row>
    <row r="30" spans="1:19">
      <c r="A30" s="822"/>
      <c r="B30" s="823"/>
      <c r="C30" s="825">
        <v>42370</v>
      </c>
      <c r="D30" s="827">
        <v>23.478000000000002</v>
      </c>
      <c r="E30" s="827">
        <f>+D30*$B$37</f>
        <v>14.315970222665051</v>
      </c>
      <c r="F30" s="827"/>
      <c r="G30" s="827"/>
      <c r="H30" s="827">
        <f t="shared" ref="H30:R30" si="10">+$D$30*$B$37</f>
        <v>14.315970222665051</v>
      </c>
      <c r="I30" s="827">
        <f t="shared" si="10"/>
        <v>14.315970222665051</v>
      </c>
      <c r="J30" s="827">
        <f t="shared" si="10"/>
        <v>14.315970222665051</v>
      </c>
      <c r="K30" s="827">
        <f t="shared" si="10"/>
        <v>14.315970222665051</v>
      </c>
      <c r="L30" s="827">
        <f t="shared" si="10"/>
        <v>14.315970222665051</v>
      </c>
      <c r="M30" s="827">
        <f t="shared" si="10"/>
        <v>14.315970222665051</v>
      </c>
      <c r="N30" s="827">
        <f t="shared" si="10"/>
        <v>14.315970222665051</v>
      </c>
      <c r="O30" s="827">
        <f t="shared" si="10"/>
        <v>14.315970222665051</v>
      </c>
      <c r="P30" s="827">
        <f t="shared" si="10"/>
        <v>14.315970222665051</v>
      </c>
      <c r="Q30" s="827">
        <f t="shared" si="10"/>
        <v>14.315970222665051</v>
      </c>
      <c r="R30" s="827">
        <f t="shared" si="10"/>
        <v>14.315970222665051</v>
      </c>
      <c r="S30" s="828">
        <f t="shared" ref="S30:S40" si="11">SUM(G30:R30)</f>
        <v>157.47567244931551</v>
      </c>
    </row>
    <row r="31" spans="1:19">
      <c r="A31" s="822"/>
      <c r="B31" s="823"/>
      <c r="C31" s="825">
        <v>42401</v>
      </c>
      <c r="D31" s="827">
        <v>68.984999999999985</v>
      </c>
      <c r="E31" s="827">
        <f t="shared" ref="E31:E41" si="12">+D31*$B$37</f>
        <v>42.064366888599892</v>
      </c>
      <c r="F31" s="827"/>
      <c r="G31" s="827"/>
      <c r="H31" s="827"/>
      <c r="I31" s="827">
        <f t="shared" ref="I31:R31" si="13">+$D$31*$B$37</f>
        <v>42.064366888599892</v>
      </c>
      <c r="J31" s="827">
        <f t="shared" si="13"/>
        <v>42.064366888599892</v>
      </c>
      <c r="K31" s="827">
        <f t="shared" si="13"/>
        <v>42.064366888599892</v>
      </c>
      <c r="L31" s="827">
        <f t="shared" si="13"/>
        <v>42.064366888599892</v>
      </c>
      <c r="M31" s="827">
        <f t="shared" si="13"/>
        <v>42.064366888599892</v>
      </c>
      <c r="N31" s="827">
        <f t="shared" si="13"/>
        <v>42.064366888599892</v>
      </c>
      <c r="O31" s="827">
        <f t="shared" si="13"/>
        <v>42.064366888599892</v>
      </c>
      <c r="P31" s="827">
        <f t="shared" si="13"/>
        <v>42.064366888599892</v>
      </c>
      <c r="Q31" s="827">
        <f t="shared" si="13"/>
        <v>42.064366888599892</v>
      </c>
      <c r="R31" s="827">
        <f t="shared" si="13"/>
        <v>42.064366888599892</v>
      </c>
      <c r="S31" s="828">
        <f t="shared" si="11"/>
        <v>420.64366888599898</v>
      </c>
    </row>
    <row r="32" spans="1:19">
      <c r="A32" s="822"/>
      <c r="B32" s="823"/>
      <c r="C32" s="825">
        <v>42430</v>
      </c>
      <c r="D32" s="827">
        <v>182.79400000000001</v>
      </c>
      <c r="E32" s="827">
        <f t="shared" si="12"/>
        <v>111.460663637526</v>
      </c>
      <c r="F32" s="827"/>
      <c r="G32" s="827"/>
      <c r="H32" s="827"/>
      <c r="I32" s="827"/>
      <c r="J32" s="827">
        <f t="shared" ref="J32:R32" si="14">+$D$32*$B$37</f>
        <v>111.460663637526</v>
      </c>
      <c r="K32" s="827">
        <f t="shared" si="14"/>
        <v>111.460663637526</v>
      </c>
      <c r="L32" s="827">
        <f t="shared" si="14"/>
        <v>111.460663637526</v>
      </c>
      <c r="M32" s="827">
        <f t="shared" si="14"/>
        <v>111.460663637526</v>
      </c>
      <c r="N32" s="827">
        <f t="shared" si="14"/>
        <v>111.460663637526</v>
      </c>
      <c r="O32" s="827">
        <f t="shared" si="14"/>
        <v>111.460663637526</v>
      </c>
      <c r="P32" s="827">
        <f t="shared" si="14"/>
        <v>111.460663637526</v>
      </c>
      <c r="Q32" s="827">
        <f t="shared" si="14"/>
        <v>111.460663637526</v>
      </c>
      <c r="R32" s="827">
        <f t="shared" si="14"/>
        <v>111.460663637526</v>
      </c>
      <c r="S32" s="828">
        <f t="shared" si="11"/>
        <v>1003.1459727377338</v>
      </c>
    </row>
    <row r="33" spans="1:19">
      <c r="A33" s="822"/>
      <c r="B33" s="823"/>
      <c r="C33" s="825">
        <v>42461</v>
      </c>
      <c r="D33" s="827">
        <v>90.503000000000014</v>
      </c>
      <c r="E33" s="827">
        <f t="shared" si="12"/>
        <v>55.185205428991196</v>
      </c>
      <c r="F33" s="827"/>
      <c r="G33" s="827"/>
      <c r="H33" s="827"/>
      <c r="I33" s="827"/>
      <c r="J33" s="827"/>
      <c r="K33" s="827">
        <f t="shared" ref="K33:R33" si="15">+$D$33*$B$37</f>
        <v>55.185205428991196</v>
      </c>
      <c r="L33" s="827">
        <f t="shared" si="15"/>
        <v>55.185205428991196</v>
      </c>
      <c r="M33" s="827">
        <f t="shared" si="15"/>
        <v>55.185205428991196</v>
      </c>
      <c r="N33" s="827">
        <f t="shared" si="15"/>
        <v>55.185205428991196</v>
      </c>
      <c r="O33" s="827">
        <f t="shared" si="15"/>
        <v>55.185205428991196</v>
      </c>
      <c r="P33" s="827">
        <f t="shared" si="15"/>
        <v>55.185205428991196</v>
      </c>
      <c r="Q33" s="827">
        <f t="shared" si="15"/>
        <v>55.185205428991196</v>
      </c>
      <c r="R33" s="827">
        <f t="shared" si="15"/>
        <v>55.185205428991196</v>
      </c>
      <c r="S33" s="828">
        <f t="shared" si="11"/>
        <v>441.48164343192957</v>
      </c>
    </row>
    <row r="34" spans="1:19">
      <c r="A34" s="822"/>
      <c r="B34" s="823"/>
      <c r="C34" s="825">
        <v>42491</v>
      </c>
      <c r="D34" s="827">
        <v>60.034000000000006</v>
      </c>
      <c r="E34" s="827">
        <f t="shared" si="12"/>
        <v>36.606395619195574</v>
      </c>
      <c r="F34" s="827"/>
      <c r="G34" s="827"/>
      <c r="H34" s="827"/>
      <c r="I34" s="827"/>
      <c r="J34" s="827"/>
      <c r="K34" s="827"/>
      <c r="L34" s="827">
        <f t="shared" ref="L34:R34" si="16">+$D$34*$B$37</f>
        <v>36.606395619195574</v>
      </c>
      <c r="M34" s="827">
        <f t="shared" si="16"/>
        <v>36.606395619195574</v>
      </c>
      <c r="N34" s="827">
        <f t="shared" si="16"/>
        <v>36.606395619195574</v>
      </c>
      <c r="O34" s="827">
        <f t="shared" si="16"/>
        <v>36.606395619195574</v>
      </c>
      <c r="P34" s="827">
        <f t="shared" si="16"/>
        <v>36.606395619195574</v>
      </c>
      <c r="Q34" s="827">
        <f t="shared" si="16"/>
        <v>36.606395619195574</v>
      </c>
      <c r="R34" s="827">
        <f t="shared" si="16"/>
        <v>36.606395619195574</v>
      </c>
      <c r="S34" s="828">
        <f t="shared" si="11"/>
        <v>256.24476933436904</v>
      </c>
    </row>
    <row r="35" spans="1:19">
      <c r="A35" s="822"/>
      <c r="B35" s="823"/>
      <c r="C35" s="825">
        <v>42522</v>
      </c>
      <c r="D35" s="827">
        <v>42.72</v>
      </c>
      <c r="E35" s="827">
        <f t="shared" si="12"/>
        <v>26.04899258506904</v>
      </c>
      <c r="F35" s="827"/>
      <c r="G35" s="827"/>
      <c r="H35" s="827"/>
      <c r="I35" s="827"/>
      <c r="J35" s="827"/>
      <c r="K35" s="827"/>
      <c r="L35" s="827"/>
      <c r="M35" s="827">
        <f t="shared" ref="M35:R35" si="17">+$D$35*$B$37</f>
        <v>26.04899258506904</v>
      </c>
      <c r="N35" s="827">
        <f t="shared" si="17"/>
        <v>26.04899258506904</v>
      </c>
      <c r="O35" s="827">
        <f t="shared" si="17"/>
        <v>26.04899258506904</v>
      </c>
      <c r="P35" s="827">
        <f t="shared" si="17"/>
        <v>26.04899258506904</v>
      </c>
      <c r="Q35" s="827">
        <f t="shared" si="17"/>
        <v>26.04899258506904</v>
      </c>
      <c r="R35" s="827">
        <f t="shared" si="17"/>
        <v>26.04899258506904</v>
      </c>
      <c r="S35" s="828">
        <f t="shared" si="11"/>
        <v>156.29395551041424</v>
      </c>
    </row>
    <row r="36" spans="1:19">
      <c r="A36" s="822"/>
      <c r="B36" s="823"/>
      <c r="C36" s="825">
        <v>42552</v>
      </c>
      <c r="D36" s="827">
        <v>0</v>
      </c>
      <c r="E36" s="827">
        <f t="shared" si="12"/>
        <v>0</v>
      </c>
      <c r="F36" s="827"/>
      <c r="G36" s="827"/>
      <c r="H36" s="827"/>
      <c r="I36" s="827"/>
      <c r="J36" s="827"/>
      <c r="K36" s="827"/>
      <c r="L36" s="827"/>
      <c r="M36" s="827"/>
      <c r="N36" s="827">
        <f>+$D$36*$B$37</f>
        <v>0</v>
      </c>
      <c r="O36" s="827">
        <f>+$D$36*$B$37</f>
        <v>0</v>
      </c>
      <c r="P36" s="827">
        <f>+$D$36*$B$37</f>
        <v>0</v>
      </c>
      <c r="Q36" s="827">
        <f>+$D$36*$B$37</f>
        <v>0</v>
      </c>
      <c r="R36" s="827">
        <f>+$D$36*$B$37</f>
        <v>0</v>
      </c>
      <c r="S36" s="828">
        <f t="shared" si="11"/>
        <v>0</v>
      </c>
    </row>
    <row r="37" spans="1:19">
      <c r="A37" s="822" t="s">
        <v>724</v>
      </c>
      <c r="B37" s="829">
        <v>0.60976106238457495</v>
      </c>
      <c r="C37" s="825">
        <v>42583</v>
      </c>
      <c r="D37" s="827">
        <v>12.596999999999998</v>
      </c>
      <c r="E37" s="827">
        <f t="shared" si="12"/>
        <v>7.681160102858489</v>
      </c>
      <c r="F37" s="827"/>
      <c r="G37" s="827"/>
      <c r="H37" s="827"/>
      <c r="I37" s="827"/>
      <c r="J37" s="827"/>
      <c r="K37" s="827"/>
      <c r="L37" s="827"/>
      <c r="M37" s="827"/>
      <c r="N37" s="827"/>
      <c r="O37" s="827">
        <f>+$D$37*$B$37</f>
        <v>7.681160102858489</v>
      </c>
      <c r="P37" s="827">
        <f>+$D$37*$B$37</f>
        <v>7.681160102858489</v>
      </c>
      <c r="Q37" s="827">
        <f>+$D$37*$B$37</f>
        <v>7.681160102858489</v>
      </c>
      <c r="R37" s="827">
        <f>+$D$37*$B$37</f>
        <v>7.681160102858489</v>
      </c>
      <c r="S37" s="828">
        <f t="shared" si="11"/>
        <v>30.724640411433956</v>
      </c>
    </row>
    <row r="38" spans="1:19">
      <c r="A38" s="822"/>
      <c r="B38" s="823"/>
      <c r="C38" s="825">
        <v>42614</v>
      </c>
      <c r="D38" s="827">
        <v>32.679999999999993</v>
      </c>
      <c r="E38" s="827">
        <f t="shared" si="12"/>
        <v>19.926991518727906</v>
      </c>
      <c r="F38" s="827"/>
      <c r="G38" s="827"/>
      <c r="H38" s="827"/>
      <c r="I38" s="827"/>
      <c r="J38" s="827"/>
      <c r="K38" s="827"/>
      <c r="L38" s="827"/>
      <c r="M38" s="827"/>
      <c r="N38" s="827"/>
      <c r="O38" s="827"/>
      <c r="P38" s="827">
        <f>+$D$38*$B$37</f>
        <v>19.926991518727906</v>
      </c>
      <c r="Q38" s="827">
        <f>+$D$38*$B$37</f>
        <v>19.926991518727906</v>
      </c>
      <c r="R38" s="827">
        <f>+$D$38*$B$37</f>
        <v>19.926991518727906</v>
      </c>
      <c r="S38" s="828">
        <f t="shared" si="11"/>
        <v>59.780974556183722</v>
      </c>
    </row>
    <row r="39" spans="1:19">
      <c r="A39" s="822"/>
      <c r="B39" s="823"/>
      <c r="C39" s="825">
        <v>42644</v>
      </c>
      <c r="D39" s="827">
        <v>67.197999999999993</v>
      </c>
      <c r="E39" s="827">
        <f t="shared" si="12"/>
        <v>40.974723870118666</v>
      </c>
      <c r="F39" s="827"/>
      <c r="G39" s="827"/>
      <c r="H39" s="827"/>
      <c r="I39" s="827"/>
      <c r="J39" s="827"/>
      <c r="K39" s="827"/>
      <c r="L39" s="827"/>
      <c r="M39" s="827"/>
      <c r="N39" s="827"/>
      <c r="O39" s="827"/>
      <c r="P39" s="827"/>
      <c r="Q39" s="827">
        <f>+$D$39*$B$37</f>
        <v>40.974723870118666</v>
      </c>
      <c r="R39" s="827">
        <f>+$D$39*$B$37</f>
        <v>40.974723870118666</v>
      </c>
      <c r="S39" s="828">
        <f t="shared" si="11"/>
        <v>81.949447740237332</v>
      </c>
    </row>
    <row r="40" spans="1:19">
      <c r="A40" s="822"/>
      <c r="B40" s="823"/>
      <c r="C40" s="825">
        <v>42675</v>
      </c>
      <c r="D40" s="827">
        <v>16.966999999999999</v>
      </c>
      <c r="E40" s="827">
        <f t="shared" si="12"/>
        <v>10.345815945479082</v>
      </c>
      <c r="F40" s="827"/>
      <c r="G40" s="827"/>
      <c r="H40" s="827"/>
      <c r="I40" s="827"/>
      <c r="J40" s="827"/>
      <c r="K40" s="827"/>
      <c r="L40" s="827"/>
      <c r="M40" s="827"/>
      <c r="N40" s="827"/>
      <c r="O40" s="827"/>
      <c r="P40" s="827"/>
      <c r="Q40" s="827"/>
      <c r="R40" s="827">
        <f>+$D$40*$B$37</f>
        <v>10.345815945479082</v>
      </c>
      <c r="S40" s="828">
        <f t="shared" si="11"/>
        <v>10.345815945479082</v>
      </c>
    </row>
    <row r="41" spans="1:19">
      <c r="A41" s="822"/>
      <c r="B41" s="823"/>
      <c r="C41" s="825">
        <v>42705</v>
      </c>
      <c r="D41" s="827">
        <v>0</v>
      </c>
      <c r="E41" s="827">
        <f t="shared" si="12"/>
        <v>0</v>
      </c>
      <c r="F41" s="827"/>
      <c r="G41" s="827"/>
      <c r="H41" s="827"/>
      <c r="I41" s="827"/>
      <c r="J41" s="827"/>
      <c r="K41" s="827"/>
      <c r="L41" s="827"/>
      <c r="M41" s="827"/>
      <c r="N41" s="827"/>
      <c r="O41" s="827"/>
      <c r="P41" s="827"/>
      <c r="Q41" s="827"/>
      <c r="R41" s="827"/>
      <c r="S41" s="828">
        <f>SUM(G41:R41)</f>
        <v>0</v>
      </c>
    </row>
    <row r="42" spans="1:19">
      <c r="A42" s="822"/>
      <c r="B42" s="823"/>
      <c r="C42" s="823"/>
      <c r="D42" s="827"/>
      <c r="E42" s="827"/>
      <c r="F42" s="827"/>
      <c r="G42" s="827"/>
      <c r="H42" s="827"/>
      <c r="I42" s="827"/>
      <c r="J42" s="827"/>
      <c r="K42" s="827"/>
      <c r="L42" s="827"/>
      <c r="M42" s="827"/>
      <c r="N42" s="827"/>
      <c r="O42" s="827"/>
      <c r="P42" s="827"/>
      <c r="Q42" s="827"/>
      <c r="R42" s="827"/>
      <c r="S42" s="836"/>
    </row>
    <row r="43" spans="1:19">
      <c r="A43" s="822"/>
      <c r="B43" s="823"/>
      <c r="C43" s="823" t="s">
        <v>722</v>
      </c>
      <c r="D43" s="823"/>
      <c r="E43" s="823"/>
      <c r="F43" s="833" t="s">
        <v>28</v>
      </c>
      <c r="G43" s="837">
        <f>SUM(G30:G41)</f>
        <v>0</v>
      </c>
      <c r="H43" s="837">
        <f t="shared" ref="H43:S43" si="18">SUM(H30:H41)</f>
        <v>14.315970222665051</v>
      </c>
      <c r="I43" s="837">
        <f t="shared" si="18"/>
        <v>56.380337111264943</v>
      </c>
      <c r="J43" s="837">
        <f t="shared" si="18"/>
        <v>167.84100074879095</v>
      </c>
      <c r="K43" s="837">
        <f t="shared" si="18"/>
        <v>223.02620617778214</v>
      </c>
      <c r="L43" s="837">
        <f t="shared" si="18"/>
        <v>259.63260179697772</v>
      </c>
      <c r="M43" s="837">
        <f t="shared" si="18"/>
        <v>285.68159438204674</v>
      </c>
      <c r="N43" s="837">
        <f t="shared" si="18"/>
        <v>285.68159438204674</v>
      </c>
      <c r="O43" s="837">
        <f t="shared" si="18"/>
        <v>293.36275448490522</v>
      </c>
      <c r="P43" s="837">
        <f t="shared" si="18"/>
        <v>313.28974600363313</v>
      </c>
      <c r="Q43" s="837">
        <f t="shared" si="18"/>
        <v>354.26446987375181</v>
      </c>
      <c r="R43" s="837">
        <f t="shared" si="18"/>
        <v>364.61028581923091</v>
      </c>
      <c r="S43" s="838">
        <f t="shared" si="18"/>
        <v>2618.0865610030951</v>
      </c>
    </row>
    <row r="44" spans="1:19" ht="15.75" thickBot="1">
      <c r="A44" s="822"/>
      <c r="B44" s="823"/>
      <c r="C44" s="823"/>
      <c r="D44" s="833" t="s">
        <v>722</v>
      </c>
      <c r="E44" s="833"/>
      <c r="F44" s="823">
        <v>7.0213000000000001</v>
      </c>
      <c r="G44" s="834">
        <f>+G43*$F$44</f>
        <v>0</v>
      </c>
      <c r="H44" s="834">
        <f t="shared" ref="H44:S44" si="19">+H43*$F$44</f>
        <v>100.51672172439812</v>
      </c>
      <c r="I44" s="834">
        <f t="shared" si="19"/>
        <v>395.86326095932458</v>
      </c>
      <c r="J44" s="834">
        <f t="shared" si="19"/>
        <v>1178.4620185574859</v>
      </c>
      <c r="K44" s="834">
        <f t="shared" si="19"/>
        <v>1565.9339014360619</v>
      </c>
      <c r="L44" s="834">
        <f t="shared" si="19"/>
        <v>1822.9583869971198</v>
      </c>
      <c r="M44" s="834">
        <f t="shared" si="19"/>
        <v>2005.8561786346647</v>
      </c>
      <c r="N44" s="834">
        <f t="shared" si="19"/>
        <v>2005.8561786346647</v>
      </c>
      <c r="O44" s="834">
        <f t="shared" si="19"/>
        <v>2059.787908064865</v>
      </c>
      <c r="P44" s="834">
        <f t="shared" si="19"/>
        <v>2199.7012936153092</v>
      </c>
      <c r="Q44" s="834">
        <f t="shared" si="19"/>
        <v>2487.3971223245735</v>
      </c>
      <c r="R44" s="834">
        <f t="shared" si="19"/>
        <v>2560.0381998225662</v>
      </c>
      <c r="S44" s="835">
        <f t="shared" si="19"/>
        <v>18382.371170771032</v>
      </c>
    </row>
    <row r="45" spans="1:19">
      <c r="A45" s="822"/>
      <c r="B45" s="823"/>
      <c r="C45" s="823"/>
      <c r="D45" s="833"/>
      <c r="E45" s="833"/>
      <c r="F45" s="823"/>
      <c r="G45" s="839"/>
      <c r="H45" s="839"/>
      <c r="I45" s="839"/>
      <c r="J45" s="839"/>
      <c r="K45" s="839"/>
      <c r="L45" s="839"/>
      <c r="M45" s="839"/>
      <c r="N45" s="839"/>
      <c r="O45" s="839"/>
      <c r="P45" s="839"/>
      <c r="Q45" s="839"/>
      <c r="R45" s="839"/>
      <c r="S45" s="828"/>
    </row>
    <row r="46" spans="1:19">
      <c r="A46" s="822"/>
      <c r="B46" s="823"/>
      <c r="C46" s="823"/>
      <c r="D46" s="833"/>
      <c r="E46" s="833"/>
      <c r="F46" s="833" t="s">
        <v>28</v>
      </c>
      <c r="G46" s="839">
        <f>+G43+G27</f>
        <v>310.56576252428567</v>
      </c>
      <c r="H46" s="839">
        <f t="shared" ref="H46:S46" si="20">+H43+H27</f>
        <v>324.88173274695072</v>
      </c>
      <c r="I46" s="839">
        <f t="shared" si="20"/>
        <v>366.94609963555064</v>
      </c>
      <c r="J46" s="839">
        <f t="shared" si="20"/>
        <v>478.40676327307665</v>
      </c>
      <c r="K46" s="839">
        <f t="shared" si="20"/>
        <v>533.59196870206779</v>
      </c>
      <c r="L46" s="839">
        <f t="shared" si="20"/>
        <v>570.1983643212634</v>
      </c>
      <c r="M46" s="839">
        <f t="shared" si="20"/>
        <v>596.24735690633247</v>
      </c>
      <c r="N46" s="839">
        <f t="shared" si="20"/>
        <v>596.24735690633247</v>
      </c>
      <c r="O46" s="839">
        <f t="shared" si="20"/>
        <v>603.92851700919095</v>
      </c>
      <c r="P46" s="839">
        <f t="shared" si="20"/>
        <v>623.8555085279188</v>
      </c>
      <c r="Q46" s="839">
        <f t="shared" si="20"/>
        <v>664.83023239803742</v>
      </c>
      <c r="R46" s="839">
        <f t="shared" si="20"/>
        <v>675.17604834351664</v>
      </c>
      <c r="S46" s="828">
        <f t="shared" si="20"/>
        <v>6344.8757112945232</v>
      </c>
    </row>
    <row r="47" spans="1:19" ht="15.75" thickBot="1">
      <c r="A47" s="822"/>
      <c r="B47" s="823"/>
      <c r="C47" s="823"/>
      <c r="D47" s="833"/>
      <c r="E47" s="833"/>
      <c r="F47" s="823">
        <v>7.0213000000000001</v>
      </c>
      <c r="G47" s="840">
        <f>+G44+G28</f>
        <v>2180.5753884117671</v>
      </c>
      <c r="H47" s="840">
        <f t="shared" ref="H47:S47" si="21">+H44+H28</f>
        <v>2281.092110136165</v>
      </c>
      <c r="I47" s="840">
        <f t="shared" si="21"/>
        <v>2576.4386493710917</v>
      </c>
      <c r="J47" s="840">
        <f t="shared" si="21"/>
        <v>3359.037406969253</v>
      </c>
      <c r="K47" s="840">
        <f t="shared" si="21"/>
        <v>3746.5092898478288</v>
      </c>
      <c r="L47" s="840">
        <f t="shared" si="21"/>
        <v>4003.5337754088869</v>
      </c>
      <c r="M47" s="840">
        <f t="shared" si="21"/>
        <v>4186.4315670464321</v>
      </c>
      <c r="N47" s="840">
        <f t="shared" si="21"/>
        <v>4186.4315670464321</v>
      </c>
      <c r="O47" s="840">
        <f t="shared" si="21"/>
        <v>4240.3632964766321</v>
      </c>
      <c r="P47" s="840">
        <f t="shared" si="21"/>
        <v>4380.2766820270763</v>
      </c>
      <c r="Q47" s="840">
        <f t="shared" si="21"/>
        <v>4667.9725107363411</v>
      </c>
      <c r="R47" s="840">
        <f t="shared" si="21"/>
        <v>4740.6135882343333</v>
      </c>
      <c r="S47" s="841">
        <f t="shared" si="21"/>
        <v>44549.275831712235</v>
      </c>
    </row>
    <row r="48" spans="1:19" ht="15.75" thickTop="1">
      <c r="A48" s="842"/>
      <c r="B48" s="843"/>
      <c r="C48" s="843"/>
      <c r="D48" s="843"/>
      <c r="E48" s="843"/>
      <c r="F48" s="843"/>
      <c r="G48" s="843"/>
      <c r="H48" s="843"/>
      <c r="I48" s="843"/>
      <c r="J48" s="843"/>
      <c r="K48" s="843"/>
      <c r="L48" s="843"/>
      <c r="M48" s="843"/>
      <c r="N48" s="843"/>
      <c r="O48" s="843"/>
      <c r="P48" s="843"/>
      <c r="Q48" s="843"/>
      <c r="R48" s="843"/>
      <c r="S48" s="844" t="s">
        <v>722</v>
      </c>
    </row>
    <row r="49" spans="19:19">
      <c r="S49" s="755" t="s">
        <v>722</v>
      </c>
    </row>
  </sheetData>
  <mergeCells count="1">
    <mergeCell ref="G19:S19"/>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selection activeCell="G43" sqref="G43"/>
    </sheetView>
  </sheetViews>
  <sheetFormatPr defaultColWidth="9.140625" defaultRowHeight="15"/>
  <cols>
    <col min="1" max="1" width="9.140625" style="12"/>
    <col min="2" max="2" width="36.85546875" style="722" customWidth="1"/>
    <col min="3" max="3" width="9.140625" style="10"/>
    <col min="4" max="16384" width="9.140625" style="12"/>
  </cols>
  <sheetData>
    <row r="16" spans="2:21" ht="26.25" customHeight="1">
      <c r="B16" s="723" t="s">
        <v>556</v>
      </c>
      <c r="C16" s="853" t="s">
        <v>500</v>
      </c>
      <c r="D16" s="854"/>
      <c r="E16" s="854"/>
      <c r="F16" s="854"/>
      <c r="G16" s="854"/>
      <c r="H16" s="854"/>
      <c r="I16" s="854"/>
      <c r="J16" s="854"/>
      <c r="K16" s="854"/>
      <c r="L16" s="854"/>
      <c r="M16" s="854"/>
      <c r="N16" s="854"/>
      <c r="O16" s="854"/>
      <c r="P16" s="854"/>
      <c r="Q16" s="854"/>
      <c r="R16" s="854"/>
      <c r="S16" s="854"/>
      <c r="T16" s="854"/>
      <c r="U16" s="854"/>
    </row>
    <row r="17" spans="2:21" ht="55.5" customHeight="1">
      <c r="B17" s="724" t="s">
        <v>637</v>
      </c>
      <c r="C17" s="855" t="s">
        <v>638</v>
      </c>
      <c r="D17" s="855"/>
      <c r="E17" s="855"/>
      <c r="F17" s="855"/>
      <c r="G17" s="855"/>
      <c r="H17" s="855"/>
      <c r="I17" s="855"/>
      <c r="J17" s="855"/>
      <c r="K17" s="855"/>
      <c r="L17" s="855"/>
      <c r="M17" s="855"/>
      <c r="N17" s="855"/>
      <c r="O17" s="855"/>
      <c r="P17" s="855"/>
      <c r="Q17" s="855"/>
      <c r="R17" s="855"/>
      <c r="S17" s="855"/>
      <c r="T17" s="855"/>
      <c r="U17" s="856"/>
    </row>
    <row r="18" spans="2:21" ht="15.75">
      <c r="B18" s="725"/>
      <c r="C18" s="726"/>
      <c r="D18" s="727"/>
      <c r="E18" s="727"/>
      <c r="F18" s="727"/>
      <c r="G18" s="727"/>
      <c r="H18" s="727"/>
      <c r="I18" s="727"/>
      <c r="J18" s="727"/>
      <c r="K18" s="727"/>
      <c r="L18" s="727"/>
      <c r="M18" s="727"/>
      <c r="N18" s="727"/>
      <c r="O18" s="727"/>
      <c r="P18" s="727"/>
      <c r="Q18" s="727"/>
      <c r="R18" s="727"/>
      <c r="S18" s="727"/>
      <c r="T18" s="727"/>
      <c r="U18" s="728"/>
    </row>
    <row r="19" spans="2:21" ht="15.75">
      <c r="B19" s="725"/>
      <c r="C19" s="726" t="s">
        <v>642</v>
      </c>
      <c r="D19" s="727"/>
      <c r="E19" s="727"/>
      <c r="F19" s="727"/>
      <c r="G19" s="727"/>
      <c r="H19" s="727"/>
      <c r="I19" s="727"/>
      <c r="J19" s="727"/>
      <c r="K19" s="727"/>
      <c r="L19" s="727"/>
      <c r="M19" s="727"/>
      <c r="N19" s="727"/>
      <c r="O19" s="727"/>
      <c r="P19" s="727"/>
      <c r="Q19" s="727"/>
      <c r="R19" s="727"/>
      <c r="S19" s="727"/>
      <c r="T19" s="727"/>
      <c r="U19" s="728"/>
    </row>
    <row r="20" spans="2:21" ht="15.75">
      <c r="B20" s="725"/>
      <c r="C20" s="726"/>
      <c r="D20" s="727"/>
      <c r="E20" s="727"/>
      <c r="F20" s="727"/>
      <c r="G20" s="727"/>
      <c r="H20" s="727"/>
      <c r="I20" s="727"/>
      <c r="J20" s="727"/>
      <c r="K20" s="727"/>
      <c r="L20" s="727"/>
      <c r="M20" s="727"/>
      <c r="N20" s="727"/>
      <c r="O20" s="727"/>
      <c r="P20" s="727"/>
      <c r="Q20" s="727"/>
      <c r="R20" s="727"/>
      <c r="S20" s="727"/>
      <c r="T20" s="727"/>
      <c r="U20" s="728"/>
    </row>
    <row r="21" spans="2:21" ht="15.75">
      <c r="B21" s="725"/>
      <c r="C21" s="726" t="s">
        <v>639</v>
      </c>
      <c r="D21" s="727"/>
      <c r="E21" s="727"/>
      <c r="F21" s="727"/>
      <c r="G21" s="727"/>
      <c r="H21" s="727"/>
      <c r="I21" s="727"/>
      <c r="J21" s="727"/>
      <c r="K21" s="727"/>
      <c r="L21" s="727"/>
      <c r="M21" s="727"/>
      <c r="N21" s="727"/>
      <c r="O21" s="727"/>
      <c r="P21" s="727"/>
      <c r="Q21" s="727"/>
      <c r="R21" s="727"/>
      <c r="S21" s="727"/>
      <c r="T21" s="727"/>
      <c r="U21" s="728"/>
    </row>
    <row r="22" spans="2:21" ht="15.75">
      <c r="B22" s="725"/>
      <c r="C22" s="726"/>
      <c r="D22" s="727"/>
      <c r="E22" s="727"/>
      <c r="F22" s="727"/>
      <c r="G22" s="727"/>
      <c r="H22" s="727"/>
      <c r="I22" s="727"/>
      <c r="J22" s="727"/>
      <c r="K22" s="727"/>
      <c r="L22" s="727"/>
      <c r="M22" s="727"/>
      <c r="N22" s="727"/>
      <c r="O22" s="727"/>
      <c r="P22" s="727"/>
      <c r="Q22" s="727"/>
      <c r="R22" s="727"/>
      <c r="S22" s="727"/>
      <c r="T22" s="727"/>
      <c r="U22" s="728"/>
    </row>
    <row r="23" spans="2:21" ht="30" customHeight="1">
      <c r="B23" s="725"/>
      <c r="C23" s="849" t="s">
        <v>640</v>
      </c>
      <c r="D23" s="849"/>
      <c r="E23" s="849"/>
      <c r="F23" s="849"/>
      <c r="G23" s="849"/>
      <c r="H23" s="849"/>
      <c r="I23" s="849"/>
      <c r="J23" s="849"/>
      <c r="K23" s="849"/>
      <c r="L23" s="849"/>
      <c r="M23" s="849"/>
      <c r="N23" s="849"/>
      <c r="O23" s="849"/>
      <c r="P23" s="849"/>
      <c r="Q23" s="849"/>
      <c r="R23" s="849"/>
      <c r="S23" s="849"/>
      <c r="T23" s="727"/>
      <c r="U23" s="728"/>
    </row>
    <row r="24" spans="2:21" ht="15.75">
      <c r="B24" s="725"/>
      <c r="C24" s="726"/>
      <c r="D24" s="727"/>
      <c r="E24" s="727"/>
      <c r="F24" s="727"/>
      <c r="G24" s="727"/>
      <c r="H24" s="727"/>
      <c r="I24" s="727"/>
      <c r="J24" s="727"/>
      <c r="K24" s="727"/>
      <c r="L24" s="727"/>
      <c r="M24" s="727"/>
      <c r="N24" s="727"/>
      <c r="O24" s="727"/>
      <c r="P24" s="727"/>
      <c r="Q24" s="727"/>
      <c r="R24" s="727"/>
      <c r="S24" s="727"/>
      <c r="T24" s="727"/>
      <c r="U24" s="728"/>
    </row>
    <row r="25" spans="2:21" ht="15.75">
      <c r="B25" s="725"/>
      <c r="C25" s="726" t="s">
        <v>643</v>
      </c>
      <c r="D25" s="727"/>
      <c r="E25" s="727"/>
      <c r="F25" s="727"/>
      <c r="G25" s="727"/>
      <c r="H25" s="727"/>
      <c r="I25" s="727"/>
      <c r="J25" s="727"/>
      <c r="K25" s="727"/>
      <c r="L25" s="727"/>
      <c r="M25" s="727"/>
      <c r="N25" s="727"/>
      <c r="O25" s="727"/>
      <c r="P25" s="727"/>
      <c r="Q25" s="727"/>
      <c r="R25" s="727"/>
      <c r="S25" s="727"/>
      <c r="T25" s="727"/>
      <c r="U25" s="728"/>
    </row>
    <row r="26" spans="2:21" ht="15.75">
      <c r="B26" s="725"/>
      <c r="C26" s="726"/>
      <c r="D26" s="727"/>
      <c r="E26" s="727"/>
      <c r="F26" s="727"/>
      <c r="G26" s="727"/>
      <c r="H26" s="727"/>
      <c r="I26" s="727"/>
      <c r="J26" s="727"/>
      <c r="K26" s="727"/>
      <c r="L26" s="727"/>
      <c r="M26" s="727"/>
      <c r="N26" s="727"/>
      <c r="O26" s="727"/>
      <c r="P26" s="727"/>
      <c r="Q26" s="727"/>
      <c r="R26" s="727"/>
      <c r="S26" s="727"/>
      <c r="T26" s="727"/>
      <c r="U26" s="728"/>
    </row>
    <row r="27" spans="2:21" ht="31.5" customHeight="1">
      <c r="B27" s="725"/>
      <c r="C27" s="849" t="s">
        <v>641</v>
      </c>
      <c r="D27" s="849"/>
      <c r="E27" s="849"/>
      <c r="F27" s="849"/>
      <c r="G27" s="849"/>
      <c r="H27" s="849"/>
      <c r="I27" s="849"/>
      <c r="J27" s="849"/>
      <c r="K27" s="849"/>
      <c r="L27" s="849"/>
      <c r="M27" s="849"/>
      <c r="N27" s="849"/>
      <c r="O27" s="849"/>
      <c r="P27" s="849"/>
      <c r="Q27" s="849"/>
      <c r="R27" s="849"/>
      <c r="S27" s="849"/>
      <c r="T27" s="849"/>
      <c r="U27" s="850"/>
    </row>
    <row r="28" spans="2:21" ht="15.75">
      <c r="B28" s="725"/>
      <c r="C28" s="726"/>
      <c r="D28" s="727"/>
      <c r="E28" s="727"/>
      <c r="F28" s="727"/>
      <c r="G28" s="727"/>
      <c r="H28" s="727"/>
      <c r="I28" s="727"/>
      <c r="J28" s="727"/>
      <c r="K28" s="727"/>
      <c r="L28" s="727"/>
      <c r="M28" s="727"/>
      <c r="N28" s="727"/>
      <c r="O28" s="727"/>
      <c r="P28" s="727"/>
      <c r="Q28" s="727"/>
      <c r="R28" s="727"/>
      <c r="S28" s="727"/>
      <c r="T28" s="727"/>
      <c r="U28" s="728"/>
    </row>
    <row r="29" spans="2:21" ht="31.5" customHeight="1">
      <c r="B29" s="725"/>
      <c r="C29" s="849" t="s">
        <v>644</v>
      </c>
      <c r="D29" s="849"/>
      <c r="E29" s="849"/>
      <c r="F29" s="849"/>
      <c r="G29" s="849"/>
      <c r="H29" s="849"/>
      <c r="I29" s="849"/>
      <c r="J29" s="849"/>
      <c r="K29" s="849"/>
      <c r="L29" s="849"/>
      <c r="M29" s="849"/>
      <c r="N29" s="849"/>
      <c r="O29" s="849"/>
      <c r="P29" s="849"/>
      <c r="Q29" s="849"/>
      <c r="R29" s="849"/>
      <c r="S29" s="849"/>
      <c r="T29" s="849"/>
      <c r="U29" s="850"/>
    </row>
    <row r="30" spans="2:21" ht="15.75">
      <c r="B30" s="725"/>
      <c r="C30" s="726"/>
      <c r="D30" s="727"/>
      <c r="E30" s="727"/>
      <c r="F30" s="727"/>
      <c r="G30" s="727"/>
      <c r="H30" s="727"/>
      <c r="I30" s="727"/>
      <c r="J30" s="727"/>
      <c r="K30" s="727"/>
      <c r="L30" s="727"/>
      <c r="M30" s="727"/>
      <c r="N30" s="727"/>
      <c r="O30" s="727"/>
      <c r="P30" s="727"/>
      <c r="Q30" s="727"/>
      <c r="R30" s="727"/>
      <c r="S30" s="727"/>
      <c r="T30" s="727"/>
      <c r="U30" s="728"/>
    </row>
    <row r="31" spans="2:21" ht="15.75">
      <c r="B31" s="725"/>
      <c r="C31" s="726" t="s">
        <v>645</v>
      </c>
      <c r="D31" s="727"/>
      <c r="E31" s="727"/>
      <c r="F31" s="727"/>
      <c r="G31" s="727"/>
      <c r="H31" s="727"/>
      <c r="I31" s="727"/>
      <c r="J31" s="727"/>
      <c r="K31" s="727"/>
      <c r="L31" s="727"/>
      <c r="M31" s="727"/>
      <c r="N31" s="727"/>
      <c r="O31" s="727"/>
      <c r="P31" s="727"/>
      <c r="Q31" s="727"/>
      <c r="R31" s="727"/>
      <c r="S31" s="727"/>
      <c r="T31" s="727"/>
      <c r="U31" s="728"/>
    </row>
    <row r="32" spans="2:21" ht="15.75">
      <c r="B32" s="729"/>
      <c r="C32" s="730"/>
      <c r="D32" s="731"/>
      <c r="E32" s="731"/>
      <c r="F32" s="731"/>
      <c r="G32" s="731"/>
      <c r="H32" s="731"/>
      <c r="I32" s="731"/>
      <c r="J32" s="731"/>
      <c r="K32" s="731"/>
      <c r="L32" s="731"/>
      <c r="M32" s="731"/>
      <c r="N32" s="731"/>
      <c r="O32" s="731"/>
      <c r="P32" s="731"/>
      <c r="Q32" s="731"/>
      <c r="R32" s="731"/>
      <c r="S32" s="731"/>
      <c r="T32" s="731"/>
      <c r="U32" s="732"/>
    </row>
    <row r="33" spans="2:21" ht="39" customHeight="1">
      <c r="B33" s="733" t="s">
        <v>646</v>
      </c>
      <c r="C33" s="857" t="s">
        <v>647</v>
      </c>
      <c r="D33" s="857"/>
      <c r="E33" s="857"/>
      <c r="F33" s="857"/>
      <c r="G33" s="857"/>
      <c r="H33" s="857"/>
      <c r="I33" s="857"/>
      <c r="J33" s="857"/>
      <c r="K33" s="857"/>
      <c r="L33" s="857"/>
      <c r="M33" s="857"/>
      <c r="N33" s="857"/>
      <c r="O33" s="857"/>
      <c r="P33" s="857"/>
      <c r="Q33" s="857"/>
      <c r="R33" s="857"/>
      <c r="S33" s="857"/>
      <c r="T33" s="857"/>
      <c r="U33" s="858"/>
    </row>
    <row r="34" spans="2:21">
      <c r="B34" s="734"/>
      <c r="C34" s="735"/>
      <c r="D34" s="735"/>
      <c r="E34" s="735"/>
      <c r="F34" s="735"/>
      <c r="G34" s="735"/>
      <c r="H34" s="735"/>
      <c r="I34" s="735"/>
      <c r="J34" s="735"/>
      <c r="K34" s="735"/>
      <c r="L34" s="735"/>
      <c r="M34" s="735"/>
      <c r="N34" s="735"/>
      <c r="O34" s="735"/>
      <c r="P34" s="735"/>
      <c r="Q34" s="735"/>
      <c r="R34" s="735"/>
      <c r="S34" s="735"/>
      <c r="T34" s="735"/>
      <c r="U34" s="736"/>
    </row>
    <row r="35" spans="2:21" ht="15.75">
      <c r="B35" s="737" t="s">
        <v>648</v>
      </c>
      <c r="C35" s="738" t="s">
        <v>649</v>
      </c>
      <c r="D35" s="727"/>
      <c r="E35" s="727"/>
      <c r="F35" s="727"/>
      <c r="G35" s="727"/>
      <c r="H35" s="727"/>
      <c r="I35" s="727"/>
      <c r="J35" s="727"/>
      <c r="K35" s="727"/>
      <c r="L35" s="727"/>
      <c r="M35" s="727"/>
      <c r="N35" s="727"/>
      <c r="O35" s="727"/>
      <c r="P35" s="727"/>
      <c r="Q35" s="727"/>
      <c r="R35" s="727"/>
      <c r="S35" s="727"/>
      <c r="T35" s="727"/>
      <c r="U35" s="728"/>
    </row>
    <row r="36" spans="2:21">
      <c r="B36" s="739"/>
      <c r="C36" s="731"/>
      <c r="D36" s="731"/>
      <c r="E36" s="731"/>
      <c r="F36" s="731"/>
      <c r="G36" s="731"/>
      <c r="H36" s="731"/>
      <c r="I36" s="731"/>
      <c r="J36" s="731"/>
      <c r="K36" s="731"/>
      <c r="L36" s="731"/>
      <c r="M36" s="731"/>
      <c r="N36" s="731"/>
      <c r="O36" s="731"/>
      <c r="P36" s="731"/>
      <c r="Q36" s="731"/>
      <c r="R36" s="731"/>
      <c r="S36" s="731"/>
      <c r="T36" s="731"/>
      <c r="U36" s="732"/>
    </row>
    <row r="37" spans="2:21" ht="34.5" customHeight="1">
      <c r="B37" s="724" t="s">
        <v>650</v>
      </c>
      <c r="C37" s="851" t="s">
        <v>651</v>
      </c>
      <c r="D37" s="851"/>
      <c r="E37" s="851"/>
      <c r="F37" s="851"/>
      <c r="G37" s="851"/>
      <c r="H37" s="851"/>
      <c r="I37" s="851"/>
      <c r="J37" s="851"/>
      <c r="K37" s="851"/>
      <c r="L37" s="851"/>
      <c r="M37" s="851"/>
      <c r="N37" s="851"/>
      <c r="O37" s="851"/>
      <c r="P37" s="851"/>
      <c r="Q37" s="851"/>
      <c r="R37" s="851"/>
      <c r="S37" s="851"/>
      <c r="T37" s="851"/>
      <c r="U37" s="852"/>
    </row>
    <row r="38" spans="2:21">
      <c r="B38" s="739"/>
      <c r="C38" s="731"/>
      <c r="D38" s="731"/>
      <c r="E38" s="731"/>
      <c r="F38" s="731"/>
      <c r="G38" s="731"/>
      <c r="H38" s="731"/>
      <c r="I38" s="731"/>
      <c r="J38" s="731"/>
      <c r="K38" s="731"/>
      <c r="L38" s="731"/>
      <c r="M38" s="731"/>
      <c r="N38" s="731"/>
      <c r="O38" s="731"/>
      <c r="P38" s="731"/>
      <c r="Q38" s="731"/>
      <c r="R38" s="731"/>
      <c r="S38" s="731"/>
      <c r="T38" s="731"/>
      <c r="U38" s="732"/>
    </row>
    <row r="39" spans="2:21" ht="15.75">
      <c r="B39" s="724" t="s">
        <v>652</v>
      </c>
      <c r="C39" s="740" t="s">
        <v>653</v>
      </c>
      <c r="D39" s="735"/>
      <c r="E39" s="735"/>
      <c r="F39" s="735"/>
      <c r="G39" s="735"/>
      <c r="H39" s="735"/>
      <c r="I39" s="735"/>
      <c r="J39" s="735"/>
      <c r="K39" s="735"/>
      <c r="L39" s="735"/>
      <c r="M39" s="735"/>
      <c r="N39" s="735"/>
      <c r="O39" s="735"/>
      <c r="P39" s="735"/>
      <c r="Q39" s="735"/>
      <c r="R39" s="735"/>
      <c r="S39" s="735"/>
      <c r="T39" s="735"/>
      <c r="U39" s="736"/>
    </row>
    <row r="40" spans="2:21">
      <c r="B40" s="739"/>
      <c r="C40" s="731"/>
      <c r="D40" s="731"/>
      <c r="E40" s="731"/>
      <c r="F40" s="731"/>
      <c r="G40" s="731"/>
      <c r="H40" s="731"/>
      <c r="I40" s="731"/>
      <c r="J40" s="731"/>
      <c r="K40" s="731"/>
      <c r="L40" s="731"/>
      <c r="M40" s="731"/>
      <c r="N40" s="731"/>
      <c r="O40" s="731"/>
      <c r="P40" s="731"/>
      <c r="Q40" s="731"/>
      <c r="R40" s="731"/>
      <c r="S40" s="731"/>
      <c r="T40" s="731"/>
      <c r="U40" s="732"/>
    </row>
    <row r="41" spans="2:21" ht="38.25" customHeight="1">
      <c r="B41" s="733" t="s">
        <v>654</v>
      </c>
      <c r="C41" s="859" t="s">
        <v>655</v>
      </c>
      <c r="D41" s="859"/>
      <c r="E41" s="859"/>
      <c r="F41" s="859"/>
      <c r="G41" s="859"/>
      <c r="H41" s="859"/>
      <c r="I41" s="859"/>
      <c r="J41" s="859"/>
      <c r="K41" s="859"/>
      <c r="L41" s="859"/>
      <c r="M41" s="859"/>
      <c r="N41" s="859"/>
      <c r="O41" s="859"/>
      <c r="P41" s="859"/>
      <c r="Q41" s="859"/>
      <c r="R41" s="859"/>
      <c r="S41" s="859"/>
      <c r="T41" s="859"/>
      <c r="U41" s="860"/>
    </row>
    <row r="42" spans="2:21">
      <c r="B42" s="741"/>
      <c r="C42" s="735"/>
      <c r="D42" s="735"/>
      <c r="E42" s="735"/>
      <c r="F42" s="735"/>
      <c r="G42" s="735"/>
      <c r="H42" s="735"/>
      <c r="I42" s="735"/>
      <c r="J42" s="735"/>
      <c r="K42" s="735"/>
      <c r="L42" s="735"/>
      <c r="M42" s="735"/>
      <c r="N42" s="735"/>
      <c r="O42" s="735"/>
      <c r="P42" s="735"/>
      <c r="Q42" s="735"/>
      <c r="R42" s="735"/>
      <c r="S42" s="735"/>
      <c r="T42" s="735"/>
      <c r="U42" s="736"/>
    </row>
    <row r="43" spans="2:21" ht="15.75">
      <c r="B43" s="737" t="s">
        <v>656</v>
      </c>
      <c r="C43" s="738" t="s">
        <v>657</v>
      </c>
      <c r="D43" s="727"/>
      <c r="E43" s="727"/>
      <c r="F43" s="727"/>
      <c r="G43" s="727"/>
      <c r="H43" s="727"/>
      <c r="I43" s="727"/>
      <c r="J43" s="727"/>
      <c r="K43" s="727"/>
      <c r="L43" s="727"/>
      <c r="M43" s="727"/>
      <c r="N43" s="727"/>
      <c r="O43" s="727"/>
      <c r="P43" s="727"/>
      <c r="Q43" s="727"/>
      <c r="R43" s="727"/>
      <c r="S43" s="727"/>
      <c r="T43" s="727"/>
      <c r="U43" s="728"/>
    </row>
    <row r="44" spans="2:21">
      <c r="B44" s="742"/>
      <c r="C44" s="727"/>
      <c r="D44" s="727"/>
      <c r="E44" s="727"/>
      <c r="F44" s="727"/>
      <c r="G44" s="727"/>
      <c r="H44" s="727"/>
      <c r="I44" s="727"/>
      <c r="J44" s="727"/>
      <c r="K44" s="727"/>
      <c r="L44" s="727"/>
      <c r="M44" s="727"/>
      <c r="N44" s="727"/>
      <c r="O44" s="727"/>
      <c r="P44" s="727"/>
      <c r="Q44" s="727"/>
      <c r="R44" s="727"/>
      <c r="S44" s="727"/>
      <c r="T44" s="727"/>
      <c r="U44" s="728"/>
    </row>
    <row r="45" spans="2:21" ht="36" customHeight="1">
      <c r="B45" s="742"/>
      <c r="C45" s="847" t="s">
        <v>661</v>
      </c>
      <c r="D45" s="847"/>
      <c r="E45" s="847"/>
      <c r="F45" s="847"/>
      <c r="G45" s="847"/>
      <c r="H45" s="847"/>
      <c r="I45" s="847"/>
      <c r="J45" s="847"/>
      <c r="K45" s="847"/>
      <c r="L45" s="847"/>
      <c r="M45" s="847"/>
      <c r="N45" s="847"/>
      <c r="O45" s="847"/>
      <c r="P45" s="847"/>
      <c r="Q45" s="847"/>
      <c r="R45" s="847"/>
      <c r="S45" s="847"/>
      <c r="T45" s="847"/>
      <c r="U45" s="848"/>
    </row>
    <row r="46" spans="2:21">
      <c r="B46" s="742"/>
      <c r="C46" s="743"/>
      <c r="D46" s="727"/>
      <c r="E46" s="727"/>
      <c r="F46" s="727"/>
      <c r="G46" s="727"/>
      <c r="H46" s="727"/>
      <c r="I46" s="727"/>
      <c r="J46" s="727"/>
      <c r="K46" s="727"/>
      <c r="L46" s="727"/>
      <c r="M46" s="727"/>
      <c r="N46" s="727"/>
      <c r="O46" s="727"/>
      <c r="P46" s="727"/>
      <c r="Q46" s="727"/>
      <c r="R46" s="727"/>
      <c r="S46" s="727"/>
      <c r="T46" s="727"/>
      <c r="U46" s="728"/>
    </row>
    <row r="47" spans="2:21" ht="35.25" customHeight="1">
      <c r="B47" s="742"/>
      <c r="C47" s="847" t="s">
        <v>658</v>
      </c>
      <c r="D47" s="847"/>
      <c r="E47" s="847"/>
      <c r="F47" s="847"/>
      <c r="G47" s="847"/>
      <c r="H47" s="847"/>
      <c r="I47" s="847"/>
      <c r="J47" s="847"/>
      <c r="K47" s="847"/>
      <c r="L47" s="847"/>
      <c r="M47" s="847"/>
      <c r="N47" s="847"/>
      <c r="O47" s="847"/>
      <c r="P47" s="847"/>
      <c r="Q47" s="847"/>
      <c r="R47" s="847"/>
      <c r="S47" s="847"/>
      <c r="T47" s="847"/>
      <c r="U47" s="848"/>
    </row>
    <row r="48" spans="2:21">
      <c r="B48" s="742"/>
      <c r="C48" s="743"/>
      <c r="D48" s="727"/>
      <c r="E48" s="727"/>
      <c r="F48" s="727"/>
      <c r="G48" s="727"/>
      <c r="H48" s="727"/>
      <c r="I48" s="727"/>
      <c r="J48" s="727"/>
      <c r="K48" s="727"/>
      <c r="L48" s="727"/>
      <c r="M48" s="727"/>
      <c r="N48" s="727"/>
      <c r="O48" s="727"/>
      <c r="P48" s="727"/>
      <c r="Q48" s="727"/>
      <c r="R48" s="727"/>
      <c r="S48" s="727"/>
      <c r="T48" s="727"/>
      <c r="U48" s="728"/>
    </row>
    <row r="49" spans="2:21" ht="40.5" customHeight="1">
      <c r="B49" s="742"/>
      <c r="C49" s="847" t="s">
        <v>659</v>
      </c>
      <c r="D49" s="847"/>
      <c r="E49" s="847"/>
      <c r="F49" s="847"/>
      <c r="G49" s="847"/>
      <c r="H49" s="847"/>
      <c r="I49" s="847"/>
      <c r="J49" s="847"/>
      <c r="K49" s="847"/>
      <c r="L49" s="847"/>
      <c r="M49" s="847"/>
      <c r="N49" s="847"/>
      <c r="O49" s="847"/>
      <c r="P49" s="847"/>
      <c r="Q49" s="847"/>
      <c r="R49" s="847"/>
      <c r="S49" s="847"/>
      <c r="T49" s="847"/>
      <c r="U49" s="848"/>
    </row>
    <row r="50" spans="2:21">
      <c r="B50" s="742"/>
      <c r="C50" s="743"/>
      <c r="D50" s="727"/>
      <c r="E50" s="727"/>
      <c r="F50" s="727"/>
      <c r="G50" s="727"/>
      <c r="H50" s="727"/>
      <c r="I50" s="727"/>
      <c r="J50" s="727"/>
      <c r="K50" s="727"/>
      <c r="L50" s="727"/>
      <c r="M50" s="727"/>
      <c r="N50" s="727"/>
      <c r="O50" s="727"/>
      <c r="P50" s="727"/>
      <c r="Q50" s="727"/>
      <c r="R50" s="727"/>
      <c r="S50" s="727"/>
      <c r="T50" s="727"/>
      <c r="U50" s="728"/>
    </row>
    <row r="51" spans="2:21" ht="30" customHeight="1">
      <c r="B51" s="742"/>
      <c r="C51" s="847" t="s">
        <v>660</v>
      </c>
      <c r="D51" s="847"/>
      <c r="E51" s="847"/>
      <c r="F51" s="847"/>
      <c r="G51" s="847"/>
      <c r="H51" s="847"/>
      <c r="I51" s="847"/>
      <c r="J51" s="847"/>
      <c r="K51" s="847"/>
      <c r="L51" s="847"/>
      <c r="M51" s="847"/>
      <c r="N51" s="847"/>
      <c r="O51" s="847"/>
      <c r="P51" s="847"/>
      <c r="Q51" s="847"/>
      <c r="R51" s="847"/>
      <c r="S51" s="847"/>
      <c r="T51" s="847"/>
      <c r="U51" s="848"/>
    </row>
    <row r="52" spans="2:21" ht="15.75">
      <c r="B52" s="742"/>
      <c r="C52" s="726"/>
      <c r="D52" s="727"/>
      <c r="E52" s="727"/>
      <c r="F52" s="727"/>
      <c r="G52" s="727"/>
      <c r="H52" s="727"/>
      <c r="I52" s="727"/>
      <c r="J52" s="727"/>
      <c r="K52" s="727"/>
      <c r="L52" s="727"/>
      <c r="M52" s="727"/>
      <c r="N52" s="727"/>
      <c r="O52" s="727"/>
      <c r="P52" s="727"/>
      <c r="Q52" s="727"/>
      <c r="R52" s="727"/>
      <c r="S52" s="727"/>
      <c r="T52" s="727"/>
      <c r="U52" s="728"/>
    </row>
    <row r="53" spans="2:21" ht="31.5" customHeight="1">
      <c r="B53" s="742"/>
      <c r="C53" s="849" t="s">
        <v>662</v>
      </c>
      <c r="D53" s="849"/>
      <c r="E53" s="849"/>
      <c r="F53" s="849"/>
      <c r="G53" s="849"/>
      <c r="H53" s="849"/>
      <c r="I53" s="849"/>
      <c r="J53" s="849"/>
      <c r="K53" s="849"/>
      <c r="L53" s="849"/>
      <c r="M53" s="849"/>
      <c r="N53" s="849"/>
      <c r="O53" s="849"/>
      <c r="P53" s="849"/>
      <c r="Q53" s="849"/>
      <c r="R53" s="849"/>
      <c r="S53" s="849"/>
      <c r="T53" s="849"/>
      <c r="U53" s="850"/>
    </row>
    <row r="54" spans="2:21">
      <c r="B54" s="739"/>
      <c r="C54" s="731"/>
      <c r="D54" s="731"/>
      <c r="E54" s="731"/>
      <c r="F54" s="731"/>
      <c r="G54" s="731"/>
      <c r="H54" s="731"/>
      <c r="I54" s="731"/>
      <c r="J54" s="731"/>
      <c r="K54" s="731"/>
      <c r="L54" s="731"/>
      <c r="M54" s="731"/>
      <c r="N54" s="731"/>
      <c r="O54" s="731"/>
      <c r="P54" s="731"/>
      <c r="Q54" s="731"/>
      <c r="R54" s="731"/>
      <c r="S54" s="731"/>
      <c r="T54" s="731"/>
      <c r="U54" s="732"/>
    </row>
    <row r="55" spans="2:21" ht="48" customHeight="1">
      <c r="B55" s="724" t="s">
        <v>663</v>
      </c>
      <c r="C55" s="851" t="s">
        <v>664</v>
      </c>
      <c r="D55" s="851"/>
      <c r="E55" s="851"/>
      <c r="F55" s="851"/>
      <c r="G55" s="851"/>
      <c r="H55" s="851"/>
      <c r="I55" s="851"/>
      <c r="J55" s="851"/>
      <c r="K55" s="851"/>
      <c r="L55" s="851"/>
      <c r="M55" s="851"/>
      <c r="N55" s="851"/>
      <c r="O55" s="851"/>
      <c r="P55" s="851"/>
      <c r="Q55" s="851"/>
      <c r="R55" s="851"/>
      <c r="S55" s="851"/>
      <c r="T55" s="851"/>
      <c r="U55" s="852"/>
    </row>
    <row r="56" spans="2:21">
      <c r="B56" s="739"/>
      <c r="C56" s="731"/>
      <c r="D56" s="731"/>
      <c r="E56" s="731"/>
      <c r="F56" s="731"/>
      <c r="G56" s="731"/>
      <c r="H56" s="731"/>
      <c r="I56" s="731"/>
      <c r="J56" s="731"/>
      <c r="K56" s="731"/>
      <c r="L56" s="731"/>
      <c r="M56" s="731"/>
      <c r="N56" s="731"/>
      <c r="O56" s="731"/>
      <c r="P56" s="731"/>
      <c r="Q56" s="731"/>
      <c r="R56" s="731"/>
      <c r="S56" s="731"/>
      <c r="T56" s="731"/>
      <c r="U56" s="732"/>
    </row>
    <row r="57" spans="2:21" ht="34.5" customHeight="1">
      <c r="B57" s="724" t="s">
        <v>665</v>
      </c>
      <c r="C57" s="851" t="s">
        <v>666</v>
      </c>
      <c r="D57" s="851"/>
      <c r="E57" s="851"/>
      <c r="F57" s="851"/>
      <c r="G57" s="851"/>
      <c r="H57" s="851"/>
      <c r="I57" s="851"/>
      <c r="J57" s="851"/>
      <c r="K57" s="851"/>
      <c r="L57" s="851"/>
      <c r="M57" s="851"/>
      <c r="N57" s="851"/>
      <c r="O57" s="851"/>
      <c r="P57" s="851"/>
      <c r="Q57" s="851"/>
      <c r="R57" s="851"/>
      <c r="S57" s="851"/>
      <c r="T57" s="851"/>
      <c r="U57" s="852"/>
    </row>
    <row r="58" spans="2:21">
      <c r="B58" s="744"/>
      <c r="C58" s="731"/>
      <c r="D58" s="731"/>
      <c r="E58" s="731"/>
      <c r="F58" s="731"/>
      <c r="G58" s="731"/>
      <c r="H58" s="731"/>
      <c r="I58" s="731"/>
      <c r="J58" s="731"/>
      <c r="K58" s="731"/>
      <c r="L58" s="731"/>
      <c r="M58" s="731"/>
      <c r="N58" s="731"/>
      <c r="O58" s="731"/>
      <c r="P58" s="731"/>
      <c r="Q58" s="731"/>
      <c r="R58" s="731"/>
      <c r="S58" s="731"/>
      <c r="T58" s="731"/>
      <c r="U58" s="732"/>
    </row>
    <row r="59" spans="2:21" ht="30.75" customHeight="1">
      <c r="B59" s="733" t="s">
        <v>667</v>
      </c>
      <c r="C59" s="745" t="s">
        <v>668</v>
      </c>
      <c r="D59" s="746"/>
      <c r="E59" s="746"/>
      <c r="F59" s="746"/>
      <c r="G59" s="746"/>
      <c r="H59" s="746"/>
      <c r="I59" s="746"/>
      <c r="J59" s="746"/>
      <c r="K59" s="746"/>
      <c r="L59" s="746"/>
      <c r="M59" s="746"/>
      <c r="N59" s="746"/>
      <c r="O59" s="746"/>
      <c r="P59" s="746"/>
      <c r="Q59" s="746"/>
      <c r="R59" s="746"/>
      <c r="S59" s="746"/>
      <c r="T59" s="746"/>
      <c r="U59" s="74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 right="0" top="0" bottom="0" header="0.3" footer="0.3"/>
  <pageSetup paperSize="5"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70" zoomScaleNormal="70" workbookViewId="0">
      <selection activeCell="B18" sqref="B18"/>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62" t="s">
        <v>560</v>
      </c>
      <c r="C3" s="863"/>
      <c r="D3" s="863"/>
      <c r="E3" s="863"/>
      <c r="F3" s="864"/>
      <c r="G3" s="124"/>
    </row>
    <row r="4" spans="2:20" ht="16.5" customHeight="1">
      <c r="B4" s="865"/>
      <c r="C4" s="866"/>
      <c r="D4" s="866"/>
      <c r="E4" s="866"/>
      <c r="F4" s="867"/>
      <c r="G4" s="124"/>
    </row>
    <row r="5" spans="2:20" ht="71.25" customHeight="1">
      <c r="B5" s="865"/>
      <c r="C5" s="866"/>
      <c r="D5" s="866"/>
      <c r="E5" s="866"/>
      <c r="F5" s="867"/>
      <c r="G5" s="124"/>
    </row>
    <row r="6" spans="2:20" ht="21.75" customHeight="1">
      <c r="B6" s="868"/>
      <c r="C6" s="869"/>
      <c r="D6" s="869"/>
      <c r="E6" s="869"/>
      <c r="F6" s="870"/>
      <c r="G6" s="124"/>
    </row>
    <row r="8" spans="2:20" ht="21">
      <c r="B8" s="861" t="s">
        <v>476</v>
      </c>
      <c r="C8" s="861"/>
      <c r="D8" s="861"/>
      <c r="E8" s="861"/>
      <c r="F8" s="861"/>
      <c r="G8" s="861"/>
    </row>
    <row r="9" spans="2:20" ht="24.75" customHeight="1" thickBot="1">
      <c r="B9" s="116"/>
      <c r="C9" s="116"/>
      <c r="D9" s="116"/>
      <c r="E9" s="116"/>
      <c r="F9" s="116"/>
      <c r="G9" s="121"/>
    </row>
    <row r="10" spans="2:20" ht="27.75" customHeight="1" thickBot="1">
      <c r="B10" s="119" t="s">
        <v>172</v>
      </c>
      <c r="C10" s="104" t="s">
        <v>406</v>
      </c>
      <c r="D10" s="116"/>
      <c r="E10" s="116"/>
      <c r="F10" s="116"/>
      <c r="G10" s="121"/>
    </row>
    <row r="11" spans="2:20">
      <c r="B11" s="116"/>
      <c r="C11" s="116"/>
      <c r="D11" s="116"/>
      <c r="E11" s="116"/>
      <c r="F11" s="116"/>
      <c r="G11" s="121"/>
    </row>
    <row r="12" spans="2:20" s="9" customFormat="1" ht="31.5" customHeight="1" thickBot="1">
      <c r="B12" s="85" t="s">
        <v>587</v>
      </c>
      <c r="G12" s="28"/>
      <c r="L12" s="33"/>
      <c r="M12" s="33"/>
      <c r="N12" s="33"/>
      <c r="O12" s="33"/>
      <c r="P12" s="33"/>
      <c r="Q12" s="70"/>
      <c r="S12" s="8"/>
      <c r="T12" s="8"/>
    </row>
    <row r="13" spans="2:20" s="9" customFormat="1" ht="26.25" customHeight="1" thickBot="1">
      <c r="B13" s="104" t="s">
        <v>415</v>
      </c>
      <c r="C13" s="126" t="s">
        <v>628</v>
      </c>
      <c r="G13" s="111"/>
      <c r="L13" s="33"/>
      <c r="M13" s="33"/>
      <c r="N13" s="33"/>
      <c r="O13" s="33"/>
      <c r="P13" s="33"/>
      <c r="Q13" s="70"/>
      <c r="S13" s="8"/>
      <c r="T13" s="8"/>
    </row>
    <row r="14" spans="2:20" s="9" customFormat="1" ht="26.25" customHeight="1" thickBot="1">
      <c r="B14" s="104" t="s">
        <v>417</v>
      </c>
      <c r="C14" s="174" t="s">
        <v>623</v>
      </c>
      <c r="G14" s="125"/>
      <c r="L14" s="33"/>
      <c r="M14" s="33"/>
      <c r="N14" s="33"/>
      <c r="O14" s="33"/>
      <c r="P14" s="33"/>
      <c r="Q14" s="70"/>
      <c r="S14" s="8"/>
      <c r="T14" s="8"/>
    </row>
    <row r="15" spans="2:20" s="9" customFormat="1" ht="26.25" customHeight="1" thickBot="1">
      <c r="B15" s="104" t="s">
        <v>417</v>
      </c>
      <c r="C15" s="174" t="s">
        <v>624</v>
      </c>
      <c r="G15" s="125"/>
      <c r="L15" s="33"/>
      <c r="M15" s="33"/>
      <c r="N15" s="33"/>
      <c r="O15" s="33"/>
      <c r="P15" s="33"/>
      <c r="Q15" s="70"/>
      <c r="S15" s="8"/>
      <c r="T15" s="8"/>
    </row>
    <row r="16" spans="2:20" s="9" customFormat="1" ht="26.25" customHeight="1" thickBot="1">
      <c r="B16" s="104" t="s">
        <v>415</v>
      </c>
      <c r="C16" s="174" t="s">
        <v>625</v>
      </c>
      <c r="G16" s="125"/>
      <c r="L16" s="33"/>
      <c r="M16" s="33"/>
      <c r="N16" s="33"/>
      <c r="O16" s="33"/>
      <c r="P16" s="33"/>
      <c r="Q16" s="70"/>
      <c r="S16" s="8"/>
      <c r="T16" s="8"/>
    </row>
    <row r="17" spans="2:20" s="9" customFormat="1" ht="26.25" customHeight="1" thickBot="1">
      <c r="B17" s="104" t="s">
        <v>415</v>
      </c>
      <c r="C17" s="126" t="s">
        <v>626</v>
      </c>
      <c r="G17" s="111"/>
      <c r="L17" s="33"/>
      <c r="M17" s="33"/>
      <c r="N17" s="33"/>
      <c r="O17" s="33"/>
      <c r="P17" s="33"/>
      <c r="Q17" s="70"/>
      <c r="S17" s="8"/>
      <c r="T17" s="8"/>
    </row>
    <row r="18" spans="2:20" s="9" customFormat="1" ht="26.25" customHeight="1" thickBot="1">
      <c r="B18" s="104" t="s">
        <v>415</v>
      </c>
      <c r="C18" s="126" t="s">
        <v>627</v>
      </c>
      <c r="G18" s="125"/>
      <c r="L18" s="33"/>
      <c r="M18" s="33"/>
      <c r="N18" s="33"/>
      <c r="O18" s="33"/>
      <c r="P18" s="33"/>
      <c r="Q18" s="70"/>
      <c r="S18" s="8"/>
      <c r="T18" s="8"/>
    </row>
    <row r="19" spans="2:20" s="9" customFormat="1" ht="26.25" customHeight="1" thickBot="1">
      <c r="B19" s="104" t="s">
        <v>415</v>
      </c>
      <c r="C19" s="126" t="s">
        <v>629</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535</v>
      </c>
      <c r="C21" s="245" t="s">
        <v>466</v>
      </c>
      <c r="D21" s="245" t="s">
        <v>444</v>
      </c>
      <c r="E21" s="245" t="s">
        <v>436</v>
      </c>
      <c r="F21" s="245" t="s">
        <v>548</v>
      </c>
      <c r="G21" s="40"/>
      <c r="M21" s="25"/>
      <c r="T21" s="25"/>
    </row>
    <row r="22" spans="2:20" s="105" customFormat="1" ht="36" customHeight="1">
      <c r="B22" s="649" t="s">
        <v>538</v>
      </c>
      <c r="C22" s="655" t="s">
        <v>434</v>
      </c>
      <c r="D22" s="658" t="s">
        <v>440</v>
      </c>
      <c r="E22" s="662" t="s">
        <v>586</v>
      </c>
      <c r="F22" s="658" t="s">
        <v>445</v>
      </c>
      <c r="G22" s="176"/>
      <c r="M22" s="647"/>
      <c r="T22" s="647"/>
    </row>
    <row r="23" spans="2:20" s="105" customFormat="1" ht="35.25" customHeight="1">
      <c r="B23" s="650" t="s">
        <v>455</v>
      </c>
      <c r="C23" s="656" t="s">
        <v>435</v>
      </c>
      <c r="D23" s="659" t="s">
        <v>441</v>
      </c>
      <c r="E23" s="663" t="s">
        <v>586</v>
      </c>
      <c r="F23" s="659" t="s">
        <v>445</v>
      </c>
      <c r="G23" s="176"/>
      <c r="M23" s="647"/>
      <c r="T23" s="647"/>
    </row>
    <row r="24" spans="2:20" s="105" customFormat="1" ht="34.5" customHeight="1">
      <c r="B24" s="650" t="s">
        <v>452</v>
      </c>
      <c r="C24" s="656" t="s">
        <v>435</v>
      </c>
      <c r="D24" s="659" t="s">
        <v>442</v>
      </c>
      <c r="E24" s="663" t="s">
        <v>586</v>
      </c>
      <c r="F24" s="659" t="s">
        <v>445</v>
      </c>
      <c r="G24" s="176"/>
      <c r="M24" s="647"/>
      <c r="T24" s="647"/>
    </row>
    <row r="25" spans="2:20" s="105" customFormat="1" ht="32.25" customHeight="1">
      <c r="B25" s="651" t="s">
        <v>453</v>
      </c>
      <c r="C25" s="656" t="s">
        <v>434</v>
      </c>
      <c r="D25" s="659" t="s">
        <v>443</v>
      </c>
      <c r="E25" s="664" t="s">
        <v>605</v>
      </c>
      <c r="F25" s="667"/>
      <c r="G25" s="176"/>
      <c r="M25" s="647"/>
      <c r="T25" s="647"/>
    </row>
    <row r="26" spans="2:20" s="105" customFormat="1" ht="30.75" customHeight="1">
      <c r="B26" s="652" t="s">
        <v>536</v>
      </c>
      <c r="C26" s="656" t="s">
        <v>434</v>
      </c>
      <c r="D26" s="659"/>
      <c r="E26" s="664"/>
      <c r="F26" s="667"/>
      <c r="G26" s="176"/>
      <c r="M26" s="647"/>
      <c r="T26" s="647"/>
    </row>
    <row r="27" spans="2:20" s="105" customFormat="1" ht="32.25" customHeight="1">
      <c r="B27" s="653" t="s">
        <v>537</v>
      </c>
      <c r="C27" s="656" t="s">
        <v>434</v>
      </c>
      <c r="D27" s="660" t="s">
        <v>533</v>
      </c>
      <c r="E27" s="664"/>
      <c r="F27" s="667"/>
      <c r="G27" s="176"/>
      <c r="M27" s="647"/>
      <c r="T27" s="647"/>
    </row>
    <row r="28" spans="2:20" s="105" customFormat="1" ht="27" customHeight="1">
      <c r="B28" s="651" t="s">
        <v>454</v>
      </c>
      <c r="C28" s="656" t="s">
        <v>437</v>
      </c>
      <c r="D28" s="659" t="s">
        <v>477</v>
      </c>
      <c r="E28" s="664" t="s">
        <v>456</v>
      </c>
      <c r="F28" s="667"/>
      <c r="G28" s="176"/>
      <c r="M28" s="647"/>
      <c r="T28" s="647"/>
    </row>
    <row r="29" spans="2:20" s="105" customFormat="1" ht="27" customHeight="1">
      <c r="B29" s="653" t="s">
        <v>449</v>
      </c>
      <c r="C29" s="656" t="s">
        <v>434</v>
      </c>
      <c r="D29" s="659"/>
      <c r="E29" s="664"/>
      <c r="F29" s="659" t="s">
        <v>407</v>
      </c>
      <c r="G29" s="176"/>
      <c r="M29" s="647"/>
      <c r="T29" s="647"/>
    </row>
    <row r="30" spans="2:20" s="105" customFormat="1" ht="32.25" customHeight="1">
      <c r="B30" s="651" t="s">
        <v>206</v>
      </c>
      <c r="C30" s="656" t="s">
        <v>439</v>
      </c>
      <c r="D30" s="659" t="s">
        <v>550</v>
      </c>
      <c r="E30" s="665"/>
      <c r="F30" s="659" t="s">
        <v>549</v>
      </c>
      <c r="G30" s="648"/>
      <c r="M30" s="647"/>
    </row>
    <row r="31" spans="2:20" s="105" customFormat="1" ht="27.75" customHeight="1">
      <c r="B31" s="654" t="s">
        <v>534</v>
      </c>
      <c r="C31" s="657" t="s">
        <v>438</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25" right="0.25" top="0.75" bottom="0.75" header="0.3" footer="0.3"/>
  <pageSetup scale="4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2" t="s">
        <v>233</v>
      </c>
      <c r="D1" s="8" t="s">
        <v>414</v>
      </c>
      <c r="E1" s="122" t="s">
        <v>447</v>
      </c>
      <c r="F1" s="122" t="s">
        <v>544</v>
      </c>
      <c r="G1" s="122" t="s">
        <v>569</v>
      </c>
      <c r="H1" s="122" t="s">
        <v>580</v>
      </c>
    </row>
    <row r="2" spans="1:8">
      <c r="A2" s="12" t="s">
        <v>29</v>
      </c>
      <c r="B2" s="12" t="s">
        <v>27</v>
      </c>
      <c r="C2" s="10">
        <v>2006</v>
      </c>
      <c r="D2" s="12" t="s">
        <v>415</v>
      </c>
      <c r="E2" s="10">
        <f>'2. LRAMVA Threshold'!D9</f>
        <v>0</v>
      </c>
      <c r="F2" s="26" t="s">
        <v>171</v>
      </c>
      <c r="G2" s="12" t="s">
        <v>570</v>
      </c>
      <c r="H2" s="12" t="s">
        <v>588</v>
      </c>
    </row>
    <row r="3" spans="1:8">
      <c r="A3" s="12" t="s">
        <v>371</v>
      </c>
      <c r="B3" s="12" t="s">
        <v>27</v>
      </c>
      <c r="C3" s="10">
        <v>2007</v>
      </c>
      <c r="D3" s="12" t="s">
        <v>416</v>
      </c>
      <c r="E3" s="10">
        <f>'2. LRAMVA Threshold'!D24</f>
        <v>0</v>
      </c>
      <c r="F3" s="12" t="s">
        <v>545</v>
      </c>
      <c r="G3" s="12" t="s">
        <v>571</v>
      </c>
      <c r="H3" s="12" t="s">
        <v>581</v>
      </c>
    </row>
    <row r="4" spans="1:8">
      <c r="A4" s="12" t="s">
        <v>372</v>
      </c>
      <c r="B4" s="12" t="s">
        <v>28</v>
      </c>
      <c r="C4" s="10">
        <v>2008</v>
      </c>
      <c r="D4" s="12" t="s">
        <v>417</v>
      </c>
      <c r="F4" s="12" t="s">
        <v>170</v>
      </c>
      <c r="G4" s="12" t="s">
        <v>572</v>
      </c>
    </row>
    <row r="5" spans="1:8">
      <c r="A5" s="12" t="s">
        <v>373</v>
      </c>
      <c r="B5" s="12" t="s">
        <v>28</v>
      </c>
      <c r="C5" s="10">
        <v>2009</v>
      </c>
      <c r="F5" s="12" t="s">
        <v>368</v>
      </c>
      <c r="G5" s="12" t="s">
        <v>573</v>
      </c>
    </row>
    <row r="6" spans="1:8">
      <c r="A6" s="12" t="s">
        <v>374</v>
      </c>
      <c r="B6" s="12" t="s">
        <v>28</v>
      </c>
      <c r="C6" s="10">
        <v>2010</v>
      </c>
      <c r="F6" s="12" t="s">
        <v>369</v>
      </c>
      <c r="G6" s="12" t="s">
        <v>574</v>
      </c>
    </row>
    <row r="7" spans="1:8">
      <c r="A7" s="12" t="s">
        <v>375</v>
      </c>
      <c r="B7" s="12" t="s">
        <v>28</v>
      </c>
      <c r="C7" s="10">
        <v>2011</v>
      </c>
      <c r="F7" s="12" t="s">
        <v>370</v>
      </c>
      <c r="G7" s="12" t="s">
        <v>575</v>
      </c>
    </row>
    <row r="8" spans="1:8">
      <c r="A8" s="12" t="s">
        <v>376</v>
      </c>
      <c r="B8" s="12" t="s">
        <v>28</v>
      </c>
      <c r="C8" s="10">
        <v>2012</v>
      </c>
      <c r="F8" s="12" t="s">
        <v>553</v>
      </c>
      <c r="G8" s="12" t="s">
        <v>576</v>
      </c>
    </row>
    <row r="9" spans="1:8">
      <c r="A9" s="12" t="s">
        <v>377</v>
      </c>
      <c r="B9" s="12" t="s">
        <v>28</v>
      </c>
      <c r="C9" s="10">
        <v>2013</v>
      </c>
      <c r="G9" s="12" t="s">
        <v>577</v>
      </c>
    </row>
    <row r="10" spans="1:8">
      <c r="A10" s="12" t="s">
        <v>378</v>
      </c>
      <c r="B10" s="12" t="s">
        <v>28</v>
      </c>
      <c r="C10" s="10">
        <v>2014</v>
      </c>
      <c r="G10" s="12" t="s">
        <v>578</v>
      </c>
    </row>
    <row r="11" spans="1:8">
      <c r="A11" s="12" t="s">
        <v>379</v>
      </c>
      <c r="B11" s="12" t="s">
        <v>28</v>
      </c>
      <c r="C11" s="10">
        <v>2015</v>
      </c>
      <c r="G11" s="12" t="s">
        <v>579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zoomScale="60" zoomScaleNormal="60" workbookViewId="0">
      <selection activeCell="I41" sqref="I41"/>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6.28515625"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546</v>
      </c>
      <c r="D6" s="17"/>
      <c r="E6" s="9"/>
      <c r="T6" s="9"/>
      <c r="V6" s="8"/>
    </row>
    <row r="7" spans="2:22" ht="21" customHeight="1">
      <c r="B7" s="539"/>
      <c r="C7" s="17"/>
      <c r="D7" s="17"/>
      <c r="E7" s="9"/>
      <c r="T7" s="9"/>
      <c r="V7" s="8"/>
    </row>
    <row r="8" spans="2:22" ht="24.75" customHeight="1">
      <c r="B8" s="119" t="s">
        <v>238</v>
      </c>
      <c r="C8" s="191" t="s">
        <v>686</v>
      </c>
      <c r="D8" s="603"/>
      <c r="E8" s="9"/>
      <c r="T8" s="9"/>
      <c r="V8" s="8"/>
    </row>
    <row r="9" spans="2:22" ht="41.25" customHeight="1">
      <c r="B9" s="553" t="s">
        <v>515</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551</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503</v>
      </c>
      <c r="C13" s="17"/>
      <c r="F13" s="187" t="s">
        <v>504</v>
      </c>
      <c r="G13" s="36"/>
      <c r="H13" s="31"/>
      <c r="I13" s="9"/>
      <c r="J13" s="186" t="s">
        <v>501</v>
      </c>
      <c r="N13" s="105"/>
      <c r="P13" s="9"/>
      <c r="Q13" s="189"/>
      <c r="R13" s="42"/>
      <c r="T13" s="188"/>
      <c r="U13" s="188"/>
    </row>
    <row r="14" spans="2:22" ht="29.25" customHeight="1" thickBot="1">
      <c r="B14" s="126" t="s">
        <v>542</v>
      </c>
      <c r="D14" s="544" t="s">
        <v>709</v>
      </c>
      <c r="E14" s="132"/>
      <c r="F14" s="126" t="s">
        <v>543</v>
      </c>
      <c r="H14" s="544" t="s">
        <v>731</v>
      </c>
      <c r="J14" s="126" t="s">
        <v>510</v>
      </c>
      <c r="L14" s="134"/>
      <c r="N14" s="105"/>
      <c r="Q14" s="101"/>
      <c r="R14" s="98"/>
    </row>
    <row r="15" spans="2:22" ht="26.25" customHeight="1" thickBot="1">
      <c r="B15" s="126" t="s">
        <v>423</v>
      </c>
      <c r="C15" s="108"/>
      <c r="D15" s="544" t="s">
        <v>710</v>
      </c>
      <c r="F15" s="126" t="s">
        <v>413</v>
      </c>
      <c r="G15" s="129"/>
      <c r="H15" s="544" t="s">
        <v>732</v>
      </c>
      <c r="I15" s="17"/>
      <c r="J15" s="126" t="s">
        <v>511</v>
      </c>
      <c r="L15" s="134"/>
      <c r="M15" s="105"/>
      <c r="Q15" s="110"/>
      <c r="R15" s="98"/>
    </row>
    <row r="16" spans="2:22" ht="28.5" customHeight="1" thickBot="1">
      <c r="B16" s="126" t="s">
        <v>451</v>
      </c>
      <c r="C16" s="108"/>
      <c r="D16" s="545" t="s">
        <v>182</v>
      </c>
      <c r="E16" s="105"/>
      <c r="F16" s="126" t="s">
        <v>431</v>
      </c>
      <c r="G16" s="127"/>
      <c r="H16" s="545">
        <v>2016</v>
      </c>
      <c r="I16" s="105"/>
      <c r="K16" s="197"/>
      <c r="L16" s="197"/>
      <c r="M16" s="197"/>
      <c r="N16" s="197"/>
      <c r="Q16" s="117"/>
      <c r="R16" s="98"/>
    </row>
    <row r="17" spans="1:21" ht="29.25" customHeight="1" thickBot="1">
      <c r="B17" s="126" t="s">
        <v>420</v>
      </c>
      <c r="C17" s="108"/>
      <c r="D17" s="134">
        <v>588763</v>
      </c>
      <c r="E17" s="123"/>
      <c r="F17" s="126" t="s">
        <v>432</v>
      </c>
      <c r="G17" s="605" t="s">
        <v>362</v>
      </c>
      <c r="H17" s="244">
        <f>SUM(R52,R55,R58,R61,R64,R67)</f>
        <v>336627.14524272771</v>
      </c>
      <c r="I17" s="17"/>
      <c r="K17" s="197"/>
      <c r="L17" s="197"/>
      <c r="M17" s="197"/>
      <c r="N17" s="197"/>
      <c r="P17" s="101"/>
      <c r="Q17" s="101"/>
      <c r="R17" s="98"/>
    </row>
    <row r="18" spans="1:21" ht="27.75" customHeight="1" thickBot="1">
      <c r="E18" s="9"/>
      <c r="F18" s="126" t="s">
        <v>433</v>
      </c>
      <c r="G18" s="605" t="s">
        <v>363</v>
      </c>
      <c r="H18" s="133">
        <f>-SUM(R53,R56,R59,R62,R65,R68)</f>
        <v>0</v>
      </c>
      <c r="I18" s="17"/>
      <c r="J18" s="117"/>
      <c r="K18" s="117"/>
      <c r="L18" s="117"/>
      <c r="M18" s="117"/>
      <c r="N18" s="117"/>
      <c r="P18" s="117"/>
      <c r="Q18" s="117"/>
      <c r="R18" s="98"/>
    </row>
    <row r="19" spans="1:21" ht="27.75" customHeight="1" thickBot="1">
      <c r="E19" s="9"/>
      <c r="F19" s="126" t="s">
        <v>408</v>
      </c>
      <c r="G19" s="605" t="s">
        <v>364</v>
      </c>
      <c r="H19" s="190">
        <f>R82</f>
        <v>9719.9999999999982</v>
      </c>
      <c r="I19" s="17"/>
      <c r="J19" s="117"/>
      <c r="P19" s="117"/>
      <c r="Q19" s="117"/>
      <c r="R19" s="98"/>
    </row>
    <row r="20" spans="1:21" ht="27.75" customHeight="1">
      <c r="C20" s="32"/>
      <c r="D20" s="32"/>
      <c r="E20" s="32"/>
      <c r="F20" s="126" t="s">
        <v>505</v>
      </c>
      <c r="G20" s="605" t="s">
        <v>446</v>
      </c>
      <c r="H20" s="190">
        <f>H17-H18+H19</f>
        <v>346347.14524272771</v>
      </c>
      <c r="I20" s="105"/>
      <c r="P20" s="117"/>
      <c r="Q20" s="117"/>
      <c r="R20" s="98"/>
    </row>
    <row r="21" spans="1:21" ht="22.5" customHeight="1">
      <c r="A21" s="28"/>
      <c r="E21" s="9"/>
    </row>
    <row r="22" spans="1:21" ht="13.5" customHeight="1">
      <c r="A22" s="28"/>
      <c r="B22" s="120" t="s">
        <v>418</v>
      </c>
      <c r="C22" s="35"/>
      <c r="E22" s="9"/>
    </row>
    <row r="23" spans="1:21" ht="13.5" customHeight="1">
      <c r="A23" s="28"/>
      <c r="B23" s="120"/>
      <c r="C23" s="35"/>
      <c r="E23" s="9"/>
    </row>
    <row r="24" spans="1:21" ht="138" customHeight="1">
      <c r="A24" s="28"/>
      <c r="B24" s="873" t="s">
        <v>632</v>
      </c>
      <c r="C24" s="873"/>
      <c r="D24" s="873"/>
      <c r="E24" s="873"/>
      <c r="F24" s="873"/>
      <c r="G24" s="873"/>
    </row>
    <row r="25" spans="1:21" ht="14.25" customHeight="1">
      <c r="A25" s="28"/>
      <c r="B25" s="550"/>
      <c r="C25" s="550"/>
      <c r="D25" s="540"/>
      <c r="E25" s="540"/>
      <c r="F25" s="540"/>
      <c r="G25" s="550"/>
    </row>
    <row r="26" spans="1:21" s="17" customFormat="1" ht="27" customHeight="1">
      <c r="B26" s="876" t="s">
        <v>502</v>
      </c>
      <c r="C26" s="877"/>
      <c r="D26" s="135" t="s">
        <v>41</v>
      </c>
      <c r="E26" s="136" t="s">
        <v>562</v>
      </c>
      <c r="F26" s="136" t="s">
        <v>408</v>
      </c>
      <c r="G26" s="137" t="s">
        <v>409</v>
      </c>
      <c r="T26" s="138"/>
      <c r="U26" s="138"/>
    </row>
    <row r="27" spans="1:21" ht="20.25" customHeight="1">
      <c r="B27" s="871" t="s">
        <v>29</v>
      </c>
      <c r="C27" s="872"/>
      <c r="D27" s="640" t="s">
        <v>27</v>
      </c>
      <c r="E27" s="140">
        <f>SUM(D52:D81)</f>
        <v>154369.09874699998</v>
      </c>
      <c r="F27" s="141">
        <f>D82</f>
        <v>4457.3587199999984</v>
      </c>
      <c r="G27" s="140">
        <f>E27+F27</f>
        <v>158826.45746699997</v>
      </c>
    </row>
    <row r="28" spans="1:21" ht="20.25" customHeight="1">
      <c r="B28" s="871" t="s">
        <v>371</v>
      </c>
      <c r="C28" s="872"/>
      <c r="D28" s="640" t="s">
        <v>27</v>
      </c>
      <c r="E28" s="142">
        <f>SUM(E52:E81)</f>
        <v>32266.187474855476</v>
      </c>
      <c r="F28" s="143">
        <f>E82</f>
        <v>931.67171999999994</v>
      </c>
      <c r="G28" s="142">
        <f>E28+F28</f>
        <v>33197.859194855475</v>
      </c>
    </row>
    <row r="29" spans="1:21" ht="20.25" customHeight="1">
      <c r="B29" s="871" t="s">
        <v>372</v>
      </c>
      <c r="C29" s="872"/>
      <c r="D29" s="640" t="s">
        <v>675</v>
      </c>
      <c r="E29" s="142">
        <f>SUM(F52:F81)</f>
        <v>105442.58318916</v>
      </c>
      <c r="F29" s="143">
        <f>F82</f>
        <v>3044.6247599999983</v>
      </c>
      <c r="G29" s="142">
        <f t="shared" ref="G29:G32" si="0">E29+F29</f>
        <v>108487.20794915999</v>
      </c>
    </row>
    <row r="30" spans="1:21" ht="20.25" customHeight="1">
      <c r="B30" s="871" t="s">
        <v>676</v>
      </c>
      <c r="C30" s="872"/>
      <c r="D30" s="640" t="s">
        <v>28</v>
      </c>
      <c r="E30" s="142">
        <f>SUM(G52:G81)</f>
        <v>44549.275831712235</v>
      </c>
      <c r="F30" s="143">
        <f>G82</f>
        <v>1286.3448000000001</v>
      </c>
      <c r="G30" s="142">
        <f t="shared" si="0"/>
        <v>45835.620631712234</v>
      </c>
    </row>
    <row r="31" spans="1:21" ht="20.25" customHeight="1">
      <c r="B31" s="871"/>
      <c r="C31" s="872"/>
      <c r="D31" s="640"/>
      <c r="E31" s="142">
        <f>SUM(H52:H81)</f>
        <v>0</v>
      </c>
      <c r="F31" s="143">
        <f>H82</f>
        <v>0</v>
      </c>
      <c r="G31" s="142">
        <f>E31+F31</f>
        <v>0</v>
      </c>
    </row>
    <row r="32" spans="1:21" ht="20.25" customHeight="1">
      <c r="B32" s="871"/>
      <c r="C32" s="872"/>
      <c r="D32" s="640"/>
      <c r="E32" s="142">
        <f>SUM(I52:I81)</f>
        <v>0</v>
      </c>
      <c r="F32" s="143">
        <f>I82</f>
        <v>0</v>
      </c>
      <c r="G32" s="142">
        <f t="shared" si="0"/>
        <v>0</v>
      </c>
    </row>
    <row r="33" spans="2:22" ht="20.25" customHeight="1">
      <c r="B33" s="871"/>
      <c r="C33" s="872"/>
      <c r="D33" s="640"/>
      <c r="E33" s="142">
        <f>SUM(J52:J81)</f>
        <v>0</v>
      </c>
      <c r="F33" s="143">
        <f>J82</f>
        <v>0</v>
      </c>
      <c r="G33" s="142">
        <f>E33+F33</f>
        <v>0</v>
      </c>
    </row>
    <row r="34" spans="2:22" ht="20.25" customHeight="1">
      <c r="B34" s="871"/>
      <c r="C34" s="872"/>
      <c r="D34" s="640"/>
      <c r="E34" s="142">
        <f>SUM(K52:K81)</f>
        <v>0</v>
      </c>
      <c r="F34" s="143">
        <f>K82</f>
        <v>0</v>
      </c>
      <c r="G34" s="142">
        <f t="shared" ref="G34:G40" si="1">E34+F34</f>
        <v>0</v>
      </c>
    </row>
    <row r="35" spans="2:22" ht="20.25" customHeight="1">
      <c r="B35" s="871"/>
      <c r="C35" s="872"/>
      <c r="D35" s="640"/>
      <c r="E35" s="142">
        <f>SUM(L52:L81)</f>
        <v>0</v>
      </c>
      <c r="F35" s="143">
        <f>L82</f>
        <v>0</v>
      </c>
      <c r="G35" s="142">
        <f t="shared" si="1"/>
        <v>0</v>
      </c>
    </row>
    <row r="36" spans="2:22" ht="20.25" customHeight="1">
      <c r="B36" s="871"/>
      <c r="C36" s="872"/>
      <c r="D36" s="640"/>
      <c r="E36" s="142">
        <f>SUM(M52:M81)</f>
        <v>0</v>
      </c>
      <c r="F36" s="143">
        <f>M82</f>
        <v>0</v>
      </c>
      <c r="G36" s="142">
        <f t="shared" si="1"/>
        <v>0</v>
      </c>
    </row>
    <row r="37" spans="2:22" ht="20.25" customHeight="1">
      <c r="B37" s="871"/>
      <c r="C37" s="872"/>
      <c r="D37" s="640"/>
      <c r="E37" s="142">
        <f>SUM(N52:N81)</f>
        <v>0</v>
      </c>
      <c r="F37" s="143">
        <f>N82</f>
        <v>0</v>
      </c>
      <c r="G37" s="142">
        <f t="shared" si="1"/>
        <v>0</v>
      </c>
    </row>
    <row r="38" spans="2:22" ht="20.25" customHeight="1">
      <c r="B38" s="871"/>
      <c r="C38" s="872"/>
      <c r="D38" s="640"/>
      <c r="E38" s="142">
        <f>SUM(O52:O81)</f>
        <v>0</v>
      </c>
      <c r="F38" s="143">
        <f>O82</f>
        <v>0</v>
      </c>
      <c r="G38" s="142">
        <f t="shared" si="1"/>
        <v>0</v>
      </c>
    </row>
    <row r="39" spans="2:22" ht="20.25" customHeight="1">
      <c r="B39" s="871"/>
      <c r="C39" s="872"/>
      <c r="D39" s="640"/>
      <c r="E39" s="142">
        <f>SUM(P52:P81)</f>
        <v>0</v>
      </c>
      <c r="F39" s="143">
        <f>P82</f>
        <v>0</v>
      </c>
      <c r="G39" s="142">
        <f t="shared" si="1"/>
        <v>0</v>
      </c>
    </row>
    <row r="40" spans="2:22" ht="20.25" customHeight="1">
      <c r="B40" s="871"/>
      <c r="C40" s="872"/>
      <c r="D40" s="641"/>
      <c r="E40" s="144">
        <f>SUM(Q52:Q81)</f>
        <v>0</v>
      </c>
      <c r="F40" s="145">
        <f>Q82</f>
        <v>0</v>
      </c>
      <c r="G40" s="144">
        <f t="shared" si="1"/>
        <v>0</v>
      </c>
    </row>
    <row r="41" spans="2:22" s="8" customFormat="1" ht="21" customHeight="1">
      <c r="B41" s="874" t="s">
        <v>26</v>
      </c>
      <c r="C41" s="875"/>
      <c r="D41" s="139"/>
      <c r="E41" s="146">
        <f>SUM(E27:E40)</f>
        <v>336627.14524272771</v>
      </c>
      <c r="F41" s="146">
        <f>SUM(F27:F40)</f>
        <v>9719.9999999999982</v>
      </c>
      <c r="G41" s="146">
        <f>SUM(G27:G40)</f>
        <v>346347.14524272771</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457</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73" t="s">
        <v>608</v>
      </c>
      <c r="C46" s="873"/>
      <c r="D46" s="873"/>
      <c r="E46" s="873"/>
      <c r="F46" s="873"/>
      <c r="G46" s="873"/>
      <c r="H46" s="873"/>
      <c r="I46" s="873"/>
      <c r="J46" s="873"/>
      <c r="K46" s="873"/>
      <c r="L46" s="873"/>
      <c r="M46" s="619"/>
      <c r="N46" s="107"/>
      <c r="O46" s="107"/>
      <c r="P46" s="107"/>
      <c r="Q46" s="107"/>
      <c r="R46" s="107"/>
      <c r="T46" s="37"/>
      <c r="U46" s="19"/>
      <c r="V46" s="38"/>
    </row>
    <row r="47" spans="2:22" s="28" customFormat="1" ht="48" customHeight="1">
      <c r="B47" s="873" t="s">
        <v>561</v>
      </c>
      <c r="C47" s="873"/>
      <c r="D47" s="873"/>
      <c r="E47" s="873"/>
      <c r="F47" s="873"/>
      <c r="G47" s="873"/>
      <c r="H47" s="873"/>
      <c r="I47" s="873"/>
      <c r="J47" s="873"/>
      <c r="K47" s="873"/>
      <c r="L47" s="873"/>
      <c r="M47" s="619"/>
      <c r="N47" s="107"/>
      <c r="O47" s="107"/>
      <c r="P47" s="107"/>
      <c r="Q47" s="107"/>
      <c r="R47" s="107"/>
      <c r="T47" s="37"/>
      <c r="U47" s="19"/>
      <c r="V47" s="38"/>
    </row>
    <row r="48" spans="2:22" s="28" customFormat="1" ht="26.25" customHeight="1">
      <c r="B48" s="873" t="s">
        <v>617</v>
      </c>
      <c r="C48" s="873"/>
      <c r="D48" s="873"/>
      <c r="E48" s="873"/>
      <c r="F48" s="873"/>
      <c r="G48" s="873"/>
      <c r="H48" s="873"/>
      <c r="I48" s="873"/>
      <c r="J48" s="873"/>
      <c r="K48" s="873"/>
      <c r="L48" s="873"/>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512</v>
      </c>
      <c r="D50" s="137" t="str">
        <f>IF($B27&lt;&gt;"",$B27,"")</f>
        <v>Residential</v>
      </c>
      <c r="E50" s="137" t="str">
        <f>IF($B28&lt;&gt;"",$B28,"")</f>
        <v>GS&lt;50 kW</v>
      </c>
      <c r="F50" s="137" t="str">
        <f>IF($B29&lt;&gt;"",$B29,"")</f>
        <v>GS&gt;50 kW</v>
      </c>
      <c r="G50" s="137" t="str">
        <f>IF($B30&lt;&gt;"",$B30,"")</f>
        <v>Streetlighting</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v>
      </c>
      <c r="H51" s="578">
        <f>D31</f>
        <v>0</v>
      </c>
      <c r="I51" s="578">
        <f>D32</f>
        <v>0</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v>0</v>
      </c>
      <c r="E52" s="152">
        <v>0</v>
      </c>
      <c r="F52" s="152">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v>0</v>
      </c>
      <c r="E55" s="158">
        <v>0</v>
      </c>
      <c r="F55" s="158">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v>0</v>
      </c>
      <c r="E58" s="158">
        <v>0</v>
      </c>
      <c r="F58" s="158">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v>0</v>
      </c>
      <c r="E61" s="158">
        <v>0</v>
      </c>
      <c r="F61" s="158">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v>0</v>
      </c>
      <c r="E64" s="166">
        <v>0</v>
      </c>
      <c r="F64" s="166">
        <v>0</v>
      </c>
      <c r="G64" s="166">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0</v>
      </c>
      <c r="U64" s="154"/>
      <c r="V64" s="155"/>
    </row>
    <row r="65" spans="2:22" s="165" customFormat="1">
      <c r="B65" s="156" t="s">
        <v>93</v>
      </c>
      <c r="C65" s="157"/>
      <c r="D65" s="166">
        <f>-'5.  2015-2020 LRAM'!Y205</f>
        <v>0</v>
      </c>
      <c r="E65" s="166">
        <f>-'5.  2015-2020 LRAM'!Z205</f>
        <v>0</v>
      </c>
      <c r="F65" s="166">
        <f>-'5.  2015-2020 LRAM'!AA205</f>
        <v>0</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224</v>
      </c>
      <c r="C67" s="157"/>
      <c r="D67" s="158">
        <f>'5.  2015-2020 LRAM'!Y388</f>
        <v>154369.09874699998</v>
      </c>
      <c r="E67" s="158">
        <f>'5.  2015-2020 LRAM'!Z388</f>
        <v>32266.187474855476</v>
      </c>
      <c r="F67" s="158">
        <f>'5.  2015-2020 LRAM'!AA388</f>
        <v>105442.58318916</v>
      </c>
      <c r="G67" s="158">
        <f>'8.  Streetlighting'!S47</f>
        <v>44549.275831712235</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336627.14524272771</v>
      </c>
      <c r="U67" s="154"/>
      <c r="V67" s="155"/>
    </row>
    <row r="68" spans="2:22" s="165" customFormat="1">
      <c r="B68" s="156" t="s">
        <v>223</v>
      </c>
      <c r="C68" s="157"/>
      <c r="D68" s="158">
        <f>-'5.  2015-2020 LRAM'!Y389</f>
        <v>0</v>
      </c>
      <c r="E68" s="158">
        <f>-'5.  2015-2020 LRAM'!Z389</f>
        <v>0</v>
      </c>
      <c r="F68" s="158">
        <f>-'5.  2015-2020 LRAM'!AA389</f>
        <v>0</v>
      </c>
      <c r="G68" s="158">
        <f>-'5.  2015-2020 LRAM'!AB389</f>
        <v>0</v>
      </c>
      <c r="H68" s="158">
        <f>-'5.  2015-2020 LRAM'!AC389</f>
        <v>0</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0</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c r="B70" s="156" t="s">
        <v>226</v>
      </c>
      <c r="C70" s="537"/>
      <c r="D70" s="158">
        <f>'5.  2015-2020 LRAM'!Y572</f>
        <v>0</v>
      </c>
      <c r="E70" s="158">
        <f>'5.  2015-2020 LRAM'!Z572</f>
        <v>0</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0</v>
      </c>
      <c r="U70" s="154"/>
      <c r="V70" s="155"/>
    </row>
    <row r="71" spans="2:22" s="165" customFormat="1">
      <c r="B71" s="156" t="s">
        <v>225</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228</v>
      </c>
      <c r="C73" s="537"/>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227</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230</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229</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232</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231</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Charges'!I132</f>
        <v>4457.3587199999984</v>
      </c>
      <c r="E82" s="681">
        <f>'6.  Carrying Charges'!J132</f>
        <v>931.67171999999994</v>
      </c>
      <c r="F82" s="681">
        <f>'6.  Carrying Charges'!K132</f>
        <v>3044.6247599999983</v>
      </c>
      <c r="G82" s="681">
        <f>'6.  Carrying Charges'!L132</f>
        <v>1286.3448000000001</v>
      </c>
      <c r="H82" s="681">
        <f>'6.  Carrying Charges'!M102</f>
        <v>0</v>
      </c>
      <c r="I82" s="681">
        <f>'6.  Carrying Charges'!N102</f>
        <v>0</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9719.9999999999982</v>
      </c>
      <c r="U82" s="154"/>
      <c r="V82" s="155"/>
    </row>
    <row r="83" spans="2:22" s="165" customFormat="1" ht="21.75" customHeight="1">
      <c r="B83" s="625" t="s">
        <v>239</v>
      </c>
      <c r="C83" s="626"/>
      <c r="D83" s="625">
        <f>SUM(D52:D69)+D82</f>
        <v>158826.45746699997</v>
      </c>
      <c r="E83" s="625">
        <f t="shared" ref="E83:Q83" si="2">SUM(E52:E69)+E82</f>
        <v>33197.859194855475</v>
      </c>
      <c r="F83" s="625">
        <f t="shared" si="2"/>
        <v>108487.20794915999</v>
      </c>
      <c r="G83" s="625">
        <f t="shared" si="2"/>
        <v>45835.620631712234</v>
      </c>
      <c r="H83" s="625">
        <f t="shared" si="2"/>
        <v>0</v>
      </c>
      <c r="I83" s="625">
        <f t="shared" si="2"/>
        <v>0</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SUM(R52:R69)+R82</f>
        <v>346347.14524272771</v>
      </c>
      <c r="U83" s="154"/>
      <c r="V83" s="155"/>
    </row>
    <row r="84" spans="2:22" ht="20.25" customHeight="1">
      <c r="B84" s="455" t="s">
        <v>531</v>
      </c>
      <c r="C84" s="604"/>
      <c r="D84" s="603"/>
      <c r="E84" s="603"/>
      <c r="F84" s="603"/>
      <c r="G84" s="603"/>
      <c r="H84" s="603"/>
      <c r="I84" s="603"/>
      <c r="J84" s="603"/>
      <c r="K84" s="603"/>
      <c r="L84" s="603"/>
      <c r="M84" s="603"/>
      <c r="N84" s="603"/>
      <c r="O84" s="603"/>
      <c r="P84" s="603"/>
      <c r="Q84" s="603"/>
      <c r="R84" s="603"/>
      <c r="V84" s="13"/>
    </row>
    <row r="85" spans="2:22" ht="20.25" customHeight="1">
      <c r="B85" s="622"/>
      <c r="C85" s="68"/>
      <c r="E85" s="9"/>
      <c r="V85" s="13"/>
    </row>
    <row r="86" spans="2:22" ht="15">
      <c r="E86" s="9"/>
    </row>
    <row r="87" spans="2:22" ht="21" hidden="1" customHeight="1">
      <c r="B87" s="120" t="s">
        <v>532</v>
      </c>
      <c r="F87" s="591"/>
    </row>
    <row r="88" spans="2:22" s="551" customFormat="1" ht="27.75" hidden="1" customHeight="1">
      <c r="B88" s="572" t="s">
        <v>552</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32637.439488442455</v>
      </c>
      <c r="D91" s="558">
        <f>SUM('4.  2011-2014 LRAM'!Y259:AL259)</f>
        <v>33231.782239110144</v>
      </c>
      <c r="E91" s="558">
        <f>SUM('4.  2011-2014 LRAM'!Y388:AL388)</f>
        <v>32552.443285523208</v>
      </c>
      <c r="F91" s="559">
        <f>SUM('4.  2011-2014 LRAM'!Y517:AL517)</f>
        <v>32827.683327233332</v>
      </c>
      <c r="G91" s="559">
        <f>SUM('5.  2015-2020 LRAM'!Y199:AL199)</f>
        <v>31605.021690000001</v>
      </c>
      <c r="H91" s="558">
        <f>SUM('5.  2015-2020 LRAM'!Y382:AL382)</f>
        <v>25825.573893000001</v>
      </c>
      <c r="I91" s="559">
        <f>SUM('5.  2015-2020 LRAM'!Y565:AL565)</f>
        <v>0</v>
      </c>
      <c r="J91" s="558">
        <f>SUM('5.  2015-2020 LRAM'!Y748:AL748)</f>
        <v>0</v>
      </c>
      <c r="K91" s="558">
        <f>SUM('5.  2015-2020 LRAM'!Y931:AL931)</f>
        <v>0</v>
      </c>
      <c r="L91" s="558">
        <f>SUM('5.  2015-2020 LRAM'!Y1114:AL1114)</f>
        <v>0</v>
      </c>
      <c r="M91" s="558">
        <f>SUM(C91:L91)</f>
        <v>188679.94392330913</v>
      </c>
      <c r="T91" s="199"/>
      <c r="U91" s="199"/>
    </row>
    <row r="92" spans="2:22" s="92" customFormat="1" ht="23.25" hidden="1" customHeight="1">
      <c r="B92" s="200">
        <v>2012</v>
      </c>
      <c r="C92" s="560"/>
      <c r="D92" s="559">
        <f>SUM('4.  2011-2014 LRAM'!Y260:AL260)</f>
        <v>27910.179854999998</v>
      </c>
      <c r="E92" s="558">
        <f>SUM('4.  2011-2014 LRAM'!Y389:AL389)</f>
        <v>27517.032173</v>
      </c>
      <c r="F92" s="559">
        <f>SUM('4.  2011-2014 LRAM'!Y518:AL518)</f>
        <v>27891.432851999998</v>
      </c>
      <c r="G92" s="559">
        <f>SUM('5.  2015-2020 LRAM'!Y200:AL200)</f>
        <v>27815.703608000003</v>
      </c>
      <c r="H92" s="558">
        <f>SUM('5.  2015-2020 LRAM'!Y383:AL383)</f>
        <v>24815.335499000001</v>
      </c>
      <c r="I92" s="559">
        <f>SUM('5.  2015-2020 LRAM'!Y566:AL566)</f>
        <v>0</v>
      </c>
      <c r="J92" s="558">
        <f>SUM('5.  2015-2020 LRAM'!Y749:AL749)</f>
        <v>0</v>
      </c>
      <c r="K92" s="558">
        <f>SUM('5.  2015-2020 LRAM'!Y932:AL932)</f>
        <v>0</v>
      </c>
      <c r="L92" s="558">
        <f>SUM('5.  2015-2020 LRAM'!Y1115:AL1115)</f>
        <v>0</v>
      </c>
      <c r="M92" s="558">
        <f>SUM(D92:L92)</f>
        <v>135949.683987</v>
      </c>
      <c r="T92" s="199"/>
      <c r="U92" s="199"/>
    </row>
    <row r="93" spans="2:22" s="92" customFormat="1" ht="23.25" hidden="1" customHeight="1">
      <c r="B93" s="200">
        <v>2013</v>
      </c>
      <c r="C93" s="561"/>
      <c r="D93" s="561"/>
      <c r="E93" s="559">
        <f>SUM('4.  2011-2014 LRAM'!Y390:AL390)</f>
        <v>34794.947211999999</v>
      </c>
      <c r="F93" s="559">
        <f>SUM('4.  2011-2014 LRAM'!Y519:AL519)</f>
        <v>35186.620439999999</v>
      </c>
      <c r="G93" s="559">
        <f>SUM('5.  2015-2020 LRAM'!Y201:AL201)</f>
        <v>35442.512053999999</v>
      </c>
      <c r="H93" s="558">
        <f>SUM('5.  2015-2020 LRAM'!Y384:AL384)</f>
        <v>32223.231365999996</v>
      </c>
      <c r="I93" s="559">
        <f>SUM('5.  2015-2020 LRAM'!Y567:AL567)</f>
        <v>0</v>
      </c>
      <c r="J93" s="558">
        <f>SUM('5.  2015-2020 LRAM'!Y750:AL750)</f>
        <v>0</v>
      </c>
      <c r="K93" s="558">
        <f>SUM('5.  2015-2020 LRAM'!Y933:AL933)</f>
        <v>0</v>
      </c>
      <c r="L93" s="558">
        <f>SUM('5.  2015-2020 LRAM'!Y1116:AL1116)</f>
        <v>0</v>
      </c>
      <c r="M93" s="558">
        <f>SUM(C93:L93)</f>
        <v>137647.31107199998</v>
      </c>
      <c r="T93" s="199"/>
      <c r="U93" s="199"/>
    </row>
    <row r="94" spans="2:22" s="92" customFormat="1" ht="23.25" hidden="1" customHeight="1">
      <c r="B94" s="200">
        <v>2014</v>
      </c>
      <c r="C94" s="561"/>
      <c r="D94" s="561"/>
      <c r="E94" s="561"/>
      <c r="F94" s="559">
        <f>SUM('4.  2011-2014 LRAM'!Y520:AL520)</f>
        <v>65120.238594000002</v>
      </c>
      <c r="G94" s="559">
        <f>SUM('5.  2015-2020 LRAM'!Y202:AL202)</f>
        <v>63613.186400000006</v>
      </c>
      <c r="H94" s="558">
        <f>SUM('5.  2015-2020 LRAM'!Y385:AL385)</f>
        <v>54763.720100000006</v>
      </c>
      <c r="I94" s="559">
        <f>SUM('5.  2015-2020 LRAM'!Y568:AL568)</f>
        <v>0</v>
      </c>
      <c r="J94" s="558">
        <f>SUM('5.  2015-2020 LRAM'!Y751:AL751)</f>
        <v>0</v>
      </c>
      <c r="K94" s="558">
        <f>SUM('5.  2015-2020 LRAM'!Y934:AL934)</f>
        <v>0</v>
      </c>
      <c r="L94" s="558">
        <f>SUM('5.  2015-2020 LRAM'!Y1117:AL1117)</f>
        <v>0</v>
      </c>
      <c r="M94" s="558">
        <f>SUM(F94:L94)</f>
        <v>183497.14509400001</v>
      </c>
      <c r="T94" s="199"/>
      <c r="U94" s="199"/>
    </row>
    <row r="95" spans="2:22" s="92" customFormat="1" ht="23.25" hidden="1" customHeight="1">
      <c r="B95" s="200">
        <v>2015</v>
      </c>
      <c r="C95" s="561"/>
      <c r="D95" s="561"/>
      <c r="E95" s="561"/>
      <c r="F95" s="561"/>
      <c r="G95" s="559">
        <f>SUM('5.  2015-2020 LRAM'!Y203:AL203)</f>
        <v>66380.177568957006</v>
      </c>
      <c r="H95" s="558">
        <f>SUM('5.  2015-2020 LRAM'!Y386:AL386)</f>
        <v>57658.520743470348</v>
      </c>
      <c r="I95" s="559">
        <f>SUM('5.  2015-2020 LRAM'!Y569:AL569)</f>
        <v>0</v>
      </c>
      <c r="J95" s="558">
        <f>SUM('5.  2015-2020 LRAM'!Y752:AL752)</f>
        <v>0</v>
      </c>
      <c r="K95" s="558">
        <f>SUM('5.  2015-2020 LRAM'!Y935:AL935)</f>
        <v>0</v>
      </c>
      <c r="L95" s="558">
        <f>SUM('5.  2015-2020 LRAM'!Y1118:AL1118)</f>
        <v>0</v>
      </c>
      <c r="M95" s="558">
        <f>SUM(G95:L95)</f>
        <v>124038.69831242735</v>
      </c>
      <c r="T95" s="199"/>
      <c r="U95" s="199"/>
    </row>
    <row r="96" spans="2:22" s="92" customFormat="1" ht="23.25" hidden="1" customHeight="1">
      <c r="B96" s="200">
        <v>2016</v>
      </c>
      <c r="C96" s="561"/>
      <c r="D96" s="561"/>
      <c r="E96" s="561"/>
      <c r="F96" s="561"/>
      <c r="G96" s="561"/>
      <c r="H96" s="558">
        <f>SUM('5.  2015-2020 LRAM'!Y387:AL387)</f>
        <v>96791.487809545113</v>
      </c>
      <c r="I96" s="559">
        <f>SUM('5.  2015-2020 LRAM'!Y570:AL570)</f>
        <v>0</v>
      </c>
      <c r="J96" s="558">
        <f>SUM('5.  2015-2020 LRAM'!Y753:AL753)</f>
        <v>0</v>
      </c>
      <c r="K96" s="558">
        <f>SUM('5.  2015-2020 LRAM'!Y936:AL936)</f>
        <v>0</v>
      </c>
      <c r="L96" s="558">
        <f>SUM('5.  2015-2020 LRAM'!Y1119:AL1119)</f>
        <v>0</v>
      </c>
      <c r="M96" s="558">
        <f>SUM(H96:L96)</f>
        <v>96791.487809545113</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514</v>
      </c>
      <c r="C101" s="557">
        <f>C91</f>
        <v>32637.439488442455</v>
      </c>
      <c r="D101" s="558">
        <f>D91+D92</f>
        <v>61141.962094110146</v>
      </c>
      <c r="E101" s="558">
        <f>E91+E92+E93</f>
        <v>94864.422670523199</v>
      </c>
      <c r="F101" s="558">
        <f>F91+F92+F93+F94</f>
        <v>161025.97521323332</v>
      </c>
      <c r="G101" s="558">
        <f>G91+G92+G93+G94+G95</f>
        <v>224856.60132095701</v>
      </c>
      <c r="H101" s="558">
        <f>H91+H92+H93+H94+H95+H96</f>
        <v>292077.86941101548</v>
      </c>
      <c r="I101" s="558">
        <f>I91+I92+I93+I94+I95+I96+I97</f>
        <v>0</v>
      </c>
      <c r="J101" s="558">
        <f>J91+J92+J93+J94+J95+J96+J97+J98</f>
        <v>0</v>
      </c>
      <c r="K101" s="558">
        <f>K91+K92+K93+K94+K95+K96+K97+K98+K99</f>
        <v>0</v>
      </c>
      <c r="L101" s="558">
        <f>SUM(L91:L100)</f>
        <v>0</v>
      </c>
      <c r="M101" s="558">
        <f>SUM(M91:M100)</f>
        <v>866604.27019828162</v>
      </c>
      <c r="T101" s="201"/>
      <c r="U101" s="201"/>
    </row>
    <row r="102" spans="2:21" s="27" customFormat="1" ht="24.75" hidden="1" customHeight="1">
      <c r="B102" s="574" t="s">
        <v>513</v>
      </c>
      <c r="C102" s="556">
        <f>'4.  2011-2014 LRAM'!AM132</f>
        <v>0</v>
      </c>
      <c r="D102" s="556">
        <f>'4.  2011-2014 LRAM'!AM262</f>
        <v>0</v>
      </c>
      <c r="E102" s="556">
        <f>'4.  2011-2014 LRAM'!AM392</f>
        <v>0</v>
      </c>
      <c r="F102" s="556">
        <f>'4.  2011-2014 LRAM'!AM522</f>
        <v>0</v>
      </c>
      <c r="G102" s="556">
        <f>'5.  2015-2020 LRAM'!AM205</f>
        <v>0</v>
      </c>
      <c r="H102" s="556">
        <f>'5.  2015-2020 LRAM'!AM389</f>
        <v>0</v>
      </c>
      <c r="I102" s="556">
        <f>'5.  2015-2020 LRAM'!AM573</f>
        <v>0</v>
      </c>
      <c r="J102" s="556">
        <f>'5.  2015-2020 LRAM'!AM757</f>
        <v>0</v>
      </c>
      <c r="K102" s="556">
        <f>'5.  2015-2020 LRAM'!AM941</f>
        <v>0</v>
      </c>
      <c r="L102" s="556">
        <f>'5.  2015-2020 LRAM'!AM1125</f>
        <v>0</v>
      </c>
      <c r="M102" s="558">
        <f>SUM(C102:L102)</f>
        <v>0</v>
      </c>
      <c r="T102" s="91"/>
      <c r="U102" s="91"/>
    </row>
    <row r="103" spans="2:21" ht="24.75" hidden="1" customHeight="1">
      <c r="B103" s="574" t="s">
        <v>43</v>
      </c>
      <c r="C103" s="556">
        <f>'6.  Carrying Charges'!W27</f>
        <v>0</v>
      </c>
      <c r="D103" s="556">
        <f>'6.  Carrying Charges'!W42</f>
        <v>0</v>
      </c>
      <c r="E103" s="556">
        <f>'6.  Carrying Charges'!W57</f>
        <v>0</v>
      </c>
      <c r="F103" s="556">
        <f>'6.  Carrying Charges'!W72</f>
        <v>0</v>
      </c>
      <c r="G103" s="556">
        <f>'6.  Carrying Charges'!W87</f>
        <v>0</v>
      </c>
      <c r="H103" s="556">
        <f>'6.  Carrying Charges'!W102</f>
        <v>934</v>
      </c>
      <c r="I103" s="556">
        <f>'6.  Carrying Charges'!W117</f>
        <v>4104</v>
      </c>
      <c r="J103" s="556">
        <f>'6.  Carrying Charges'!W132</f>
        <v>9720</v>
      </c>
      <c r="K103" s="556" t="e">
        <f>'6.  Carrying Charges'!#REF!</f>
        <v>#REF!</v>
      </c>
      <c r="L103" s="556" t="e">
        <f>'6.  Carrying Charges'!#REF!</f>
        <v>#REF!</v>
      </c>
      <c r="M103" s="558" t="e">
        <f>SUM(C103:L103)</f>
        <v>#REF!</v>
      </c>
    </row>
    <row r="104" spans="2:21" ht="23.25" hidden="1" customHeight="1">
      <c r="B104" s="573" t="s">
        <v>26</v>
      </c>
      <c r="C104" s="556">
        <f>C101-C102+C103</f>
        <v>32637.439488442455</v>
      </c>
      <c r="D104" s="556">
        <f t="shared" ref="D104:J104" si="3">D101-D102+D103</f>
        <v>61141.962094110146</v>
      </c>
      <c r="E104" s="556">
        <f t="shared" si="3"/>
        <v>94864.422670523199</v>
      </c>
      <c r="F104" s="556">
        <f t="shared" si="3"/>
        <v>161025.97521323332</v>
      </c>
      <c r="G104" s="556">
        <f t="shared" si="3"/>
        <v>224856.60132095701</v>
      </c>
      <c r="H104" s="556">
        <f t="shared" si="3"/>
        <v>293011.86941101548</v>
      </c>
      <c r="I104" s="556">
        <f t="shared" si="3"/>
        <v>4104</v>
      </c>
      <c r="J104" s="556">
        <f t="shared" si="3"/>
        <v>9720</v>
      </c>
      <c r="K104" s="556" t="e">
        <f>K101-K102+K103</f>
        <v>#REF!</v>
      </c>
      <c r="L104" s="556" t="e">
        <f>L101-L102+L103</f>
        <v>#REF!</v>
      </c>
      <c r="M104" s="556" t="e">
        <f>M101-M102+M103</f>
        <v>#REF!</v>
      </c>
    </row>
    <row r="105" spans="2:21" hidden="1"/>
    <row r="106" spans="2:21">
      <c r="B106" s="591" t="s">
        <v>521</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25" right="0.25" top="0.75" bottom="0.75" header="0.3" footer="0.3"/>
  <pageSetup scale="31" fitToHeight="0" orientation="landscape" r:id="rId1"/>
  <headerFooter>
    <oddFooter>&amp;R&amp;P of &amp;N</oddFooter>
  </headerFooter>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952500</xdr:colOff>
                    <xdr:row>50</xdr:row>
                    <xdr:rowOff>171450</xdr:rowOff>
                  </from>
                  <to>
                    <xdr:col>2</xdr:col>
                    <xdr:colOff>1371600</xdr:colOff>
                    <xdr:row>52</xdr:row>
                    <xdr:rowOff>123825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952500</xdr:colOff>
                    <xdr:row>53</xdr:row>
                    <xdr:rowOff>190500</xdr:rowOff>
                  </from>
                  <to>
                    <xdr:col>2</xdr:col>
                    <xdr:colOff>1371600</xdr:colOff>
                    <xdr:row>55</xdr:row>
                    <xdr:rowOff>142875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952500</xdr:colOff>
                    <xdr:row>57</xdr:row>
                    <xdr:rowOff>9525</xdr:rowOff>
                  </from>
                  <to>
                    <xdr:col>2</xdr:col>
                    <xdr:colOff>1371600</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952500</xdr:colOff>
                    <xdr:row>60</xdr:row>
                    <xdr:rowOff>28575</xdr:rowOff>
                  </from>
                  <to>
                    <xdr:col>2</xdr:col>
                    <xdr:colOff>1371600</xdr:colOff>
                    <xdr:row>61</xdr:row>
                    <xdr:rowOff>180975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952500</xdr:colOff>
                    <xdr:row>63</xdr:row>
                    <xdr:rowOff>47625</xdr:rowOff>
                  </from>
                  <to>
                    <xdr:col>2</xdr:col>
                    <xdr:colOff>1371600</xdr:colOff>
                    <xdr:row>65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5" zoomScaleNormal="85" workbookViewId="0">
      <selection activeCell="E33" sqref="E33:F33"/>
    </sheetView>
  </sheetViews>
  <sheetFormatPr defaultColWidth="9.140625" defaultRowHeight="15"/>
  <cols>
    <col min="1" max="1" width="5.42578125" style="12" customWidth="1"/>
    <col min="2" max="2" width="27" style="12" customWidth="1"/>
    <col min="3" max="3" width="24.28515625" style="12" customWidth="1"/>
    <col min="4" max="4" width="26.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406</v>
      </c>
    </row>
    <row r="16" spans="2:3" ht="27" customHeight="1" thickBot="1">
      <c r="C16" s="571" t="s">
        <v>546</v>
      </c>
    </row>
    <row r="19" spans="2:8" ht="15.75">
      <c r="B19" s="539" t="s">
        <v>614</v>
      </c>
    </row>
    <row r="20" spans="2:8" ht="13.5" customHeight="1"/>
    <row r="21" spans="2:8" ht="57.75" customHeight="1">
      <c r="B21" s="873" t="s">
        <v>631</v>
      </c>
      <c r="C21" s="873"/>
      <c r="D21" s="873"/>
      <c r="E21" s="873"/>
      <c r="F21" s="873"/>
      <c r="G21" s="873"/>
      <c r="H21" s="873"/>
    </row>
    <row r="23" spans="2:8" s="611" customFormat="1" ht="15.75">
      <c r="B23" s="621" t="s">
        <v>541</v>
      </c>
      <c r="C23" s="621" t="s">
        <v>556</v>
      </c>
      <c r="D23" s="621" t="s">
        <v>540</v>
      </c>
      <c r="E23" s="882" t="s">
        <v>34</v>
      </c>
      <c r="F23" s="883"/>
      <c r="G23" s="882" t="s">
        <v>539</v>
      </c>
      <c r="H23" s="883"/>
    </row>
    <row r="24" spans="2:8" ht="107.25" customHeight="1">
      <c r="B24" s="610">
        <v>1</v>
      </c>
      <c r="C24" s="646" t="s">
        <v>369</v>
      </c>
      <c r="D24" s="815" t="s">
        <v>754</v>
      </c>
      <c r="E24" s="878" t="s">
        <v>729</v>
      </c>
      <c r="F24" s="879"/>
      <c r="G24" s="792" t="s">
        <v>762</v>
      </c>
      <c r="H24" s="789"/>
    </row>
    <row r="25" spans="2:8" ht="18.600000000000001" customHeight="1">
      <c r="B25" s="610">
        <v>2</v>
      </c>
      <c r="C25" s="646" t="s">
        <v>369</v>
      </c>
      <c r="D25" s="609" t="s">
        <v>755</v>
      </c>
      <c r="E25" s="878" t="s">
        <v>729</v>
      </c>
      <c r="F25" s="879"/>
      <c r="G25" s="758" t="s">
        <v>735</v>
      </c>
      <c r="H25" s="759"/>
    </row>
    <row r="26" spans="2:8" ht="63.75" customHeight="1">
      <c r="B26" s="610">
        <v>3</v>
      </c>
      <c r="C26" s="646" t="s">
        <v>370</v>
      </c>
      <c r="D26" s="609" t="s">
        <v>756</v>
      </c>
      <c r="E26" s="878" t="s">
        <v>733</v>
      </c>
      <c r="F26" s="879"/>
      <c r="G26" s="792" t="s">
        <v>757</v>
      </c>
      <c r="H26" s="790"/>
    </row>
    <row r="27" spans="2:8" s="670" customFormat="1" ht="63" customHeight="1">
      <c r="B27" s="752">
        <v>4</v>
      </c>
      <c r="C27" s="753" t="s">
        <v>730</v>
      </c>
      <c r="D27" s="754" t="s">
        <v>722</v>
      </c>
      <c r="E27" s="878" t="s">
        <v>734</v>
      </c>
      <c r="F27" s="879"/>
      <c r="G27" s="880" t="s">
        <v>735</v>
      </c>
      <c r="H27" s="881"/>
    </row>
    <row r="28" spans="2:8">
      <c r="B28" s="610">
        <v>5</v>
      </c>
      <c r="C28" s="646"/>
      <c r="D28" s="609"/>
      <c r="E28" s="750"/>
      <c r="F28" s="751"/>
      <c r="G28" s="880"/>
      <c r="H28" s="881"/>
    </row>
    <row r="29" spans="2:8">
      <c r="B29" s="610">
        <v>6</v>
      </c>
      <c r="C29" s="646"/>
      <c r="D29" s="609"/>
      <c r="E29" s="878"/>
      <c r="F29" s="879"/>
      <c r="G29" s="880" t="s">
        <v>722</v>
      </c>
      <c r="H29" s="881"/>
    </row>
    <row r="30" spans="2:8">
      <c r="B30" s="610">
        <v>7</v>
      </c>
      <c r="C30" s="646"/>
      <c r="D30" s="609"/>
      <c r="E30" s="878"/>
      <c r="F30" s="879"/>
      <c r="G30" s="880"/>
      <c r="H30" s="881"/>
    </row>
    <row r="31" spans="2:8">
      <c r="B31" s="610">
        <v>8</v>
      </c>
      <c r="C31" s="646"/>
      <c r="D31" s="609"/>
      <c r="E31" s="878"/>
      <c r="F31" s="879"/>
      <c r="G31" s="880"/>
      <c r="H31" s="881"/>
    </row>
    <row r="32" spans="2:8">
      <c r="B32" s="610">
        <v>9</v>
      </c>
      <c r="C32" s="646"/>
      <c r="D32" s="609"/>
      <c r="E32" s="878"/>
      <c r="F32" s="879"/>
      <c r="G32" s="880"/>
      <c r="H32" s="881"/>
    </row>
    <row r="33" spans="2:8">
      <c r="B33" s="610">
        <v>10</v>
      </c>
      <c r="C33" s="646"/>
      <c r="D33" s="609"/>
      <c r="E33" s="878"/>
      <c r="F33" s="879"/>
      <c r="G33" s="880"/>
      <c r="H33" s="881"/>
    </row>
    <row r="34" spans="2:8">
      <c r="B34" s="610" t="s">
        <v>475</v>
      </c>
      <c r="C34" s="646"/>
      <c r="D34" s="609"/>
      <c r="E34" s="878"/>
      <c r="F34" s="879"/>
      <c r="G34" s="880"/>
      <c r="H34" s="881"/>
    </row>
    <row r="36" spans="2:8" ht="30.75" customHeight="1">
      <c r="B36" s="539" t="s">
        <v>609</v>
      </c>
    </row>
    <row r="37" spans="2:8" ht="23.25" customHeight="1">
      <c r="B37" s="570" t="s">
        <v>615</v>
      </c>
      <c r="C37" s="607"/>
      <c r="D37" s="607"/>
      <c r="E37" s="607"/>
      <c r="F37" s="607"/>
      <c r="G37" s="607"/>
      <c r="H37" s="607"/>
    </row>
    <row r="39" spans="2:8" s="92" customFormat="1" ht="15.75">
      <c r="B39" s="621" t="s">
        <v>541</v>
      </c>
      <c r="C39" s="621" t="s">
        <v>556</v>
      </c>
      <c r="D39" s="621" t="s">
        <v>540</v>
      </c>
      <c r="E39" s="882" t="s">
        <v>34</v>
      </c>
      <c r="F39" s="883"/>
      <c r="G39" s="882" t="s">
        <v>539</v>
      </c>
      <c r="H39" s="883"/>
    </row>
    <row r="40" spans="2:8">
      <c r="B40" s="610">
        <v>1</v>
      </c>
      <c r="C40" s="646"/>
      <c r="D40" s="609"/>
      <c r="E40" s="878"/>
      <c r="F40" s="879"/>
      <c r="G40" s="880"/>
      <c r="H40" s="881"/>
    </row>
    <row r="41" spans="2:8">
      <c r="B41" s="610">
        <v>2</v>
      </c>
      <c r="C41" s="646"/>
      <c r="D41" s="609"/>
      <c r="E41" s="878"/>
      <c r="F41" s="879"/>
      <c r="G41" s="880"/>
      <c r="H41" s="881"/>
    </row>
    <row r="42" spans="2:8">
      <c r="B42" s="610">
        <v>3</v>
      </c>
      <c r="C42" s="646"/>
      <c r="D42" s="609"/>
      <c r="E42" s="878"/>
      <c r="F42" s="879"/>
      <c r="G42" s="880"/>
      <c r="H42" s="881"/>
    </row>
    <row r="43" spans="2:8">
      <c r="B43" s="610">
        <v>4</v>
      </c>
      <c r="C43" s="646"/>
      <c r="D43" s="609"/>
      <c r="E43" s="878"/>
      <c r="F43" s="879"/>
      <c r="G43" s="880"/>
      <c r="H43" s="881"/>
    </row>
    <row r="44" spans="2:8">
      <c r="B44" s="610">
        <v>5</v>
      </c>
      <c r="C44" s="646"/>
      <c r="D44" s="609"/>
      <c r="E44" s="878"/>
      <c r="F44" s="879"/>
      <c r="G44" s="880"/>
      <c r="H44" s="881"/>
    </row>
    <row r="45" spans="2:8">
      <c r="B45" s="610">
        <v>6</v>
      </c>
      <c r="C45" s="646"/>
      <c r="D45" s="609"/>
      <c r="E45" s="878"/>
      <c r="F45" s="879"/>
      <c r="G45" s="880"/>
      <c r="H45" s="881"/>
    </row>
    <row r="46" spans="2:8">
      <c r="B46" s="610">
        <v>7</v>
      </c>
      <c r="C46" s="646"/>
      <c r="D46" s="609"/>
      <c r="E46" s="878"/>
      <c r="F46" s="879"/>
      <c r="G46" s="880"/>
      <c r="H46" s="881"/>
    </row>
    <row r="47" spans="2:8">
      <c r="B47" s="610">
        <v>8</v>
      </c>
      <c r="C47" s="646"/>
      <c r="D47" s="609"/>
      <c r="E47" s="878"/>
      <c r="F47" s="879"/>
      <c r="G47" s="880"/>
      <c r="H47" s="881"/>
    </row>
    <row r="48" spans="2:8">
      <c r="B48" s="610">
        <v>9</v>
      </c>
      <c r="C48" s="646"/>
      <c r="D48" s="609"/>
      <c r="E48" s="878"/>
      <c r="F48" s="879"/>
      <c r="G48" s="880"/>
      <c r="H48" s="881"/>
    </row>
    <row r="49" spans="2:8">
      <c r="B49" s="610">
        <v>10</v>
      </c>
      <c r="C49" s="646"/>
      <c r="D49" s="609"/>
      <c r="E49" s="878"/>
      <c r="F49" s="879"/>
      <c r="G49" s="880"/>
      <c r="H49" s="881"/>
    </row>
    <row r="50" spans="2:8">
      <c r="B50" s="610" t="s">
        <v>475</v>
      </c>
      <c r="C50" s="646"/>
      <c r="D50" s="609"/>
      <c r="E50" s="878"/>
      <c r="F50" s="879"/>
      <c r="G50" s="880"/>
      <c r="H50" s="881"/>
    </row>
  </sheetData>
  <mergeCells count="45">
    <mergeCell ref="E25:F25"/>
    <mergeCell ref="B21:H21"/>
    <mergeCell ref="E33:F33"/>
    <mergeCell ref="G23:H23"/>
    <mergeCell ref="E23:F23"/>
    <mergeCell ref="E24:F24"/>
    <mergeCell ref="E27:F27"/>
    <mergeCell ref="E26:F26"/>
    <mergeCell ref="E29:F29"/>
    <mergeCell ref="E30:F30"/>
    <mergeCell ref="E31:F31"/>
    <mergeCell ref="E32:F32"/>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25" right="0.25" top="0.75" bottom="0.75" header="0.3" footer="0.3"/>
  <pageSetup scale="5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C30:C34 C28 C24:C26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90" zoomScaleNormal="90" workbookViewId="0">
      <selection activeCell="C37" sqref="C37"/>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406</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546</v>
      </c>
      <c r="P7" s="107"/>
      <c r="Q7" s="107"/>
    </row>
    <row r="8" spans="2:17" s="106" customFormat="1" ht="30" customHeight="1">
      <c r="D8" s="576"/>
      <c r="P8" s="107"/>
      <c r="Q8" s="107"/>
    </row>
    <row r="9" spans="2:17" s="2" customFormat="1" ht="24.75" customHeight="1">
      <c r="B9" s="120" t="s">
        <v>411</v>
      </c>
      <c r="C9" s="17"/>
      <c r="D9" s="457"/>
    </row>
    <row r="10" spans="2:17" s="17" customFormat="1" ht="16.5" customHeight="1"/>
    <row r="11" spans="2:17" s="17" customFormat="1" ht="36.75" customHeight="1">
      <c r="B11" s="884" t="s">
        <v>558</v>
      </c>
      <c r="C11" s="884"/>
      <c r="D11" s="884"/>
      <c r="E11" s="884"/>
      <c r="F11" s="884"/>
      <c r="G11" s="884"/>
      <c r="H11" s="884"/>
      <c r="I11" s="884"/>
      <c r="J11" s="884"/>
      <c r="K11" s="884"/>
      <c r="L11" s="884"/>
      <c r="M11" s="884"/>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GS&gt;50 kW</v>
      </c>
      <c r="G13" s="245" t="str">
        <f>'1.  LRAMVA Summary'!G50</f>
        <v>Streetlighting</v>
      </c>
      <c r="H13" s="245" t="str">
        <f>'1.  LRAMVA Summary'!H50</f>
        <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v>
      </c>
      <c r="H14" s="581">
        <f>'1.  LRAMVA Summary'!H51</f>
        <v>0</v>
      </c>
      <c r="I14" s="581">
        <f>'1.  LRAMVA Summary'!I51</f>
        <v>0</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0</v>
      </c>
      <c r="D15" s="453"/>
      <c r="E15" s="453"/>
      <c r="F15" s="453"/>
      <c r="G15" s="453"/>
      <c r="H15" s="453"/>
      <c r="I15" s="453"/>
      <c r="J15" s="453"/>
      <c r="K15" s="453"/>
      <c r="L15" s="453"/>
      <c r="M15" s="453"/>
      <c r="N15" s="453"/>
      <c r="O15" s="453"/>
      <c r="P15" s="454"/>
      <c r="Q15" s="454"/>
    </row>
    <row r="16" spans="2:17" s="458" customFormat="1" ht="15.75" customHeight="1">
      <c r="B16" s="463" t="s">
        <v>28</v>
      </c>
      <c r="C16" s="628">
        <f>SUM(D16:Q16)</f>
        <v>0</v>
      </c>
      <c r="D16" s="452"/>
      <c r="E16" s="452"/>
      <c r="F16" s="452"/>
      <c r="G16" s="452"/>
      <c r="H16" s="452"/>
      <c r="I16" s="452"/>
      <c r="J16" s="452"/>
      <c r="K16" s="454"/>
      <c r="L16" s="454"/>
      <c r="M16" s="454"/>
      <c r="N16" s="454"/>
      <c r="O16" s="454"/>
      <c r="P16" s="454"/>
      <c r="Q16" s="454"/>
    </row>
    <row r="17" spans="2:17" s="17" customFormat="1" ht="15.75" customHeight="1"/>
    <row r="18" spans="2:17" s="25" customFormat="1" ht="15.75" customHeight="1">
      <c r="B18" s="193" t="s">
        <v>448</v>
      </c>
      <c r="C18" s="194"/>
      <c r="D18" s="194">
        <f t="shared" ref="D18:E18" si="0">IF(D14="kw",HLOOKUP(D14,D14:D16,3,FALSE),HLOOKUP(D14,D14:D16,2,FALSE))</f>
        <v>0</v>
      </c>
      <c r="E18" s="194">
        <f t="shared" si="0"/>
        <v>0</v>
      </c>
      <c r="F18" s="194">
        <f>IF(F14="kw",HLOOKUP(F14,F14:F16,3,FALSE),HLOOKUP(F14,F14:F16,2,FALSE))</f>
        <v>0</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365</v>
      </c>
      <c r="C20" s="455" t="s">
        <v>722</v>
      </c>
      <c r="D20" s="456"/>
    </row>
    <row r="21" spans="2:17" s="440" customFormat="1" ht="21" customHeight="1">
      <c r="B21" s="462" t="s">
        <v>366</v>
      </c>
      <c r="C21" s="455" t="s">
        <v>722</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412</v>
      </c>
      <c r="C24" s="120"/>
      <c r="D24" s="457"/>
    </row>
    <row r="25" spans="2:17" s="2" customFormat="1" ht="15.75" customHeight="1">
      <c r="D25" s="20"/>
    </row>
    <row r="26" spans="2:17" s="2" customFormat="1" ht="42" customHeight="1">
      <c r="B26" s="884" t="s">
        <v>557</v>
      </c>
      <c r="C26" s="884"/>
      <c r="D26" s="884"/>
      <c r="E26" s="884"/>
      <c r="F26" s="884"/>
      <c r="G26" s="884"/>
      <c r="H26" s="884"/>
      <c r="I26" s="884"/>
      <c r="J26" s="884"/>
      <c r="K26" s="884"/>
      <c r="L26" s="884"/>
      <c r="M26" s="884"/>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GS&gt;50 kW</v>
      </c>
      <c r="G28" s="245" t="str">
        <f>'1.  LRAMVA Summary'!G50</f>
        <v>Streetlighting</v>
      </c>
      <c r="H28" s="245" t="str">
        <f>'1.  LRAMVA Summary'!H50</f>
        <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v>
      </c>
      <c r="H29" s="581">
        <f>'1.  LRAMVA Summary'!H51</f>
        <v>0</v>
      </c>
      <c r="I29" s="581">
        <f>'1.  LRAMVA Summary'!I51</f>
        <v>0</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v>0</v>
      </c>
      <c r="E30" s="464">
        <v>0</v>
      </c>
      <c r="F30" s="464">
        <v>0</v>
      </c>
      <c r="G30" s="464">
        <v>0</v>
      </c>
      <c r="H30" s="464"/>
      <c r="I30" s="464"/>
      <c r="J30" s="464"/>
      <c r="K30" s="464"/>
      <c r="L30" s="464"/>
      <c r="M30" s="464"/>
      <c r="N30" s="464"/>
      <c r="O30" s="464"/>
      <c r="P30" s="464"/>
      <c r="Q30" s="454"/>
    </row>
    <row r="31" spans="2:17" s="465" customFormat="1" ht="15" customHeight="1">
      <c r="B31" s="463" t="s">
        <v>28</v>
      </c>
      <c r="C31" s="628">
        <f>SUM(D31:Q31)</f>
        <v>0</v>
      </c>
      <c r="D31" s="452">
        <v>0</v>
      </c>
      <c r="E31" s="452">
        <v>0</v>
      </c>
      <c r="F31" s="452">
        <v>0</v>
      </c>
      <c r="G31" s="452">
        <v>0</v>
      </c>
      <c r="H31" s="452"/>
      <c r="I31" s="452"/>
      <c r="J31" s="452"/>
      <c r="K31" s="454"/>
      <c r="L31" s="454"/>
      <c r="M31" s="454"/>
      <c r="N31" s="454"/>
      <c r="O31" s="454"/>
      <c r="P31" s="454"/>
      <c r="Q31" s="454"/>
    </row>
    <row r="32" spans="2:17" s="17" customFormat="1" ht="15.75" customHeight="1"/>
    <row r="33" spans="2:32" s="25" customFormat="1" ht="15.75" customHeight="1">
      <c r="B33" s="193" t="s">
        <v>448</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365</v>
      </c>
      <c r="C35" s="455" t="s">
        <v>722</v>
      </c>
      <c r="D35" s="456"/>
      <c r="E35" s="95"/>
      <c r="F35" s="95"/>
      <c r="G35" s="95"/>
      <c r="H35" s="95"/>
      <c r="I35" s="95"/>
      <c r="J35" s="95"/>
      <c r="K35" s="95"/>
      <c r="L35" s="95"/>
      <c r="M35" s="95"/>
      <c r="N35" s="95"/>
      <c r="O35" s="95"/>
      <c r="P35" s="95"/>
      <c r="Q35" s="95"/>
    </row>
    <row r="36" spans="2:32" s="440" customFormat="1" ht="21" customHeight="1">
      <c r="B36" s="462" t="s">
        <v>366</v>
      </c>
      <c r="C36" s="455" t="s">
        <v>722</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450</v>
      </c>
      <c r="C39" s="35"/>
      <c r="D39" s="34"/>
      <c r="E39" s="39"/>
      <c r="F39" s="40"/>
    </row>
    <row r="40" spans="2:32" s="72" customFormat="1" ht="39" customHeight="1">
      <c r="B40" s="884" t="s">
        <v>607</v>
      </c>
      <c r="C40" s="884"/>
      <c r="D40" s="884"/>
      <c r="E40" s="884"/>
      <c r="F40" s="884"/>
      <c r="G40" s="884"/>
      <c r="H40" s="884"/>
      <c r="I40" s="884"/>
      <c r="J40" s="884"/>
      <c r="K40" s="884"/>
      <c r="L40" s="884"/>
      <c r="M40" s="884"/>
      <c r="N40" s="616"/>
      <c r="O40" s="616"/>
      <c r="P40" s="616"/>
      <c r="Q40" s="616"/>
    </row>
    <row r="41" spans="2:32" s="2" customFormat="1" ht="16.5" customHeight="1">
      <c r="B41" s="10"/>
      <c r="C41" s="10"/>
      <c r="D41" s="22"/>
      <c r="E41" s="20"/>
      <c r="F41" s="20"/>
      <c r="G41" s="20"/>
      <c r="R41" s="20"/>
    </row>
    <row r="42" spans="2:32" s="17" customFormat="1" ht="56.25" customHeight="1">
      <c r="B42" s="245" t="s">
        <v>233</v>
      </c>
      <c r="C42" s="245" t="s">
        <v>604</v>
      </c>
      <c r="D42" s="245" t="str">
        <f>'1.  LRAMVA Summary'!D50</f>
        <v>Residential</v>
      </c>
      <c r="E42" s="245" t="str">
        <f>'1.  LRAMVA Summary'!E50</f>
        <v>GS&lt;50 kW</v>
      </c>
      <c r="F42" s="245" t="str">
        <f>'1.  LRAMVA Summary'!F50</f>
        <v>GS&gt;50 kW</v>
      </c>
      <c r="G42" s="245" t="str">
        <f>'1.  LRAMVA Summary'!G50</f>
        <v>Streetlighting</v>
      </c>
      <c r="H42" s="245" t="str">
        <f>'1.  LRAMVA Summary'!H50</f>
        <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v>
      </c>
      <c r="H43" s="585">
        <f>'1.  LRAMVA Summary'!H51</f>
        <v>0</v>
      </c>
      <c r="I43" s="585">
        <f>'1.  LRAMVA Summary'!I51</f>
        <v>0</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v>0</v>
      </c>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v>0</v>
      </c>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v>0</v>
      </c>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0</v>
      </c>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6">
        <v>0</v>
      </c>
      <c r="D48" s="192">
        <f t="shared" ref="D48:Q48" si="7">IF(ISBLANK($C$48),0,IF($C$48=$D$9,HLOOKUP(D43,D14:D18,5,FALSE),HLOOKUP(D43,D29:D33,5,FALSE)))</f>
        <v>0</v>
      </c>
      <c r="E48" s="192">
        <f t="shared" si="7"/>
        <v>0</v>
      </c>
      <c r="F48" s="192">
        <f t="shared" si="7"/>
        <v>0</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6">
        <v>0</v>
      </c>
      <c r="D49" s="192">
        <f t="shared" ref="D49:Q49" si="8">IF(ISBLANK($C$49),0,IF($C$49=$D$9,HLOOKUP(D43,D14:D18,5,FALSE),HLOOKUP(D43,D29:D33,5,FALSE)))</f>
        <v>0</v>
      </c>
      <c r="E49" s="192">
        <f t="shared" si="8"/>
        <v>0</v>
      </c>
      <c r="F49" s="192">
        <f t="shared" si="8"/>
        <v>0</v>
      </c>
      <c r="G49" s="192">
        <f t="shared" si="8"/>
        <v>0</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36"/>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36"/>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6"/>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6"/>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531</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5" right="0.25" top="0.75" bottom="0.75" header="0.3" footer="0.3"/>
  <pageSetup scale="33"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52" zoomScaleNormal="52" workbookViewId="0">
      <pane ySplit="14" topLeftCell="A15" activePane="bottomLeft" state="frozen"/>
      <selection pane="bottomLeft" activeCell="J44" sqref="J44"/>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90" t="s">
        <v>172</v>
      </c>
      <c r="C4" s="87" t="s">
        <v>176</v>
      </c>
      <c r="D4" s="87"/>
      <c r="E4" s="50"/>
    </row>
    <row r="5" spans="1:26" s="18" customFormat="1" ht="26.25" hidden="1" customHeight="1" outlineLevel="1" thickBot="1">
      <c r="A5" s="4"/>
      <c r="B5" s="890"/>
      <c r="C5" s="88" t="s">
        <v>173</v>
      </c>
      <c r="D5" s="88"/>
      <c r="E5" s="50"/>
    </row>
    <row r="6" spans="1:26" ht="26.25" hidden="1" customHeight="1" outlineLevel="1" thickBot="1">
      <c r="B6" s="890"/>
      <c r="C6" s="893" t="s">
        <v>546</v>
      </c>
      <c r="D6" s="894"/>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522</v>
      </c>
      <c r="C8" s="596" t="s">
        <v>477</v>
      </c>
      <c r="D8" s="595"/>
      <c r="M8" s="6"/>
      <c r="N8" s="6"/>
      <c r="O8" s="6"/>
      <c r="P8" s="6"/>
      <c r="Q8" s="6"/>
      <c r="R8" s="6"/>
      <c r="S8" s="6"/>
      <c r="T8" s="6"/>
      <c r="U8" s="6"/>
      <c r="V8" s="6"/>
      <c r="W8" s="6"/>
      <c r="X8" s="6"/>
      <c r="Y8" s="6"/>
      <c r="Z8" s="6"/>
    </row>
    <row r="9" spans="1:26" s="18" customFormat="1" ht="19.5" hidden="1" customHeight="1" outlineLevel="1">
      <c r="A9" s="4"/>
      <c r="B9" s="542"/>
      <c r="C9" s="596" t="s">
        <v>523</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478</v>
      </c>
      <c r="O11" s="554"/>
    </row>
    <row r="12" spans="1:26" ht="58.5" customHeight="1">
      <c r="B12" s="888" t="s">
        <v>616</v>
      </c>
      <c r="C12" s="888"/>
      <c r="D12" s="888"/>
      <c r="E12" s="888"/>
      <c r="F12" s="888"/>
      <c r="G12" s="888"/>
      <c r="H12" s="888"/>
      <c r="I12" s="888"/>
      <c r="J12" s="888"/>
      <c r="K12" s="888"/>
      <c r="L12" s="888"/>
      <c r="M12" s="888"/>
      <c r="N12" s="888"/>
      <c r="O12" s="888"/>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711</v>
      </c>
      <c r="E14" s="474" t="s">
        <v>677</v>
      </c>
      <c r="F14" s="474" t="s">
        <v>678</v>
      </c>
      <c r="G14" s="474" t="s">
        <v>679</v>
      </c>
      <c r="H14" s="474" t="s">
        <v>680</v>
      </c>
      <c r="I14" s="474" t="s">
        <v>681</v>
      </c>
      <c r="J14" s="474" t="s">
        <v>712</v>
      </c>
      <c r="K14" s="474" t="s">
        <v>709</v>
      </c>
      <c r="L14" s="474" t="s">
        <v>713</v>
      </c>
      <c r="M14" s="474" t="s">
        <v>563</v>
      </c>
      <c r="N14" s="474" t="s">
        <v>564</v>
      </c>
      <c r="O14" s="474" t="s">
        <v>565</v>
      </c>
      <c r="P14" s="7"/>
    </row>
    <row r="15" spans="1:26" s="7" customFormat="1" ht="18.75" customHeight="1">
      <c r="B15" s="475" t="s">
        <v>187</v>
      </c>
      <c r="C15" s="891"/>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554</v>
      </c>
      <c r="C16" s="886"/>
      <c r="D16" s="479"/>
      <c r="E16" s="479"/>
      <c r="F16" s="479"/>
      <c r="G16" s="479"/>
      <c r="H16" s="479"/>
      <c r="I16" s="479"/>
      <c r="J16" s="479"/>
      <c r="K16" s="479"/>
      <c r="L16" s="479"/>
      <c r="M16" s="479"/>
      <c r="N16" s="479"/>
      <c r="O16" s="480"/>
    </row>
    <row r="17" spans="1:15" s="113" customFormat="1" ht="17.25" customHeight="1">
      <c r="B17" s="481" t="s">
        <v>555</v>
      </c>
      <c r="C17" s="892"/>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2" t="str">
        <f>'1.  LRAMVA Summary'!B27</f>
        <v>Residential</v>
      </c>
      <c r="C18" s="885" t="str">
        <f>'2. LRAMVA Threshold'!D43</f>
        <v>kWh</v>
      </c>
      <c r="D18" s="47"/>
      <c r="E18" s="47">
        <v>1.41E-2</v>
      </c>
      <c r="F18" s="47">
        <v>1.4200000000000001E-2</v>
      </c>
      <c r="G18" s="47">
        <v>1.44E-2</v>
      </c>
      <c r="H18" s="47">
        <v>1.46E-2</v>
      </c>
      <c r="I18" s="47">
        <v>1.4800000000000001E-2</v>
      </c>
      <c r="J18" s="47">
        <v>1.1299999999999999E-2</v>
      </c>
      <c r="K18" s="47"/>
      <c r="L18" s="47"/>
      <c r="M18" s="47"/>
      <c r="N18" s="47"/>
      <c r="O18" s="71"/>
    </row>
    <row r="19" spans="1:15" s="7" customFormat="1" ht="15" hidden="1" customHeight="1" outlineLevel="1">
      <c r="B19" s="538" t="s">
        <v>506</v>
      </c>
      <c r="C19" s="886"/>
      <c r="D19" s="47"/>
      <c r="E19" s="47"/>
      <c r="F19" s="47">
        <v>-2.0000000000000001E-4</v>
      </c>
      <c r="G19" s="47"/>
      <c r="H19" s="47"/>
      <c r="I19" s="47"/>
      <c r="J19" s="47"/>
      <c r="K19" s="47"/>
      <c r="L19" s="47"/>
      <c r="M19" s="47"/>
      <c r="N19" s="47"/>
      <c r="O19" s="71"/>
    </row>
    <row r="20" spans="1:15" s="7" customFormat="1" ht="15" hidden="1" customHeight="1" outlineLevel="1">
      <c r="B20" s="538" t="s">
        <v>507</v>
      </c>
      <c r="C20" s="886"/>
      <c r="D20" s="47"/>
      <c r="E20" s="47"/>
      <c r="F20" s="47"/>
      <c r="G20" s="47"/>
      <c r="H20" s="47"/>
      <c r="I20" s="47"/>
      <c r="J20" s="47"/>
      <c r="K20" s="47"/>
      <c r="L20" s="47"/>
      <c r="M20" s="47"/>
      <c r="N20" s="47"/>
      <c r="O20" s="71"/>
    </row>
    <row r="21" spans="1:15" s="7" customFormat="1" ht="15" hidden="1" customHeight="1" outlineLevel="1">
      <c r="B21" s="538" t="s">
        <v>717</v>
      </c>
      <c r="C21" s="886"/>
      <c r="D21" s="47"/>
      <c r="E21" s="47">
        <v>5.0000000000000001E-4</v>
      </c>
      <c r="F21" s="47">
        <v>8.9999999999999998E-4</v>
      </c>
      <c r="G21" s="47"/>
      <c r="H21" s="47"/>
      <c r="I21" s="47"/>
      <c r="J21" s="47"/>
      <c r="K21" s="47">
        <v>6.9999999999999999E-4</v>
      </c>
      <c r="L21" s="47"/>
      <c r="M21" s="47"/>
      <c r="N21" s="47"/>
      <c r="O21" s="71"/>
    </row>
    <row r="22" spans="1:15" s="7" customFormat="1" ht="14.25" customHeight="1" collapsed="1">
      <c r="B22" s="538" t="s">
        <v>508</v>
      </c>
      <c r="C22" s="887"/>
      <c r="D22" s="67">
        <f>SUM(D18:D21)</f>
        <v>0</v>
      </c>
      <c r="E22" s="67">
        <f>SUM(E18:E21)</f>
        <v>1.46E-2</v>
      </c>
      <c r="F22" s="67">
        <f>SUM(F18:F21)</f>
        <v>1.49E-2</v>
      </c>
      <c r="G22" s="67">
        <f t="shared" ref="G22:N22" si="2">SUM(G18:G21)</f>
        <v>1.44E-2</v>
      </c>
      <c r="H22" s="67">
        <f t="shared" si="2"/>
        <v>1.46E-2</v>
      </c>
      <c r="I22" s="67">
        <f t="shared" si="2"/>
        <v>1.4800000000000001E-2</v>
      </c>
      <c r="J22" s="67">
        <f t="shared" si="2"/>
        <v>1.1299999999999999E-2</v>
      </c>
      <c r="K22" s="67"/>
      <c r="L22" s="67">
        <f t="shared" si="2"/>
        <v>0</v>
      </c>
      <c r="M22" s="67">
        <f t="shared" si="2"/>
        <v>0</v>
      </c>
      <c r="N22" s="67">
        <f t="shared" si="2"/>
        <v>0</v>
      </c>
      <c r="O22" s="78"/>
    </row>
    <row r="23" spans="1:15" s="65" customFormat="1">
      <c r="A23" s="64"/>
      <c r="B23" s="494" t="s">
        <v>509</v>
      </c>
      <c r="C23" s="484"/>
      <c r="D23" s="485"/>
      <c r="E23" s="486">
        <f>ROUND(SUM(D22*E16+E22*E17)/12,4)</f>
        <v>1.46E-2</v>
      </c>
      <c r="F23" s="486">
        <f>ROUND(SUM(E22*F16+F22*F17)/12,4)</f>
        <v>1.49E-2</v>
      </c>
      <c r="G23" s="486">
        <f>ROUND(SUM(F22*G16+G22*G17)/12,4)</f>
        <v>1.44E-2</v>
      </c>
      <c r="H23" s="486">
        <f>ROUND(SUM(G22*H16+H22*H17)/12,4)</f>
        <v>1.46E-2</v>
      </c>
      <c r="I23" s="486">
        <f>ROUND(SUM(H22*I16+I22*I17)/12,4)</f>
        <v>1.4800000000000001E-2</v>
      </c>
      <c r="J23" s="486">
        <f t="shared" ref="J23:N23" si="3">ROUND(SUM(I22*J16+J22*J17)/12,4)</f>
        <v>1.1299999999999999E-2</v>
      </c>
      <c r="K23" s="486">
        <f t="shared" si="3"/>
        <v>0</v>
      </c>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GS&lt;50 kW</v>
      </c>
      <c r="C25" s="885" t="str">
        <f>'2. LRAMVA Threshold'!E43</f>
        <v>kWh</v>
      </c>
      <c r="D25" s="47"/>
      <c r="E25" s="47">
        <v>1.9400000000000001E-2</v>
      </c>
      <c r="F25" s="47">
        <v>1.95E-2</v>
      </c>
      <c r="G25" s="47">
        <v>1.9699999999999999E-2</v>
      </c>
      <c r="H25" s="47">
        <v>0.02</v>
      </c>
      <c r="I25" s="47">
        <v>2.0299999999999999E-2</v>
      </c>
      <c r="J25" s="47">
        <v>2.07E-2</v>
      </c>
      <c r="K25" s="47"/>
      <c r="L25" s="47"/>
      <c r="M25" s="47"/>
      <c r="N25" s="47"/>
      <c r="O25" s="71"/>
    </row>
    <row r="26" spans="1:15" s="18" customFormat="1" hidden="1" outlineLevel="1">
      <c r="A26" s="4"/>
      <c r="B26" s="538" t="s">
        <v>506</v>
      </c>
      <c r="C26" s="886"/>
      <c r="D26" s="47"/>
      <c r="E26" s="47"/>
      <c r="F26" s="47">
        <v>-1E-4</v>
      </c>
      <c r="G26" s="47"/>
      <c r="H26" s="47"/>
      <c r="I26" s="47"/>
      <c r="J26" s="47"/>
      <c r="K26" s="47"/>
      <c r="L26" s="47"/>
      <c r="M26" s="47"/>
      <c r="N26" s="47"/>
      <c r="O26" s="71"/>
    </row>
    <row r="27" spans="1:15" s="18" customFormat="1" hidden="1" outlineLevel="1">
      <c r="A27" s="4"/>
      <c r="B27" s="538" t="s">
        <v>718</v>
      </c>
      <c r="C27" s="886"/>
      <c r="D27" s="47"/>
      <c r="E27" s="47"/>
      <c r="F27" s="47"/>
      <c r="G27" s="47"/>
      <c r="H27" s="47"/>
      <c r="I27" s="47"/>
      <c r="J27" s="47"/>
      <c r="K27" s="47">
        <v>-1.5E-3</v>
      </c>
      <c r="L27" s="47"/>
      <c r="M27" s="47"/>
      <c r="N27" s="47"/>
      <c r="O27" s="71"/>
    </row>
    <row r="28" spans="1:15" s="18" customFormat="1" hidden="1" outlineLevel="1">
      <c r="A28" s="4"/>
      <c r="B28" s="538" t="s">
        <v>717</v>
      </c>
      <c r="C28" s="886"/>
      <c r="D28" s="47"/>
      <c r="E28" s="47"/>
      <c r="F28" s="47">
        <v>1.1000000000000001E-3</v>
      </c>
      <c r="G28" s="47"/>
      <c r="H28" s="47"/>
      <c r="I28" s="47"/>
      <c r="J28" s="47"/>
      <c r="K28" s="47">
        <v>6.9999999999999999E-4</v>
      </c>
      <c r="L28" s="47"/>
      <c r="M28" s="47"/>
      <c r="N28" s="47"/>
      <c r="O28" s="71"/>
    </row>
    <row r="29" spans="1:15" s="18" customFormat="1" collapsed="1">
      <c r="A29" s="4"/>
      <c r="B29" s="538" t="s">
        <v>508</v>
      </c>
      <c r="C29" s="887"/>
      <c r="D29" s="67">
        <f>SUM(D25:D28)</f>
        <v>0</v>
      </c>
      <c r="E29" s="67">
        <f t="shared" ref="E29:N29" si="4">SUM(E25:E28)</f>
        <v>1.9400000000000001E-2</v>
      </c>
      <c r="F29" s="67">
        <f t="shared" si="4"/>
        <v>2.0500000000000001E-2</v>
      </c>
      <c r="G29" s="67">
        <f t="shared" si="4"/>
        <v>1.9699999999999999E-2</v>
      </c>
      <c r="H29" s="67">
        <f t="shared" si="4"/>
        <v>0.02</v>
      </c>
      <c r="I29" s="67">
        <f t="shared" si="4"/>
        <v>2.0299999999999999E-2</v>
      </c>
      <c r="J29" s="67">
        <f t="shared" si="4"/>
        <v>2.07E-2</v>
      </c>
      <c r="K29" s="67"/>
      <c r="L29" s="67">
        <f t="shared" si="4"/>
        <v>0</v>
      </c>
      <c r="M29" s="67">
        <f t="shared" si="4"/>
        <v>0</v>
      </c>
      <c r="N29" s="67">
        <f t="shared" si="4"/>
        <v>0</v>
      </c>
      <c r="O29" s="78"/>
    </row>
    <row r="30" spans="1:15" s="18" customFormat="1">
      <c r="A30" s="4"/>
      <c r="B30" s="494" t="s">
        <v>509</v>
      </c>
      <c r="C30" s="490"/>
      <c r="D30" s="73"/>
      <c r="E30" s="486">
        <f>ROUND(SUM(D29*E16+E29*E17)/12,4)</f>
        <v>1.9400000000000001E-2</v>
      </c>
      <c r="F30" s="486">
        <f t="shared" ref="F30:N30" si="5">ROUND(SUM(E29*F16+F29*F17)/12,4)</f>
        <v>2.0500000000000001E-2</v>
      </c>
      <c r="G30" s="486">
        <f t="shared" si="5"/>
        <v>1.9699999999999999E-2</v>
      </c>
      <c r="H30" s="486">
        <f t="shared" si="5"/>
        <v>0.02</v>
      </c>
      <c r="I30" s="486">
        <f t="shared" si="5"/>
        <v>2.0299999999999999E-2</v>
      </c>
      <c r="J30" s="486">
        <f>ROUND(SUM(I29*J16+J29*J17)/12,4)</f>
        <v>2.07E-2</v>
      </c>
      <c r="K30" s="486">
        <f t="shared" si="5"/>
        <v>0</v>
      </c>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GS&gt;50 kW</v>
      </c>
      <c r="C32" s="885" t="str">
        <f>'2. LRAMVA Threshold'!F43</f>
        <v>KW</v>
      </c>
      <c r="D32" s="47"/>
      <c r="E32" s="47">
        <v>3.9178000000000002</v>
      </c>
      <c r="F32" s="47">
        <v>3.9405000000000001</v>
      </c>
      <c r="G32" s="47">
        <v>3.9830999999999999</v>
      </c>
      <c r="H32" s="47">
        <v>4.0388999999999999</v>
      </c>
      <c r="I32" s="47">
        <v>4.0914000000000001</v>
      </c>
      <c r="J32" s="47">
        <v>4.165</v>
      </c>
      <c r="K32" s="47"/>
      <c r="L32" s="47"/>
      <c r="M32" s="47"/>
      <c r="N32" s="47"/>
      <c r="O32" s="71"/>
    </row>
    <row r="33" spans="1:15" s="18" customFormat="1" hidden="1" outlineLevel="1">
      <c r="A33" s="4"/>
      <c r="B33" s="538" t="s">
        <v>506</v>
      </c>
      <c r="C33" s="886"/>
      <c r="D33" s="47"/>
      <c r="E33" s="47"/>
      <c r="F33" s="47">
        <v>-2.1999999999999999E-2</v>
      </c>
      <c r="G33" s="47"/>
      <c r="H33" s="47"/>
      <c r="I33" s="47"/>
      <c r="J33" s="47"/>
      <c r="K33" s="47"/>
      <c r="L33" s="47"/>
      <c r="M33" s="47"/>
      <c r="N33" s="47"/>
      <c r="O33" s="71"/>
    </row>
    <row r="34" spans="1:15" s="18" customFormat="1" hidden="1" outlineLevel="1">
      <c r="A34" s="4"/>
      <c r="B34" s="538" t="s">
        <v>718</v>
      </c>
      <c r="C34" s="886"/>
      <c r="D34" s="47"/>
      <c r="E34" s="47"/>
      <c r="F34" s="47"/>
      <c r="G34" s="47"/>
      <c r="H34" s="47"/>
      <c r="I34" s="47"/>
      <c r="J34" s="47"/>
      <c r="K34" s="47">
        <v>-0.63649999999999995</v>
      </c>
      <c r="L34" s="47"/>
      <c r="M34" s="47"/>
      <c r="N34" s="47"/>
      <c r="O34" s="71"/>
    </row>
    <row r="35" spans="1:15" s="18" customFormat="1" hidden="1" outlineLevel="1">
      <c r="A35" s="4"/>
      <c r="B35" s="538" t="s">
        <v>717</v>
      </c>
      <c r="C35" s="886"/>
      <c r="D35" s="47"/>
      <c r="E35" s="47">
        <v>1.5299999999999999E-2</v>
      </c>
      <c r="F35" s="47">
        <v>6.2700000000000006E-2</v>
      </c>
      <c r="G35" s="47"/>
      <c r="H35" s="47"/>
      <c r="I35" s="47"/>
      <c r="J35" s="47"/>
      <c r="K35" s="47">
        <v>0.26840000000000003</v>
      </c>
      <c r="L35" s="47"/>
      <c r="M35" s="47"/>
      <c r="N35" s="47"/>
      <c r="O35" s="71"/>
    </row>
    <row r="36" spans="1:15" s="18" customFormat="1" collapsed="1">
      <c r="A36" s="4"/>
      <c r="B36" s="538" t="s">
        <v>508</v>
      </c>
      <c r="C36" s="887"/>
      <c r="D36" s="67">
        <f>SUM(D32:D35)</f>
        <v>0</v>
      </c>
      <c r="E36" s="67">
        <f>SUM(E32:E35)</f>
        <v>3.9331</v>
      </c>
      <c r="F36" s="67">
        <f t="shared" ref="F36:M36" si="6">SUM(F32:F35)</f>
        <v>3.9812000000000003</v>
      </c>
      <c r="G36" s="67">
        <f t="shared" si="6"/>
        <v>3.9830999999999999</v>
      </c>
      <c r="H36" s="67">
        <f t="shared" si="6"/>
        <v>4.0388999999999999</v>
      </c>
      <c r="I36" s="67">
        <f t="shared" si="6"/>
        <v>4.0914000000000001</v>
      </c>
      <c r="J36" s="67">
        <f t="shared" si="6"/>
        <v>4.165</v>
      </c>
      <c r="K36" s="67"/>
      <c r="L36" s="67">
        <f t="shared" si="6"/>
        <v>0</v>
      </c>
      <c r="M36" s="67">
        <f t="shared" si="6"/>
        <v>0</v>
      </c>
      <c r="N36" s="67">
        <f>SUM(N32:N35)</f>
        <v>0</v>
      </c>
      <c r="O36" s="78"/>
    </row>
    <row r="37" spans="1:15" s="18" customFormat="1">
      <c r="A37" s="4"/>
      <c r="B37" s="494" t="s">
        <v>509</v>
      </c>
      <c r="C37" s="490"/>
      <c r="D37" s="73"/>
      <c r="E37" s="486">
        <f t="shared" ref="E37:N37" si="7">ROUND(SUM(D36*E16+E36*E17)/12,4)</f>
        <v>3.9331</v>
      </c>
      <c r="F37" s="486">
        <f t="shared" si="7"/>
        <v>3.9811999999999999</v>
      </c>
      <c r="G37" s="486">
        <f t="shared" si="7"/>
        <v>3.9830999999999999</v>
      </c>
      <c r="H37" s="486">
        <f t="shared" si="7"/>
        <v>4.0388999999999999</v>
      </c>
      <c r="I37" s="486">
        <f t="shared" si="7"/>
        <v>4.0914000000000001</v>
      </c>
      <c r="J37" s="486">
        <f t="shared" si="7"/>
        <v>4.165</v>
      </c>
      <c r="K37" s="486">
        <f t="shared" si="7"/>
        <v>0</v>
      </c>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Streetlighting</v>
      </c>
      <c r="C39" s="885" t="str">
        <f>'2. LRAMVA Threshold'!G43</f>
        <v>kW</v>
      </c>
      <c r="D39" s="47"/>
      <c r="E39" s="47"/>
      <c r="F39" s="47"/>
      <c r="G39" s="47"/>
      <c r="H39" s="47"/>
      <c r="I39" s="47">
        <v>6.8971999999999998</v>
      </c>
      <c r="J39" s="47">
        <v>7.0213000000000001</v>
      </c>
      <c r="K39" s="47"/>
      <c r="L39" s="47"/>
      <c r="M39" s="47"/>
      <c r="N39" s="47"/>
      <c r="O39" s="71"/>
    </row>
    <row r="40" spans="1:15" s="18" customFormat="1" hidden="1" outlineLevel="1">
      <c r="A40" s="4"/>
      <c r="B40" s="538" t="s">
        <v>506</v>
      </c>
      <c r="C40" s="886"/>
      <c r="D40" s="47"/>
      <c r="E40" s="47"/>
      <c r="F40" s="47"/>
      <c r="G40" s="47"/>
      <c r="H40" s="47"/>
      <c r="I40" s="47"/>
      <c r="J40" s="47"/>
      <c r="K40" s="47"/>
      <c r="L40" s="47"/>
      <c r="M40" s="47"/>
      <c r="N40" s="47"/>
      <c r="O40" s="71"/>
    </row>
    <row r="41" spans="1:15" s="18" customFormat="1" hidden="1" outlineLevel="1">
      <c r="A41" s="4"/>
      <c r="B41" s="538" t="s">
        <v>718</v>
      </c>
      <c r="C41" s="886"/>
      <c r="D41" s="47"/>
      <c r="E41" s="47"/>
      <c r="F41" s="47"/>
      <c r="G41" s="47"/>
      <c r="H41" s="47"/>
      <c r="I41" s="47"/>
      <c r="J41" s="47"/>
      <c r="K41" s="47">
        <v>-0.55179999999999996</v>
      </c>
      <c r="L41" s="47"/>
      <c r="M41" s="47"/>
      <c r="N41" s="47"/>
      <c r="O41" s="71"/>
    </row>
    <row r="42" spans="1:15" s="18" customFormat="1" hidden="1" outlineLevel="1">
      <c r="A42" s="4"/>
      <c r="B42" s="538" t="s">
        <v>717</v>
      </c>
      <c r="C42" s="886"/>
      <c r="D42" s="47"/>
      <c r="E42" s="47"/>
      <c r="F42" s="47"/>
      <c r="G42" s="47"/>
      <c r="H42" s="47"/>
      <c r="I42" s="47"/>
      <c r="J42" s="47"/>
      <c r="K42" s="47">
        <v>0.44519999999999998</v>
      </c>
      <c r="L42" s="47"/>
      <c r="M42" s="47"/>
      <c r="N42" s="47"/>
      <c r="O42" s="71"/>
    </row>
    <row r="43" spans="1:15" s="18" customFormat="1" collapsed="1">
      <c r="A43" s="4"/>
      <c r="B43" s="538" t="s">
        <v>508</v>
      </c>
      <c r="C43" s="887"/>
      <c r="D43" s="67">
        <f>SUM(D39:D42)</f>
        <v>0</v>
      </c>
      <c r="E43" s="67">
        <f t="shared" ref="E43:N43" si="8">SUM(E39:E42)</f>
        <v>0</v>
      </c>
      <c r="F43" s="67">
        <f t="shared" si="8"/>
        <v>0</v>
      </c>
      <c r="G43" s="67">
        <f t="shared" si="8"/>
        <v>0</v>
      </c>
      <c r="H43" s="67">
        <f t="shared" si="8"/>
        <v>0</v>
      </c>
      <c r="I43" s="67">
        <f t="shared" si="8"/>
        <v>6.8971999999999998</v>
      </c>
      <c r="J43" s="67">
        <f t="shared" si="8"/>
        <v>7.0213000000000001</v>
      </c>
      <c r="K43" s="67"/>
      <c r="L43" s="67">
        <f t="shared" si="8"/>
        <v>0</v>
      </c>
      <c r="M43" s="67">
        <f t="shared" si="8"/>
        <v>0</v>
      </c>
      <c r="N43" s="67">
        <f t="shared" si="8"/>
        <v>0</v>
      </c>
      <c r="O43" s="78"/>
    </row>
    <row r="44" spans="1:15" s="14" customFormat="1">
      <c r="A44" s="74"/>
      <c r="B44" s="494" t="s">
        <v>509</v>
      </c>
      <c r="C44" s="490"/>
      <c r="D44" s="73"/>
      <c r="E44" s="486">
        <f t="shared" ref="E44:N44" si="9">ROUND(SUM(D43*E16+E43*E17)/12,4)</f>
        <v>0</v>
      </c>
      <c r="F44" s="486">
        <f t="shared" si="9"/>
        <v>0</v>
      </c>
      <c r="G44" s="486">
        <f t="shared" si="9"/>
        <v>0</v>
      </c>
      <c r="H44" s="486">
        <f t="shared" si="9"/>
        <v>0</v>
      </c>
      <c r="I44" s="486">
        <f t="shared" si="9"/>
        <v>6.8971999999999998</v>
      </c>
      <c r="J44" s="486">
        <f t="shared" si="9"/>
        <v>7.0213000000000001</v>
      </c>
      <c r="K44" s="486">
        <f t="shared" si="9"/>
        <v>0</v>
      </c>
      <c r="L44" s="486">
        <f t="shared" si="9"/>
        <v>0</v>
      </c>
      <c r="M44" s="486">
        <f t="shared" si="9"/>
        <v>0</v>
      </c>
      <c r="N44" s="486">
        <f t="shared" si="9"/>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f>'1.  LRAMVA Summary'!B31</f>
        <v>0</v>
      </c>
      <c r="C46" s="885">
        <f>'2. LRAMVA Threshold'!H43</f>
        <v>0</v>
      </c>
      <c r="D46" s="47"/>
      <c r="E46" s="47"/>
      <c r="F46" s="47"/>
      <c r="G46" s="47"/>
      <c r="H46" s="47"/>
      <c r="I46" s="47"/>
      <c r="J46" s="47"/>
      <c r="K46" s="47"/>
      <c r="L46" s="47"/>
      <c r="M46" s="47"/>
      <c r="N46" s="47"/>
      <c r="O46" s="71"/>
    </row>
    <row r="47" spans="1:15" s="18" customFormat="1" hidden="1" outlineLevel="1">
      <c r="A47" s="4"/>
      <c r="B47" s="538" t="s">
        <v>506</v>
      </c>
      <c r="C47" s="886"/>
      <c r="D47" s="47"/>
      <c r="E47" s="47"/>
      <c r="F47" s="47"/>
      <c r="G47" s="47"/>
      <c r="H47" s="47"/>
      <c r="I47" s="47"/>
      <c r="J47" s="47"/>
      <c r="K47" s="47"/>
      <c r="L47" s="47"/>
      <c r="M47" s="47"/>
      <c r="N47" s="47"/>
      <c r="O47" s="71"/>
    </row>
    <row r="48" spans="1:15" s="18" customFormat="1" hidden="1" outlineLevel="1">
      <c r="A48" s="4"/>
      <c r="B48" s="538" t="s">
        <v>507</v>
      </c>
      <c r="C48" s="886"/>
      <c r="D48" s="47"/>
      <c r="E48" s="47"/>
      <c r="F48" s="47"/>
      <c r="G48" s="47"/>
      <c r="H48" s="47"/>
      <c r="I48" s="47"/>
      <c r="J48" s="47"/>
      <c r="K48" s="47"/>
      <c r="L48" s="47"/>
      <c r="M48" s="47"/>
      <c r="N48" s="47"/>
      <c r="O48" s="71"/>
    </row>
    <row r="49" spans="1:15" s="18" customFormat="1" hidden="1" outlineLevel="1">
      <c r="A49" s="4"/>
      <c r="B49" s="538" t="s">
        <v>485</v>
      </c>
      <c r="C49" s="886"/>
      <c r="D49" s="47"/>
      <c r="E49" s="47"/>
      <c r="F49" s="47"/>
      <c r="G49" s="47"/>
      <c r="H49" s="47"/>
      <c r="I49" s="47"/>
      <c r="J49" s="47"/>
      <c r="K49" s="47"/>
      <c r="L49" s="47"/>
      <c r="M49" s="47"/>
      <c r="N49" s="47"/>
      <c r="O49" s="71"/>
    </row>
    <row r="50" spans="1:15" s="18" customFormat="1" collapsed="1">
      <c r="A50" s="4"/>
      <c r="B50" s="538" t="s">
        <v>508</v>
      </c>
      <c r="C50" s="887"/>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4" t="s">
        <v>509</v>
      </c>
      <c r="C51" s="490"/>
      <c r="D51" s="73"/>
      <c r="E51" s="486">
        <f t="shared" ref="E51:N51" si="11">ROUND(SUM(D50*E16+E50*E17)/12,4)</f>
        <v>0</v>
      </c>
      <c r="F51" s="486">
        <f t="shared" si="11"/>
        <v>0</v>
      </c>
      <c r="G51" s="486">
        <f t="shared" si="11"/>
        <v>0</v>
      </c>
      <c r="H51" s="486">
        <f t="shared" si="11"/>
        <v>0</v>
      </c>
      <c r="I51" s="486">
        <f t="shared" si="11"/>
        <v>0</v>
      </c>
      <c r="J51" s="486">
        <f t="shared" si="11"/>
        <v>0</v>
      </c>
      <c r="K51" s="486">
        <f t="shared" si="11"/>
        <v>0</v>
      </c>
      <c r="L51" s="486">
        <f t="shared" si="11"/>
        <v>0</v>
      </c>
      <c r="M51" s="486">
        <f t="shared" si="11"/>
        <v>0</v>
      </c>
      <c r="N51" s="486">
        <f t="shared" si="11"/>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f>'1.  LRAMVA Summary'!B32</f>
        <v>0</v>
      </c>
      <c r="C53" s="885">
        <f>'2. LRAMVA Threshold'!I43</f>
        <v>0</v>
      </c>
      <c r="D53" s="47"/>
      <c r="E53" s="47"/>
      <c r="F53" s="47"/>
      <c r="G53" s="47"/>
      <c r="H53" s="47"/>
      <c r="I53" s="47"/>
      <c r="J53" s="47"/>
      <c r="K53" s="47"/>
      <c r="L53" s="47"/>
      <c r="M53" s="47"/>
      <c r="N53" s="47"/>
      <c r="O53" s="71"/>
    </row>
    <row r="54" spans="1:15" s="18" customFormat="1" hidden="1" outlineLevel="1">
      <c r="A54" s="4"/>
      <c r="B54" s="538" t="s">
        <v>506</v>
      </c>
      <c r="C54" s="886"/>
      <c r="D54" s="47"/>
      <c r="E54" s="47"/>
      <c r="F54" s="47"/>
      <c r="G54" s="47"/>
      <c r="H54" s="47"/>
      <c r="I54" s="47"/>
      <c r="J54" s="47"/>
      <c r="K54" s="47"/>
      <c r="L54" s="47"/>
      <c r="M54" s="47"/>
      <c r="N54" s="47"/>
      <c r="O54" s="71"/>
    </row>
    <row r="55" spans="1:15" s="18" customFormat="1" hidden="1" outlineLevel="1">
      <c r="A55" s="4"/>
      <c r="B55" s="538" t="s">
        <v>507</v>
      </c>
      <c r="C55" s="886"/>
      <c r="D55" s="47"/>
      <c r="E55" s="47"/>
      <c r="F55" s="47"/>
      <c r="G55" s="47"/>
      <c r="H55" s="47"/>
      <c r="I55" s="47"/>
      <c r="J55" s="47"/>
      <c r="K55" s="47"/>
      <c r="L55" s="47"/>
      <c r="M55" s="47"/>
      <c r="N55" s="47"/>
      <c r="O55" s="71"/>
    </row>
    <row r="56" spans="1:15" s="18" customFormat="1" hidden="1" outlineLevel="1">
      <c r="A56" s="4"/>
      <c r="B56" s="538" t="s">
        <v>485</v>
      </c>
      <c r="C56" s="886"/>
      <c r="D56" s="47"/>
      <c r="E56" s="47"/>
      <c r="F56" s="47"/>
      <c r="G56" s="47"/>
      <c r="H56" s="47"/>
      <c r="I56" s="47"/>
      <c r="J56" s="47"/>
      <c r="K56" s="47"/>
      <c r="L56" s="47"/>
      <c r="M56" s="47"/>
      <c r="N56" s="47"/>
      <c r="O56" s="71"/>
    </row>
    <row r="57" spans="1:15" s="18" customFormat="1" collapsed="1">
      <c r="A57" s="4"/>
      <c r="B57" s="538" t="s">
        <v>508</v>
      </c>
      <c r="C57" s="887"/>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4" t="s">
        <v>509</v>
      </c>
      <c r="C58" s="490"/>
      <c r="D58" s="73"/>
      <c r="E58" s="486">
        <f t="shared" ref="E58:N58" si="13">ROUND(SUM(D57*E16+E57*E17)/12,4)</f>
        <v>0</v>
      </c>
      <c r="F58" s="486">
        <f t="shared" si="13"/>
        <v>0</v>
      </c>
      <c r="G58" s="486">
        <f t="shared" si="13"/>
        <v>0</v>
      </c>
      <c r="H58" s="486">
        <f t="shared" si="13"/>
        <v>0</v>
      </c>
      <c r="I58" s="486">
        <f t="shared" si="13"/>
        <v>0</v>
      </c>
      <c r="J58" s="486">
        <f t="shared" si="13"/>
        <v>0</v>
      </c>
      <c r="K58" s="486">
        <f t="shared" si="13"/>
        <v>0</v>
      </c>
      <c r="L58" s="486">
        <f t="shared" si="13"/>
        <v>0</v>
      </c>
      <c r="M58" s="486">
        <f t="shared" si="13"/>
        <v>0</v>
      </c>
      <c r="N58" s="486">
        <f t="shared" si="13"/>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885">
        <f>'2. LRAMVA Threshold'!J43</f>
        <v>0</v>
      </c>
      <c r="D60" s="47"/>
      <c r="E60" s="47"/>
      <c r="F60" s="47"/>
      <c r="G60" s="47"/>
      <c r="H60" s="47"/>
      <c r="I60" s="47"/>
      <c r="J60" s="47"/>
      <c r="K60" s="47"/>
      <c r="L60" s="47"/>
      <c r="M60" s="47"/>
      <c r="N60" s="47"/>
      <c r="O60" s="71"/>
    </row>
    <row r="61" spans="1:15" s="18" customFormat="1" hidden="1" outlineLevel="1">
      <c r="A61" s="4"/>
      <c r="B61" s="538" t="s">
        <v>506</v>
      </c>
      <c r="C61" s="886"/>
      <c r="D61" s="47"/>
      <c r="E61" s="47"/>
      <c r="F61" s="47"/>
      <c r="G61" s="47"/>
      <c r="H61" s="47"/>
      <c r="I61" s="47"/>
      <c r="J61" s="47"/>
      <c r="K61" s="47"/>
      <c r="L61" s="47"/>
      <c r="M61" s="47"/>
      <c r="N61" s="47"/>
      <c r="O61" s="71"/>
    </row>
    <row r="62" spans="1:15" s="18" customFormat="1" hidden="1" outlineLevel="1">
      <c r="A62" s="4"/>
      <c r="B62" s="538" t="s">
        <v>507</v>
      </c>
      <c r="C62" s="886"/>
      <c r="D62" s="47"/>
      <c r="E62" s="47"/>
      <c r="F62" s="47"/>
      <c r="G62" s="47"/>
      <c r="H62" s="47"/>
      <c r="I62" s="47"/>
      <c r="J62" s="47"/>
      <c r="K62" s="47"/>
      <c r="L62" s="47"/>
      <c r="M62" s="47"/>
      <c r="N62" s="47"/>
      <c r="O62" s="71"/>
    </row>
    <row r="63" spans="1:15" s="18" customFormat="1" hidden="1" outlineLevel="1">
      <c r="A63" s="4"/>
      <c r="B63" s="538" t="s">
        <v>485</v>
      </c>
      <c r="C63" s="886"/>
      <c r="D63" s="47"/>
      <c r="E63" s="47"/>
      <c r="F63" s="47"/>
      <c r="G63" s="47"/>
      <c r="H63" s="47"/>
      <c r="I63" s="47"/>
      <c r="J63" s="47"/>
      <c r="K63" s="47"/>
      <c r="L63" s="47"/>
      <c r="M63" s="47"/>
      <c r="N63" s="47"/>
      <c r="O63" s="71"/>
    </row>
    <row r="64" spans="1:15" s="18" customFormat="1" collapsed="1">
      <c r="A64" s="4"/>
      <c r="B64" s="538" t="s">
        <v>508</v>
      </c>
      <c r="C64" s="887"/>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509</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885">
        <f>'2. LRAMVA Threshold'!K43</f>
        <v>0</v>
      </c>
      <c r="D67" s="47"/>
      <c r="E67" s="47"/>
      <c r="F67" s="47"/>
      <c r="G67" s="47"/>
      <c r="H67" s="47"/>
      <c r="I67" s="47"/>
      <c r="J67" s="47"/>
      <c r="K67" s="47"/>
      <c r="L67" s="47"/>
      <c r="M67" s="47"/>
      <c r="N67" s="47"/>
      <c r="O67" s="71"/>
    </row>
    <row r="68" spans="1:15" s="18" customFormat="1" hidden="1" outlineLevel="1">
      <c r="A68" s="4"/>
      <c r="B68" s="538" t="s">
        <v>506</v>
      </c>
      <c r="C68" s="886"/>
      <c r="D68" s="47"/>
      <c r="E68" s="47"/>
      <c r="F68" s="47"/>
      <c r="G68" s="47"/>
      <c r="H68" s="47"/>
      <c r="I68" s="47"/>
      <c r="J68" s="47"/>
      <c r="K68" s="47"/>
      <c r="L68" s="47"/>
      <c r="M68" s="47"/>
      <c r="N68" s="47"/>
      <c r="O68" s="71"/>
    </row>
    <row r="69" spans="1:15" s="18" customFormat="1" hidden="1" outlineLevel="1">
      <c r="A69" s="4"/>
      <c r="B69" s="538" t="s">
        <v>507</v>
      </c>
      <c r="C69" s="886"/>
      <c r="D69" s="47"/>
      <c r="E69" s="47"/>
      <c r="F69" s="47"/>
      <c r="G69" s="47"/>
      <c r="H69" s="47"/>
      <c r="I69" s="47"/>
      <c r="J69" s="47"/>
      <c r="K69" s="47"/>
      <c r="L69" s="47"/>
      <c r="M69" s="47"/>
      <c r="N69" s="47"/>
      <c r="O69" s="71"/>
    </row>
    <row r="70" spans="1:15" s="18" customFormat="1" hidden="1" outlineLevel="1">
      <c r="A70" s="4"/>
      <c r="B70" s="538" t="s">
        <v>485</v>
      </c>
      <c r="C70" s="886"/>
      <c r="D70" s="47"/>
      <c r="E70" s="47"/>
      <c r="F70" s="47"/>
      <c r="G70" s="47"/>
      <c r="H70" s="47"/>
      <c r="I70" s="47"/>
      <c r="J70" s="47"/>
      <c r="K70" s="47"/>
      <c r="L70" s="47"/>
      <c r="M70" s="47"/>
      <c r="N70" s="47"/>
      <c r="O70" s="71"/>
    </row>
    <row r="71" spans="1:15" s="18" customFormat="1" collapsed="1">
      <c r="A71" s="4"/>
      <c r="B71" s="538" t="s">
        <v>508</v>
      </c>
      <c r="C71" s="887"/>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509</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885">
        <f>'2. LRAMVA Threshold'!L43</f>
        <v>0</v>
      </c>
      <c r="D74" s="47"/>
      <c r="E74" s="47"/>
      <c r="F74" s="47"/>
      <c r="G74" s="47"/>
      <c r="H74" s="47"/>
      <c r="I74" s="47"/>
      <c r="J74" s="47"/>
      <c r="K74" s="47"/>
      <c r="L74" s="47"/>
      <c r="M74" s="47"/>
      <c r="N74" s="47"/>
      <c r="O74" s="71"/>
    </row>
    <row r="75" spans="1:15" s="18" customFormat="1" hidden="1" outlineLevel="1">
      <c r="A75" s="4"/>
      <c r="B75" s="538" t="s">
        <v>506</v>
      </c>
      <c r="C75" s="886"/>
      <c r="D75" s="47"/>
      <c r="E75" s="47"/>
      <c r="F75" s="47"/>
      <c r="G75" s="47"/>
      <c r="H75" s="47"/>
      <c r="I75" s="47"/>
      <c r="J75" s="47"/>
      <c r="K75" s="47"/>
      <c r="L75" s="47"/>
      <c r="M75" s="47"/>
      <c r="N75" s="47"/>
      <c r="O75" s="71"/>
    </row>
    <row r="76" spans="1:15" s="18" customFormat="1" hidden="1" outlineLevel="1">
      <c r="A76" s="4"/>
      <c r="B76" s="538" t="s">
        <v>507</v>
      </c>
      <c r="C76" s="886"/>
      <c r="D76" s="47"/>
      <c r="E76" s="47"/>
      <c r="F76" s="47"/>
      <c r="G76" s="47"/>
      <c r="H76" s="47"/>
      <c r="I76" s="47"/>
      <c r="J76" s="47"/>
      <c r="K76" s="47"/>
      <c r="L76" s="47"/>
      <c r="M76" s="47"/>
      <c r="N76" s="47"/>
      <c r="O76" s="71"/>
    </row>
    <row r="77" spans="1:15" s="18" customFormat="1" hidden="1" outlineLevel="1">
      <c r="A77" s="4"/>
      <c r="B77" s="538" t="s">
        <v>485</v>
      </c>
      <c r="C77" s="886"/>
      <c r="D77" s="47"/>
      <c r="E77" s="47"/>
      <c r="F77" s="47"/>
      <c r="G77" s="47"/>
      <c r="H77" s="47"/>
      <c r="I77" s="47"/>
      <c r="J77" s="47"/>
      <c r="K77" s="47"/>
      <c r="L77" s="47"/>
      <c r="M77" s="47"/>
      <c r="N77" s="47"/>
      <c r="O77" s="71"/>
    </row>
    <row r="78" spans="1:15" s="18" customFormat="1" collapsed="1">
      <c r="A78" s="4"/>
      <c r="B78" s="538" t="s">
        <v>508</v>
      </c>
      <c r="C78" s="887"/>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509</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885">
        <f>'2. LRAMVA Threshold'!M43</f>
        <v>0</v>
      </c>
      <c r="D81" s="47"/>
      <c r="E81" s="47"/>
      <c r="F81" s="47"/>
      <c r="G81" s="47"/>
      <c r="H81" s="47"/>
      <c r="I81" s="47"/>
      <c r="J81" s="47"/>
      <c r="K81" s="47"/>
      <c r="L81" s="47"/>
      <c r="M81" s="47"/>
      <c r="N81" s="47"/>
      <c r="O81" s="71"/>
    </row>
    <row r="82" spans="1:15" s="18" customFormat="1" hidden="1" outlineLevel="1">
      <c r="A82" s="4"/>
      <c r="B82" s="538" t="s">
        <v>506</v>
      </c>
      <c r="C82" s="886"/>
      <c r="D82" s="47"/>
      <c r="E82" s="47"/>
      <c r="F82" s="47"/>
      <c r="G82" s="47"/>
      <c r="H82" s="47"/>
      <c r="I82" s="47"/>
      <c r="J82" s="47"/>
      <c r="K82" s="47"/>
      <c r="L82" s="47"/>
      <c r="M82" s="47"/>
      <c r="N82" s="47"/>
      <c r="O82" s="71"/>
    </row>
    <row r="83" spans="1:15" s="18" customFormat="1" hidden="1" outlineLevel="1">
      <c r="A83" s="4"/>
      <c r="B83" s="538" t="s">
        <v>507</v>
      </c>
      <c r="C83" s="886"/>
      <c r="D83" s="47"/>
      <c r="E83" s="47"/>
      <c r="F83" s="47"/>
      <c r="G83" s="47"/>
      <c r="H83" s="47"/>
      <c r="I83" s="47"/>
      <c r="J83" s="47"/>
      <c r="K83" s="47"/>
      <c r="L83" s="47"/>
      <c r="M83" s="47"/>
      <c r="N83" s="47"/>
      <c r="O83" s="71"/>
    </row>
    <row r="84" spans="1:15" s="18" customFormat="1" hidden="1" outlineLevel="1">
      <c r="A84" s="4"/>
      <c r="B84" s="538" t="s">
        <v>485</v>
      </c>
      <c r="C84" s="886"/>
      <c r="D84" s="47"/>
      <c r="E84" s="47"/>
      <c r="F84" s="47"/>
      <c r="G84" s="47"/>
      <c r="H84" s="47"/>
      <c r="I84" s="47"/>
      <c r="J84" s="47"/>
      <c r="K84" s="47"/>
      <c r="L84" s="47"/>
      <c r="M84" s="47"/>
      <c r="N84" s="47"/>
      <c r="O84" s="71"/>
    </row>
    <row r="85" spans="1:15" s="18" customFormat="1" collapsed="1">
      <c r="A85" s="4"/>
      <c r="B85" s="538" t="s">
        <v>508</v>
      </c>
      <c r="C85" s="887"/>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509</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885">
        <f>'2. LRAMVA Threshold'!N43</f>
        <v>0</v>
      </c>
      <c r="D88" s="47"/>
      <c r="E88" s="47"/>
      <c r="F88" s="47"/>
      <c r="G88" s="47"/>
      <c r="H88" s="47"/>
      <c r="I88" s="47"/>
      <c r="J88" s="47"/>
      <c r="K88" s="47"/>
      <c r="L88" s="47"/>
      <c r="M88" s="47"/>
      <c r="N88" s="47"/>
      <c r="O88" s="71"/>
    </row>
    <row r="89" spans="1:15" s="18" customFormat="1" hidden="1" outlineLevel="1">
      <c r="A89" s="4"/>
      <c r="B89" s="538" t="s">
        <v>506</v>
      </c>
      <c r="C89" s="886"/>
      <c r="D89" s="47"/>
      <c r="E89" s="47"/>
      <c r="F89" s="47"/>
      <c r="G89" s="47"/>
      <c r="H89" s="47"/>
      <c r="I89" s="47"/>
      <c r="J89" s="47"/>
      <c r="K89" s="47"/>
      <c r="L89" s="47"/>
      <c r="M89" s="47"/>
      <c r="N89" s="47"/>
      <c r="O89" s="71"/>
    </row>
    <row r="90" spans="1:15" s="18" customFormat="1" hidden="1" outlineLevel="1">
      <c r="A90" s="4"/>
      <c r="B90" s="538" t="s">
        <v>507</v>
      </c>
      <c r="C90" s="886"/>
      <c r="D90" s="47"/>
      <c r="E90" s="47"/>
      <c r="F90" s="47"/>
      <c r="G90" s="47"/>
      <c r="H90" s="47"/>
      <c r="I90" s="47"/>
      <c r="J90" s="47"/>
      <c r="K90" s="47"/>
      <c r="L90" s="47"/>
      <c r="M90" s="47"/>
      <c r="N90" s="47"/>
      <c r="O90" s="71"/>
    </row>
    <row r="91" spans="1:15" s="18" customFormat="1" hidden="1" outlineLevel="1">
      <c r="A91" s="4"/>
      <c r="B91" s="538" t="s">
        <v>485</v>
      </c>
      <c r="C91" s="886"/>
      <c r="D91" s="47"/>
      <c r="E91" s="47"/>
      <c r="F91" s="47"/>
      <c r="G91" s="47"/>
      <c r="H91" s="47"/>
      <c r="I91" s="47"/>
      <c r="J91" s="47"/>
      <c r="K91" s="47"/>
      <c r="L91" s="47"/>
      <c r="M91" s="47"/>
      <c r="N91" s="47"/>
      <c r="O91" s="71"/>
    </row>
    <row r="92" spans="1:15" s="18" customFormat="1" collapsed="1">
      <c r="A92" s="4"/>
      <c r="B92" s="538" t="s">
        <v>508</v>
      </c>
      <c r="C92" s="887"/>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509</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885">
        <f>'2. LRAMVA Threshold'!O43</f>
        <v>0</v>
      </c>
      <c r="D95" s="47"/>
      <c r="E95" s="47"/>
      <c r="F95" s="47"/>
      <c r="G95" s="47"/>
      <c r="H95" s="47"/>
      <c r="I95" s="47"/>
      <c r="J95" s="47"/>
      <c r="K95" s="47"/>
      <c r="L95" s="47"/>
      <c r="M95" s="47"/>
      <c r="N95" s="47"/>
      <c r="O95" s="71"/>
    </row>
    <row r="96" spans="1:15" s="18" customFormat="1" hidden="1" outlineLevel="1">
      <c r="A96" s="4"/>
      <c r="B96" s="538" t="s">
        <v>506</v>
      </c>
      <c r="C96" s="886"/>
      <c r="D96" s="47"/>
      <c r="E96" s="47"/>
      <c r="F96" s="47"/>
      <c r="G96" s="47"/>
      <c r="H96" s="47"/>
      <c r="I96" s="47"/>
      <c r="J96" s="47"/>
      <c r="K96" s="47"/>
      <c r="L96" s="47"/>
      <c r="M96" s="47"/>
      <c r="N96" s="47"/>
      <c r="O96" s="71"/>
    </row>
    <row r="97" spans="1:15" s="18" customFormat="1" hidden="1" outlineLevel="1">
      <c r="A97" s="4"/>
      <c r="B97" s="538" t="s">
        <v>507</v>
      </c>
      <c r="C97" s="886"/>
      <c r="D97" s="47"/>
      <c r="E97" s="47"/>
      <c r="F97" s="47"/>
      <c r="G97" s="47"/>
      <c r="H97" s="47"/>
      <c r="I97" s="47"/>
      <c r="J97" s="47"/>
      <c r="K97" s="47"/>
      <c r="L97" s="47"/>
      <c r="M97" s="47"/>
      <c r="N97" s="47"/>
      <c r="O97" s="71"/>
    </row>
    <row r="98" spans="1:15" s="18" customFormat="1" hidden="1" outlineLevel="1">
      <c r="A98" s="4"/>
      <c r="B98" s="538" t="s">
        <v>485</v>
      </c>
      <c r="C98" s="886"/>
      <c r="D98" s="47"/>
      <c r="E98" s="47"/>
      <c r="F98" s="47"/>
      <c r="G98" s="47"/>
      <c r="H98" s="47"/>
      <c r="I98" s="47"/>
      <c r="J98" s="47"/>
      <c r="K98" s="47"/>
      <c r="L98" s="47"/>
      <c r="M98" s="47"/>
      <c r="N98" s="47"/>
      <c r="O98" s="71"/>
    </row>
    <row r="99" spans="1:15" s="18" customFormat="1" collapsed="1">
      <c r="A99" s="4"/>
      <c r="B99" s="538" t="s">
        <v>508</v>
      </c>
      <c r="C99" s="887"/>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509</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885">
        <f>'2. LRAMVA Threshold'!P43</f>
        <v>0</v>
      </c>
      <c r="D102" s="47"/>
      <c r="E102" s="47"/>
      <c r="F102" s="47"/>
      <c r="G102" s="47"/>
      <c r="H102" s="47"/>
      <c r="I102" s="47"/>
      <c r="J102" s="47"/>
      <c r="K102" s="47"/>
      <c r="L102" s="47"/>
      <c r="M102" s="47"/>
      <c r="N102" s="47"/>
      <c r="O102" s="71"/>
    </row>
    <row r="103" spans="1:15" s="18" customFormat="1" hidden="1" outlineLevel="1">
      <c r="A103" s="4"/>
      <c r="B103" s="538" t="s">
        <v>506</v>
      </c>
      <c r="C103" s="886"/>
      <c r="D103" s="47"/>
      <c r="E103" s="47"/>
      <c r="F103" s="47"/>
      <c r="G103" s="47"/>
      <c r="H103" s="47"/>
      <c r="I103" s="47"/>
      <c r="J103" s="47"/>
      <c r="K103" s="47"/>
      <c r="L103" s="47"/>
      <c r="M103" s="47"/>
      <c r="N103" s="47"/>
      <c r="O103" s="71"/>
    </row>
    <row r="104" spans="1:15" s="18" customFormat="1" hidden="1" outlineLevel="1">
      <c r="A104" s="4"/>
      <c r="B104" s="538" t="s">
        <v>507</v>
      </c>
      <c r="C104" s="886"/>
      <c r="D104" s="47"/>
      <c r="E104" s="47"/>
      <c r="F104" s="47"/>
      <c r="G104" s="47"/>
      <c r="H104" s="47"/>
      <c r="I104" s="47"/>
      <c r="J104" s="47"/>
      <c r="K104" s="47"/>
      <c r="L104" s="47"/>
      <c r="M104" s="47"/>
      <c r="N104" s="47"/>
      <c r="O104" s="71"/>
    </row>
    <row r="105" spans="1:15" s="18" customFormat="1" hidden="1" outlineLevel="1">
      <c r="A105" s="4"/>
      <c r="B105" s="538" t="s">
        <v>485</v>
      </c>
      <c r="C105" s="886"/>
      <c r="D105" s="47"/>
      <c r="E105" s="47"/>
      <c r="F105" s="47"/>
      <c r="G105" s="47"/>
      <c r="H105" s="47"/>
      <c r="I105" s="47"/>
      <c r="J105" s="47"/>
      <c r="K105" s="47"/>
      <c r="L105" s="47"/>
      <c r="M105" s="47"/>
      <c r="N105" s="47"/>
      <c r="O105" s="71"/>
    </row>
    <row r="106" spans="1:15" s="18" customFormat="1" collapsed="1">
      <c r="A106" s="4"/>
      <c r="B106" s="538" t="s">
        <v>508</v>
      </c>
      <c r="C106" s="887"/>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509</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885">
        <f>'2. LRAMVA Threshold'!Q43</f>
        <v>0</v>
      </c>
      <c r="D109" s="47"/>
      <c r="E109" s="47"/>
      <c r="F109" s="47"/>
      <c r="G109" s="47"/>
      <c r="H109" s="47"/>
      <c r="I109" s="47"/>
      <c r="J109" s="47"/>
      <c r="K109" s="47"/>
      <c r="L109" s="47"/>
      <c r="M109" s="47"/>
      <c r="N109" s="47"/>
      <c r="O109" s="71"/>
    </row>
    <row r="110" spans="1:15" s="18" customFormat="1" hidden="1" outlineLevel="1">
      <c r="A110" s="4"/>
      <c r="B110" s="538" t="s">
        <v>506</v>
      </c>
      <c r="C110" s="886"/>
      <c r="D110" s="47"/>
      <c r="E110" s="47"/>
      <c r="F110" s="47"/>
      <c r="G110" s="47"/>
      <c r="H110" s="47"/>
      <c r="I110" s="47"/>
      <c r="J110" s="47"/>
      <c r="K110" s="47"/>
      <c r="L110" s="47"/>
      <c r="M110" s="47"/>
      <c r="N110" s="47"/>
      <c r="O110" s="71"/>
    </row>
    <row r="111" spans="1:15" s="18" customFormat="1" hidden="1" outlineLevel="1">
      <c r="A111" s="4"/>
      <c r="B111" s="538" t="s">
        <v>507</v>
      </c>
      <c r="C111" s="886"/>
      <c r="D111" s="47"/>
      <c r="E111" s="47"/>
      <c r="F111" s="47"/>
      <c r="G111" s="47"/>
      <c r="H111" s="47"/>
      <c r="I111" s="47"/>
      <c r="J111" s="47"/>
      <c r="K111" s="47"/>
      <c r="L111" s="47"/>
      <c r="M111" s="47"/>
      <c r="N111" s="47"/>
      <c r="O111" s="71"/>
    </row>
    <row r="112" spans="1:15" s="18" customFormat="1" hidden="1" outlineLevel="1">
      <c r="A112" s="4"/>
      <c r="B112" s="538" t="s">
        <v>485</v>
      </c>
      <c r="C112" s="886"/>
      <c r="D112" s="47"/>
      <c r="E112" s="47"/>
      <c r="F112" s="47"/>
      <c r="G112" s="47"/>
      <c r="H112" s="47"/>
      <c r="I112" s="47"/>
      <c r="J112" s="47"/>
      <c r="K112" s="47"/>
      <c r="L112" s="47"/>
      <c r="M112" s="47"/>
      <c r="N112" s="47"/>
      <c r="O112" s="71"/>
    </row>
    <row r="113" spans="1:17" s="18" customFormat="1" collapsed="1">
      <c r="A113" s="4"/>
      <c r="B113" s="538" t="s">
        <v>508</v>
      </c>
      <c r="C113" s="887"/>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509</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611</v>
      </c>
      <c r="C116" s="100"/>
      <c r="D116" s="501"/>
      <c r="E116" s="501"/>
      <c r="F116" s="501"/>
      <c r="G116" s="501"/>
      <c r="H116" s="501"/>
      <c r="I116" s="501"/>
      <c r="J116" s="501"/>
      <c r="K116" s="501"/>
      <c r="L116" s="501"/>
      <c r="M116" s="501"/>
      <c r="N116" s="501"/>
      <c r="O116" s="501"/>
    </row>
    <row r="119" spans="1:17" ht="15.75">
      <c r="B119" s="120" t="s">
        <v>479</v>
      </c>
      <c r="J119" s="18"/>
    </row>
    <row r="120" spans="1:17" s="14" customFormat="1" ht="55.5" customHeight="1">
      <c r="A120" s="74"/>
      <c r="B120" s="889" t="s">
        <v>613</v>
      </c>
      <c r="C120" s="889"/>
      <c r="D120" s="889"/>
      <c r="E120" s="889"/>
      <c r="F120" s="889"/>
      <c r="G120" s="889"/>
      <c r="H120" s="889"/>
      <c r="I120" s="889"/>
      <c r="J120" s="889"/>
      <c r="K120" s="889"/>
      <c r="L120" s="889"/>
      <c r="M120" s="889"/>
      <c r="N120" s="889"/>
      <c r="O120" s="889"/>
      <c r="P120" s="889"/>
    </row>
    <row r="121" spans="1:17" s="18" customFormat="1" ht="9" customHeight="1">
      <c r="A121" s="4"/>
      <c r="B121" s="120"/>
      <c r="C121" s="80"/>
    </row>
    <row r="122" spans="1:17" ht="63.75" customHeight="1">
      <c r="B122" s="246" t="s">
        <v>233</v>
      </c>
      <c r="C122" s="246" t="str">
        <f>'1.  LRAMVA Summary'!D50</f>
        <v>Residential</v>
      </c>
      <c r="D122" s="246" t="str">
        <f>'1.  LRAMVA Summary'!E50</f>
        <v>GS&lt;50 kW</v>
      </c>
      <c r="E122" s="246" t="str">
        <f>'1.  LRAMVA Summary'!F50</f>
        <v>GS&gt;50 kW</v>
      </c>
      <c r="F122" s="246" t="str">
        <f>'1.  LRAMVA Summary'!G50</f>
        <v>Streetlighting</v>
      </c>
      <c r="G122" s="246" t="str">
        <f>'1.  LRAMVA Summary'!H50</f>
        <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v>
      </c>
      <c r="G123" s="588">
        <f>'1.  LRAMVA Summary'!H51</f>
        <v>0</v>
      </c>
      <c r="H123" s="588">
        <f>'1.  LRAMVA Summary'!I51</f>
        <v>0</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30">HLOOKUP(B124,$E$15:$O$114,9,FALSE)</f>
        <v>1.46E-2</v>
      </c>
      <c r="D124" s="684">
        <f>HLOOKUP(B124,$E$15:$O$114,16,FALSE)</f>
        <v>1.9400000000000001E-2</v>
      </c>
      <c r="E124" s="685">
        <f>HLOOKUP(B124,$E$15:$O$114,23,FALSE)</f>
        <v>3.9331</v>
      </c>
      <c r="F124" s="684">
        <f>HLOOKUP(B124,$E$15:$O$114,30,FALSE)</f>
        <v>0</v>
      </c>
      <c r="G124" s="685">
        <f>HLOOKUP(B124,$E$15:$O$114,37,FALSE)</f>
        <v>0</v>
      </c>
      <c r="H124" s="684">
        <f>HLOOKUP(B124,$E$15:$O$114,44,FALSE)</f>
        <v>0</v>
      </c>
      <c r="I124" s="685">
        <f>HLOOKUP(B124,$E$15:$O$114,51,FALSE)</f>
        <v>0</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30"/>
        <v>1.49E-2</v>
      </c>
      <c r="D125" s="687">
        <f>HLOOKUP(B125,$E$15:$O$114,16,FALSE)</f>
        <v>2.0500000000000001E-2</v>
      </c>
      <c r="E125" s="688">
        <f>HLOOKUP(B125,$E$15:$O$114,23,FALSE)</f>
        <v>3.9811999999999999</v>
      </c>
      <c r="F125" s="687">
        <f>HLOOKUP(B125,$E$15:$O$114,30,FALSE)</f>
        <v>0</v>
      </c>
      <c r="G125" s="688">
        <f>HLOOKUP(B125,$E$15:$O$114,37,FALSE)</f>
        <v>0</v>
      </c>
      <c r="H125" s="687">
        <f>HLOOKUP(B125,$E$15:$O$114,44,FALSE)</f>
        <v>0</v>
      </c>
      <c r="I125" s="688">
        <f>HLOOKUP(B125,$E$15:$O$114,51,FALSE)</f>
        <v>0</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1">HLOOKUP(B125,$E$15:$O$114,100,FALSE)</f>
        <v>0</v>
      </c>
    </row>
    <row r="126" spans="1:17">
      <c r="B126" s="503">
        <v>2013</v>
      </c>
      <c r="C126" s="686">
        <f t="shared" si="30"/>
        <v>1.44E-2</v>
      </c>
      <c r="D126" s="687">
        <f t="shared" ref="D126:D133" si="32">HLOOKUP(B126,$E$15:$O$114,16,FALSE)</f>
        <v>1.9699999999999999E-2</v>
      </c>
      <c r="E126" s="688">
        <f t="shared" ref="E126:E133" si="33">HLOOKUP(B126,$E$15:$O$114,23,FALSE)</f>
        <v>3.9830999999999999</v>
      </c>
      <c r="F126" s="687">
        <f t="shared" ref="F126:F133" si="34">HLOOKUP(B126,$E$15:$O$114,30,FALSE)</f>
        <v>0</v>
      </c>
      <c r="G126" s="688">
        <f t="shared" ref="G126:G132" si="35">HLOOKUP(B126,$E$15:$O$114,37,FALSE)</f>
        <v>0</v>
      </c>
      <c r="H126" s="687">
        <f t="shared" ref="H126:H133" si="36">HLOOKUP(B126,$E$15:$O$114,44,FALSE)</f>
        <v>0</v>
      </c>
      <c r="I126" s="688">
        <f t="shared" ref="I126:I133" si="37">HLOOKUP(B126,$E$15:$O$114,51,FALSE)</f>
        <v>0</v>
      </c>
      <c r="J126" s="688">
        <f t="shared" ref="J126:J133" si="38">HLOOKUP(B126,$E$15:$O$114,58,FALSE)</f>
        <v>0</v>
      </c>
      <c r="K126" s="688">
        <f t="shared" ref="K126:K133" si="39">HLOOKUP(B126,$E$15:$O$114,65,FALSE)</f>
        <v>0</v>
      </c>
      <c r="L126" s="688">
        <f>HLOOKUP(B126,$E$15:$O$114,72,FALSE)</f>
        <v>0</v>
      </c>
      <c r="M126" s="688">
        <f t="shared" ref="M126:M133" si="40">HLOOKUP(B126,$E$15:$O$114,79,FALSE)</f>
        <v>0</v>
      </c>
      <c r="N126" s="688">
        <f t="shared" ref="N126:N133" si="41">HLOOKUP(B126,$E$15:$O$114,86,FALSE)</f>
        <v>0</v>
      </c>
      <c r="O126" s="688">
        <f t="shared" ref="O126:O133" si="42">HLOOKUP(B126,$E$15:$O$114,93,FALSE)</f>
        <v>0</v>
      </c>
      <c r="P126" s="688">
        <f t="shared" si="31"/>
        <v>0</v>
      </c>
    </row>
    <row r="127" spans="1:17">
      <c r="B127" s="503">
        <v>2014</v>
      </c>
      <c r="C127" s="686">
        <f t="shared" si="30"/>
        <v>1.46E-2</v>
      </c>
      <c r="D127" s="687">
        <f>HLOOKUP(B127,$E$15:$O$114,16,FALSE)</f>
        <v>0.02</v>
      </c>
      <c r="E127" s="688">
        <f>HLOOKUP(B127,$E$15:$O$114,23,FALSE)</f>
        <v>4.0388999999999999</v>
      </c>
      <c r="F127" s="687">
        <f>HLOOKUP(B127,$E$15:$O$114,30,FALSE)</f>
        <v>0</v>
      </c>
      <c r="G127" s="688">
        <f>HLOOKUP(B127,$E$15:$O$114,37,FALSE)</f>
        <v>0</v>
      </c>
      <c r="H127" s="687">
        <f>HLOOKUP(B127,$E$15:$O$114,44,FALSE)</f>
        <v>0</v>
      </c>
      <c r="I127" s="688">
        <f>HLOOKUP(B127,$E$15:$O$114,51,FALSE)</f>
        <v>0</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30"/>
        <v>1.4800000000000001E-2</v>
      </c>
      <c r="D128" s="687">
        <f t="shared" si="32"/>
        <v>2.0299999999999999E-2</v>
      </c>
      <c r="E128" s="688">
        <f t="shared" si="33"/>
        <v>4.0914000000000001</v>
      </c>
      <c r="F128" s="687">
        <f t="shared" si="34"/>
        <v>6.8971999999999998</v>
      </c>
      <c r="G128" s="688">
        <f t="shared" si="35"/>
        <v>0</v>
      </c>
      <c r="H128" s="687">
        <f t="shared" si="36"/>
        <v>0</v>
      </c>
      <c r="I128" s="688">
        <f t="shared" si="37"/>
        <v>0</v>
      </c>
      <c r="J128" s="688">
        <f t="shared" si="38"/>
        <v>0</v>
      </c>
      <c r="K128" s="688">
        <f t="shared" si="39"/>
        <v>0</v>
      </c>
      <c r="L128" s="688">
        <f t="shared" ref="L128:L133" si="43">HLOOKUP(B128,$E$15:$O$114,72,FALSE)</f>
        <v>0</v>
      </c>
      <c r="M128" s="688">
        <f t="shared" si="40"/>
        <v>0</v>
      </c>
      <c r="N128" s="688">
        <f t="shared" si="41"/>
        <v>0</v>
      </c>
      <c r="O128" s="688">
        <f t="shared" si="42"/>
        <v>0</v>
      </c>
      <c r="P128" s="688">
        <f t="shared" si="31"/>
        <v>0</v>
      </c>
    </row>
    <row r="129" spans="2:16">
      <c r="B129" s="503">
        <v>2016</v>
      </c>
      <c r="C129" s="686">
        <f t="shared" si="30"/>
        <v>1.1299999999999999E-2</v>
      </c>
      <c r="D129" s="687">
        <f t="shared" si="32"/>
        <v>2.07E-2</v>
      </c>
      <c r="E129" s="688">
        <f t="shared" si="33"/>
        <v>4.165</v>
      </c>
      <c r="F129" s="687">
        <f t="shared" si="34"/>
        <v>7.0213000000000001</v>
      </c>
      <c r="G129" s="688">
        <f t="shared" si="35"/>
        <v>0</v>
      </c>
      <c r="H129" s="687">
        <f t="shared" si="36"/>
        <v>0</v>
      </c>
      <c r="I129" s="688">
        <f t="shared" si="37"/>
        <v>0</v>
      </c>
      <c r="J129" s="688">
        <f t="shared" si="38"/>
        <v>0</v>
      </c>
      <c r="K129" s="688">
        <f t="shared" si="39"/>
        <v>0</v>
      </c>
      <c r="L129" s="688">
        <f t="shared" si="43"/>
        <v>0</v>
      </c>
      <c r="M129" s="688">
        <f t="shared" si="40"/>
        <v>0</v>
      </c>
      <c r="N129" s="688">
        <f t="shared" si="41"/>
        <v>0</v>
      </c>
      <c r="O129" s="688">
        <f t="shared" si="42"/>
        <v>0</v>
      </c>
      <c r="P129" s="688">
        <f t="shared" si="31"/>
        <v>0</v>
      </c>
    </row>
    <row r="130" spans="2:16" hidden="1">
      <c r="B130" s="503">
        <v>2017</v>
      </c>
      <c r="C130" s="686">
        <f>HLOOKUP(B130,$E$15:$O$114,9,FALSE)</f>
        <v>0</v>
      </c>
      <c r="D130" s="687">
        <f t="shared" si="32"/>
        <v>0</v>
      </c>
      <c r="E130" s="688">
        <f t="shared" si="33"/>
        <v>0</v>
      </c>
      <c r="F130" s="687">
        <f t="shared" si="34"/>
        <v>0</v>
      </c>
      <c r="G130" s="688">
        <f t="shared" si="35"/>
        <v>0</v>
      </c>
      <c r="H130" s="687">
        <f t="shared" si="36"/>
        <v>0</v>
      </c>
      <c r="I130" s="688">
        <f t="shared" si="37"/>
        <v>0</v>
      </c>
      <c r="J130" s="688">
        <f t="shared" si="38"/>
        <v>0</v>
      </c>
      <c r="K130" s="688">
        <f t="shared" si="39"/>
        <v>0</v>
      </c>
      <c r="L130" s="688">
        <f t="shared" si="43"/>
        <v>0</v>
      </c>
      <c r="M130" s="688">
        <f t="shared" si="40"/>
        <v>0</v>
      </c>
      <c r="N130" s="688">
        <f t="shared" si="41"/>
        <v>0</v>
      </c>
      <c r="O130" s="688">
        <f t="shared" si="42"/>
        <v>0</v>
      </c>
      <c r="P130" s="688">
        <f t="shared" si="31"/>
        <v>0</v>
      </c>
    </row>
    <row r="131" spans="2:16" hidden="1">
      <c r="B131" s="503">
        <v>2018</v>
      </c>
      <c r="C131" s="686">
        <f t="shared" ref="C131:C133" si="44">HLOOKUP(B131,$E$15:$O$114,9,FALSE)</f>
        <v>0</v>
      </c>
      <c r="D131" s="687">
        <f t="shared" si="32"/>
        <v>0</v>
      </c>
      <c r="E131" s="688">
        <f t="shared" si="33"/>
        <v>0</v>
      </c>
      <c r="F131" s="687">
        <f t="shared" si="34"/>
        <v>0</v>
      </c>
      <c r="G131" s="688">
        <f t="shared" si="35"/>
        <v>0</v>
      </c>
      <c r="H131" s="687">
        <f t="shared" si="36"/>
        <v>0</v>
      </c>
      <c r="I131" s="688">
        <f t="shared" si="37"/>
        <v>0</v>
      </c>
      <c r="J131" s="688">
        <f t="shared" si="38"/>
        <v>0</v>
      </c>
      <c r="K131" s="688">
        <f t="shared" si="39"/>
        <v>0</v>
      </c>
      <c r="L131" s="688">
        <f t="shared" si="43"/>
        <v>0</v>
      </c>
      <c r="M131" s="688">
        <f t="shared" si="40"/>
        <v>0</v>
      </c>
      <c r="N131" s="688">
        <f t="shared" si="41"/>
        <v>0</v>
      </c>
      <c r="O131" s="688">
        <f t="shared" si="42"/>
        <v>0</v>
      </c>
      <c r="P131" s="688">
        <f t="shared" si="31"/>
        <v>0</v>
      </c>
    </row>
    <row r="132" spans="2:16" hidden="1">
      <c r="B132" s="503">
        <v>2019</v>
      </c>
      <c r="C132" s="686">
        <f t="shared" si="44"/>
        <v>0</v>
      </c>
      <c r="D132" s="687">
        <f t="shared" si="32"/>
        <v>0</v>
      </c>
      <c r="E132" s="688">
        <f t="shared" si="33"/>
        <v>0</v>
      </c>
      <c r="F132" s="687">
        <f t="shared" si="34"/>
        <v>0</v>
      </c>
      <c r="G132" s="688">
        <f t="shared" si="35"/>
        <v>0</v>
      </c>
      <c r="H132" s="687">
        <f t="shared" si="36"/>
        <v>0</v>
      </c>
      <c r="I132" s="688">
        <f t="shared" si="37"/>
        <v>0</v>
      </c>
      <c r="J132" s="688">
        <f t="shared" si="38"/>
        <v>0</v>
      </c>
      <c r="K132" s="688">
        <f t="shared" si="39"/>
        <v>0</v>
      </c>
      <c r="L132" s="688">
        <f t="shared" si="43"/>
        <v>0</v>
      </c>
      <c r="M132" s="688">
        <f t="shared" si="40"/>
        <v>0</v>
      </c>
      <c r="N132" s="688">
        <f t="shared" si="41"/>
        <v>0</v>
      </c>
      <c r="O132" s="688">
        <f t="shared" si="42"/>
        <v>0</v>
      </c>
      <c r="P132" s="688">
        <f t="shared" si="31"/>
        <v>0</v>
      </c>
    </row>
    <row r="133" spans="2:16" hidden="1">
      <c r="B133" s="504">
        <v>2020</v>
      </c>
      <c r="C133" s="689">
        <f t="shared" si="44"/>
        <v>0</v>
      </c>
      <c r="D133" s="690">
        <f t="shared" si="32"/>
        <v>0</v>
      </c>
      <c r="E133" s="691">
        <f t="shared" si="33"/>
        <v>0</v>
      </c>
      <c r="F133" s="690">
        <f t="shared" si="34"/>
        <v>0</v>
      </c>
      <c r="G133" s="691">
        <f>HLOOKUP(B133,$E$15:$O$114,37,FALSE)</f>
        <v>0</v>
      </c>
      <c r="H133" s="690">
        <f t="shared" si="36"/>
        <v>0</v>
      </c>
      <c r="I133" s="691">
        <f t="shared" si="37"/>
        <v>0</v>
      </c>
      <c r="J133" s="691">
        <f t="shared" si="38"/>
        <v>0</v>
      </c>
      <c r="K133" s="691">
        <f t="shared" si="39"/>
        <v>0</v>
      </c>
      <c r="L133" s="691">
        <f t="shared" si="43"/>
        <v>0</v>
      </c>
      <c r="M133" s="691">
        <f t="shared" si="40"/>
        <v>0</v>
      </c>
      <c r="N133" s="691">
        <f t="shared" si="41"/>
        <v>0</v>
      </c>
      <c r="O133" s="691">
        <f t="shared" si="42"/>
        <v>0</v>
      </c>
      <c r="P133" s="691">
        <f t="shared" si="31"/>
        <v>0</v>
      </c>
    </row>
    <row r="134" spans="2:16" ht="18.75" customHeight="1">
      <c r="B134" s="500" t="s">
        <v>630</v>
      </c>
      <c r="C134" s="600"/>
      <c r="D134" s="601"/>
      <c r="E134" s="602"/>
      <c r="F134" s="601"/>
      <c r="G134" s="601"/>
      <c r="H134" s="601"/>
      <c r="I134" s="601"/>
      <c r="J134" s="601"/>
      <c r="K134" s="601"/>
      <c r="L134" s="601"/>
      <c r="M134" s="601"/>
      <c r="N134" s="601"/>
      <c r="O134" s="601"/>
      <c r="P134" s="601"/>
    </row>
    <row r="136" spans="2:16">
      <c r="B136" s="594" t="s">
        <v>521</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scale="3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50"/>
  <sheetViews>
    <sheetView showGridLines="0" zoomScaleNormal="100" workbookViewId="0">
      <selection activeCell="C51" sqref="C51"/>
    </sheetView>
  </sheetViews>
  <sheetFormatPr defaultColWidth="9.140625" defaultRowHeight="15"/>
  <cols>
    <col min="1" max="2" width="9.140625" style="12"/>
    <col min="3" max="3" width="61.28515625" style="12" customWidth="1"/>
    <col min="4" max="4" width="32.85546875" style="12" customWidth="1"/>
    <col min="5" max="5" width="33.5703125" style="12" customWidth="1"/>
    <col min="6" max="6" width="9.140625" style="12" customWidth="1"/>
    <col min="7" max="16384" width="9.140625" style="12"/>
  </cols>
  <sheetData>
    <row r="14" spans="2:24" ht="15.75">
      <c r="B14" s="590" t="s">
        <v>500</v>
      </c>
    </row>
    <row r="15" spans="2:24" ht="15.75">
      <c r="B15" s="590"/>
    </row>
    <row r="16" spans="2:24" s="670" customFormat="1" ht="28.5" customHeight="1">
      <c r="B16" s="668" t="s">
        <v>635</v>
      </c>
      <c r="C16" s="845"/>
      <c r="D16" s="845"/>
      <c r="E16" s="845"/>
      <c r="F16" s="845"/>
      <c r="G16" s="845"/>
      <c r="H16" s="845"/>
      <c r="I16" s="845"/>
      <c r="J16" s="845"/>
      <c r="K16" s="845"/>
      <c r="L16" s="845"/>
      <c r="M16" s="845"/>
      <c r="N16" s="845"/>
      <c r="O16" s="845"/>
      <c r="P16" s="845"/>
      <c r="Q16" s="845"/>
      <c r="R16" s="845"/>
      <c r="S16" s="845"/>
      <c r="T16" s="845"/>
      <c r="U16" s="845"/>
      <c r="V16" s="845"/>
      <c r="W16" s="845"/>
      <c r="X16" s="845"/>
    </row>
    <row r="18" spans="3:13" ht="19.149999999999999" customHeight="1">
      <c r="C18" s="805" t="s">
        <v>469</v>
      </c>
      <c r="D18" s="791" t="s">
        <v>744</v>
      </c>
      <c r="E18" s="791" t="s">
        <v>738</v>
      </c>
      <c r="F18"/>
      <c r="G18"/>
      <c r="H18"/>
      <c r="J18"/>
      <c r="K18"/>
      <c r="L18"/>
      <c r="M18"/>
    </row>
    <row r="19" spans="3:13" ht="15.75">
      <c r="C19" s="806" t="s">
        <v>747</v>
      </c>
      <c r="D19" s="806"/>
      <c r="E19" s="806"/>
    </row>
    <row r="20" spans="3:13">
      <c r="C20" s="807" t="s">
        <v>2</v>
      </c>
      <c r="D20" s="807" t="s">
        <v>29</v>
      </c>
      <c r="E20" s="807" t="s">
        <v>751</v>
      </c>
    </row>
    <row r="21" spans="3:13">
      <c r="C21" s="807" t="s">
        <v>1</v>
      </c>
      <c r="D21" s="807" t="s">
        <v>29</v>
      </c>
      <c r="E21" s="807" t="s">
        <v>751</v>
      </c>
    </row>
    <row r="22" spans="3:13">
      <c r="C22" s="807" t="s">
        <v>5</v>
      </c>
      <c r="D22" s="807" t="s">
        <v>29</v>
      </c>
      <c r="E22" s="807" t="s">
        <v>751</v>
      </c>
    </row>
    <row r="23" spans="3:13">
      <c r="C23" s="807" t="s">
        <v>4</v>
      </c>
      <c r="D23" s="807" t="s">
        <v>29</v>
      </c>
      <c r="E23" s="807" t="s">
        <v>751</v>
      </c>
    </row>
    <row r="24" spans="3:13">
      <c r="C24" s="807" t="s">
        <v>3</v>
      </c>
      <c r="D24" s="807" t="s">
        <v>29</v>
      </c>
      <c r="E24" s="807" t="s">
        <v>751</v>
      </c>
    </row>
    <row r="25" spans="3:13">
      <c r="C25" s="807" t="s">
        <v>14</v>
      </c>
      <c r="D25" s="807" t="s">
        <v>29</v>
      </c>
      <c r="E25" s="807" t="s">
        <v>751</v>
      </c>
    </row>
    <row r="26" spans="3:13">
      <c r="C26" s="807" t="s">
        <v>736</v>
      </c>
      <c r="D26" s="807" t="s">
        <v>29</v>
      </c>
      <c r="E26" s="807" t="s">
        <v>751</v>
      </c>
    </row>
    <row r="27" spans="3:13">
      <c r="C27" s="807" t="s">
        <v>109</v>
      </c>
      <c r="D27" s="807" t="s">
        <v>108</v>
      </c>
      <c r="E27" s="807" t="s">
        <v>751</v>
      </c>
    </row>
    <row r="28" spans="3:13">
      <c r="C28" s="807" t="s">
        <v>114</v>
      </c>
      <c r="D28" s="807" t="s">
        <v>29</v>
      </c>
      <c r="E28" s="807" t="s">
        <v>751</v>
      </c>
    </row>
    <row r="29" spans="3:13">
      <c r="C29" s="807" t="s">
        <v>115</v>
      </c>
      <c r="D29" s="807" t="s">
        <v>29</v>
      </c>
      <c r="E29" s="807" t="s">
        <v>751</v>
      </c>
    </row>
    <row r="30" spans="3:13">
      <c r="C30" s="807" t="s">
        <v>117</v>
      </c>
      <c r="D30" s="807" t="s">
        <v>29</v>
      </c>
      <c r="E30" s="807" t="s">
        <v>751</v>
      </c>
    </row>
    <row r="31" spans="3:13">
      <c r="C31" s="807" t="s">
        <v>714</v>
      </c>
      <c r="D31" s="807" t="s">
        <v>745</v>
      </c>
      <c r="E31" s="807" t="s">
        <v>751</v>
      </c>
    </row>
    <row r="32" spans="3:13">
      <c r="C32" s="808" t="s">
        <v>722</v>
      </c>
      <c r="D32" s="809"/>
      <c r="E32" s="809"/>
    </row>
    <row r="33" spans="3:5">
      <c r="C33" s="809"/>
      <c r="D33" s="809"/>
      <c r="E33" s="809"/>
    </row>
    <row r="34" spans="3:5" ht="15.75">
      <c r="C34" s="810" t="s">
        <v>748</v>
      </c>
      <c r="D34" s="810"/>
      <c r="E34" s="810"/>
    </row>
    <row r="35" spans="3:5">
      <c r="C35" s="807" t="s">
        <v>102</v>
      </c>
      <c r="D35" s="807" t="s">
        <v>703</v>
      </c>
      <c r="E35" s="807" t="s">
        <v>752</v>
      </c>
    </row>
    <row r="36" spans="3:5">
      <c r="C36" s="808" t="s">
        <v>722</v>
      </c>
      <c r="D36" s="808"/>
      <c r="E36" s="808"/>
    </row>
    <row r="37" spans="3:5" ht="14.45" customHeight="1">
      <c r="C37" s="809"/>
      <c r="D37" s="809"/>
      <c r="E37" s="809"/>
    </row>
    <row r="38" spans="3:5" ht="15.75">
      <c r="C38" s="810" t="s">
        <v>749</v>
      </c>
      <c r="D38" s="810"/>
      <c r="E38" s="810"/>
    </row>
    <row r="39" spans="3:5">
      <c r="C39" s="807" t="s">
        <v>741</v>
      </c>
      <c r="D39" s="807" t="s">
        <v>692</v>
      </c>
      <c r="E39" s="807" t="s">
        <v>753</v>
      </c>
    </row>
    <row r="40" spans="3:5">
      <c r="C40" s="807" t="s">
        <v>740</v>
      </c>
      <c r="D40" s="807" t="s">
        <v>703</v>
      </c>
      <c r="E40" s="807" t="s">
        <v>753</v>
      </c>
    </row>
    <row r="41" spans="3:5">
      <c r="C41" s="807" t="s">
        <v>17</v>
      </c>
      <c r="D41" s="807" t="s">
        <v>703</v>
      </c>
      <c r="E41" s="807" t="s">
        <v>753</v>
      </c>
    </row>
    <row r="42" spans="3:5">
      <c r="C42" s="807" t="s">
        <v>20</v>
      </c>
      <c r="D42" s="807" t="s">
        <v>703</v>
      </c>
      <c r="E42" s="807" t="s">
        <v>753</v>
      </c>
    </row>
    <row r="43" spans="3:5">
      <c r="C43" s="807" t="s">
        <v>737</v>
      </c>
      <c r="D43" s="807" t="s">
        <v>692</v>
      </c>
      <c r="E43" s="807" t="s">
        <v>753</v>
      </c>
    </row>
    <row r="44" spans="3:5">
      <c r="C44" s="808" t="s">
        <v>722</v>
      </c>
      <c r="D44" s="808"/>
      <c r="E44" s="808"/>
    </row>
    <row r="45" spans="3:5">
      <c r="C45" s="809"/>
      <c r="D45" s="809"/>
      <c r="E45" s="809"/>
    </row>
    <row r="46" spans="3:5" ht="15.75">
      <c r="C46" s="810" t="s">
        <v>750</v>
      </c>
      <c r="D46" s="810"/>
      <c r="E46" s="810"/>
    </row>
    <row r="47" spans="3:5">
      <c r="C47" s="807" t="s">
        <v>742</v>
      </c>
      <c r="D47" s="807" t="s">
        <v>688</v>
      </c>
      <c r="E47" s="807" t="s">
        <v>739</v>
      </c>
    </row>
    <row r="48" spans="3:5">
      <c r="C48" s="807" t="s">
        <v>743</v>
      </c>
      <c r="D48" s="807" t="s">
        <v>746</v>
      </c>
      <c r="E48" s="807" t="s">
        <v>761</v>
      </c>
    </row>
    <row r="49" spans="3:5">
      <c r="C49" s="808" t="s">
        <v>722</v>
      </c>
      <c r="D49" s="808"/>
      <c r="E49" s="816" t="s">
        <v>758</v>
      </c>
    </row>
    <row r="50" spans="3:5">
      <c r="C50" s="811"/>
      <c r="D50" s="811"/>
      <c r="E50" s="817" t="s">
        <v>759</v>
      </c>
    </row>
  </sheetData>
  <pageMargins left="0.7" right="0.7" top="0.75" bottom="0.75" header="0.3" footer="0.3"/>
  <pageSetup scale="5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26</vt:i4>
      </vt:variant>
    </vt:vector>
  </HeadingPairs>
  <TitlesOfParts>
    <vt:vector size="41"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6-b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Cindy Perrin</cp:lastModifiedBy>
  <cp:lastPrinted>2018-09-09T17:00:14Z</cp:lastPrinted>
  <dcterms:created xsi:type="dcterms:W3CDTF">2012-03-05T18:56:04Z</dcterms:created>
  <dcterms:modified xsi:type="dcterms:W3CDTF">2018-09-09T17:26:28Z</dcterms:modified>
</cp:coreProperties>
</file>