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M:\OEB Rate Applications\2019 COS Rate Rebasing\Energy+2019 CoS Models - Models to File with IR Responses_Links Broken\"/>
    </mc:Choice>
  </mc:AlternateContent>
  <bookViews>
    <workbookView xWindow="0" yWindow="0" windowWidth="20160" windowHeight="8472"/>
  </bookViews>
  <sheets>
    <sheet name="1. Information Sheet" sheetId="5" r:id="rId1"/>
    <sheet name="2.2-TSC Current Schedule" sheetId="1" r:id="rId2"/>
    <sheet name="3. Regulatory Charges" sheetId="2" r:id="rId3"/>
    <sheet name="4.2-TS Tariff Schedule" sheetId="3" r:id="rId4"/>
    <sheet name="5. 2-W Bill Impacts" sheetId="4" r:id="rId5"/>
  </sheets>
  <externalReferences>
    <externalReference r:id="rId6"/>
    <externalReference r:id="rId7"/>
  </externalReferences>
  <definedNames>
    <definedName name="DRC">'[1]3. Regulatory Charges'!$D$29</definedName>
    <definedName name="EnergyPlus">'[2]2016 List'!$C$16:$C$17</definedName>
    <definedName name="MidPeak">'[1]3. Regulatory Charges'!$D$24</definedName>
    <definedName name="OffPeak">'[1]3. Regulatory Charges'!$D$23</definedName>
    <definedName name="OnPeak">'[1]3. Regulatory Charges'!$D$25</definedName>
    <definedName name="_xlnm.Print_Area" localSheetId="3">'4.2-TS Tariff Schedule'!$A$1:$F$462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0" i="4" l="1"/>
  <c r="T31" i="4"/>
  <c r="U31" i="4"/>
  <c r="U32" i="4" s="1"/>
  <c r="U33" i="4" s="1"/>
  <c r="U34" i="4" s="1"/>
  <c r="U35" i="4" s="1"/>
  <c r="U36" i="4" s="1"/>
  <c r="U57" i="4" s="1"/>
  <c r="U58" i="4" s="1"/>
  <c r="T32" i="4"/>
  <c r="T33" i="4"/>
  <c r="T34" i="4"/>
  <c r="T35" i="4"/>
  <c r="T36" i="4"/>
  <c r="T37" i="4"/>
  <c r="T38" i="4"/>
  <c r="C39" i="4"/>
  <c r="T39" i="4"/>
  <c r="C40" i="4"/>
  <c r="T40" i="4"/>
  <c r="C41" i="4"/>
  <c r="T41" i="4"/>
  <c r="C42" i="4"/>
  <c r="T42" i="4"/>
  <c r="C43" i="4"/>
  <c r="T43" i="4"/>
  <c r="C44" i="4"/>
  <c r="T44" i="4"/>
  <c r="C45" i="4"/>
  <c r="T45" i="4"/>
  <c r="C46" i="4"/>
  <c r="T46" i="4"/>
  <c r="C47" i="4"/>
  <c r="T47" i="4"/>
  <c r="C48" i="4"/>
  <c r="T48" i="4"/>
  <c r="C49" i="4"/>
  <c r="T49" i="4"/>
  <c r="C50" i="4"/>
  <c r="T50" i="4"/>
  <c r="C51" i="4"/>
  <c r="T51" i="4"/>
  <c r="C52" i="4"/>
  <c r="T52" i="4"/>
  <c r="C53" i="4"/>
  <c r="T53" i="4"/>
  <c r="C54" i="4"/>
  <c r="T54" i="4"/>
  <c r="C55" i="4"/>
  <c r="T55" i="4"/>
  <c r="C56" i="4"/>
  <c r="T56" i="4"/>
  <c r="C57" i="4"/>
  <c r="T57" i="4"/>
  <c r="C58" i="4"/>
  <c r="T58" i="4"/>
  <c r="C59" i="4"/>
  <c r="T59" i="4"/>
  <c r="U59" i="4"/>
  <c r="U60" i="4" s="1"/>
  <c r="U61" i="4" s="1"/>
  <c r="U62" i="4" s="1"/>
  <c r="C60" i="4"/>
  <c r="T60" i="4"/>
  <c r="C61" i="4"/>
  <c r="T61" i="4"/>
  <c r="C62" i="4"/>
  <c r="T62" i="4"/>
  <c r="C63" i="4"/>
  <c r="T63" i="4"/>
  <c r="U63" i="4"/>
  <c r="U64" i="4" s="1"/>
  <c r="U65" i="4" s="1"/>
  <c r="U66" i="4" s="1"/>
  <c r="C64" i="4"/>
  <c r="T64" i="4"/>
  <c r="C65" i="4"/>
  <c r="T65" i="4"/>
  <c r="C66" i="4"/>
  <c r="T66" i="4"/>
  <c r="C67" i="4"/>
  <c r="T67" i="4"/>
  <c r="U67" i="4"/>
  <c r="U68" i="4" s="1"/>
  <c r="U69" i="4" s="1"/>
  <c r="C68" i="4"/>
  <c r="T68" i="4"/>
  <c r="C69" i="4"/>
  <c r="T69" i="4"/>
  <c r="B75" i="4"/>
  <c r="D75" i="4"/>
  <c r="G75" i="4"/>
  <c r="B76" i="4"/>
  <c r="D76" i="4"/>
  <c r="G76" i="4"/>
  <c r="B77" i="4"/>
  <c r="D77" i="4"/>
  <c r="G77" i="4"/>
  <c r="B78" i="4"/>
  <c r="D78" i="4"/>
  <c r="G78" i="4"/>
  <c r="B79" i="4"/>
  <c r="D79" i="4"/>
  <c r="G79" i="4"/>
  <c r="B80" i="4"/>
  <c r="D80" i="4"/>
  <c r="G80" i="4"/>
  <c r="B81" i="4"/>
  <c r="D81" i="4"/>
  <c r="G81" i="4"/>
  <c r="B82" i="4"/>
  <c r="D82" i="4"/>
  <c r="G82" i="4"/>
  <c r="B83" i="4"/>
  <c r="D83" i="4"/>
  <c r="G83" i="4"/>
  <c r="B84" i="4"/>
  <c r="D84" i="4"/>
  <c r="G84" i="4"/>
  <c r="B85" i="4"/>
  <c r="B86" i="4"/>
  <c r="D86" i="4"/>
  <c r="G86" i="4"/>
  <c r="B87" i="4"/>
  <c r="D87" i="4"/>
  <c r="G87" i="4"/>
  <c r="B88" i="4"/>
  <c r="D88" i="4"/>
  <c r="G88" i="4"/>
  <c r="M88" i="4"/>
  <c r="O88" i="4"/>
  <c r="B89" i="4"/>
  <c r="D89" i="4"/>
  <c r="G89" i="4"/>
  <c r="H89" i="4"/>
  <c r="I89" i="4"/>
  <c r="J89" i="4"/>
  <c r="K89" i="4"/>
  <c r="L89" i="4"/>
  <c r="M89" i="4"/>
  <c r="N89" i="4"/>
  <c r="O89" i="4"/>
  <c r="B90" i="4"/>
  <c r="D90" i="4"/>
  <c r="G90" i="4"/>
  <c r="I90" i="4"/>
  <c r="J90" i="4"/>
  <c r="O90" i="4"/>
  <c r="B91" i="4"/>
  <c r="D91" i="4"/>
  <c r="G91" i="4"/>
  <c r="H91" i="4"/>
  <c r="K91" i="4"/>
  <c r="N91" i="4"/>
  <c r="B92" i="4"/>
  <c r="D92" i="4"/>
  <c r="G92" i="4"/>
  <c r="I92" i="4"/>
  <c r="K92" i="4"/>
  <c r="L92" i="4"/>
  <c r="O92" i="4"/>
  <c r="B93" i="4"/>
  <c r="D93" i="4"/>
  <c r="G93" i="4"/>
  <c r="H93" i="4"/>
  <c r="I93" i="4"/>
  <c r="J93" i="4"/>
  <c r="K93" i="4"/>
  <c r="L93" i="4"/>
  <c r="M93" i="4"/>
  <c r="N93" i="4"/>
  <c r="O93" i="4"/>
  <c r="B94" i="4"/>
  <c r="D94" i="4"/>
  <c r="G94" i="4"/>
  <c r="J94" i="4"/>
  <c r="M94" i="4"/>
  <c r="O94" i="4"/>
  <c r="B95" i="4"/>
  <c r="D95" i="4"/>
  <c r="G95" i="4"/>
  <c r="H95" i="4"/>
  <c r="J95" i="4"/>
  <c r="K95" i="4"/>
  <c r="L95" i="4"/>
  <c r="N95" i="4"/>
  <c r="O95" i="4"/>
  <c r="B96" i="4"/>
  <c r="D96" i="4"/>
  <c r="G96" i="4"/>
  <c r="L96" i="4"/>
  <c r="B97" i="4"/>
  <c r="D97" i="4"/>
  <c r="G97" i="4"/>
  <c r="H97" i="4"/>
  <c r="I97" i="4"/>
  <c r="J97" i="4"/>
  <c r="K97" i="4"/>
  <c r="L97" i="4"/>
  <c r="M97" i="4"/>
  <c r="N97" i="4"/>
  <c r="O97" i="4"/>
  <c r="B98" i="4"/>
  <c r="D98" i="4"/>
  <c r="G98" i="4"/>
  <c r="I98" i="4"/>
  <c r="B99" i="4"/>
  <c r="D99" i="4"/>
  <c r="G99" i="4"/>
  <c r="H99" i="4"/>
  <c r="K99" i="4"/>
  <c r="N99" i="4"/>
  <c r="B100" i="4"/>
  <c r="D100" i="4"/>
  <c r="G100" i="4"/>
  <c r="I100" i="4"/>
  <c r="K100" i="4"/>
  <c r="L100" i="4"/>
  <c r="O100" i="4"/>
  <c r="B101" i="4"/>
  <c r="D101" i="4"/>
  <c r="G101" i="4"/>
  <c r="H101" i="4"/>
  <c r="I101" i="4"/>
  <c r="J101" i="4"/>
  <c r="K101" i="4"/>
  <c r="L101" i="4"/>
  <c r="M101" i="4"/>
  <c r="N101" i="4"/>
  <c r="O101" i="4"/>
  <c r="B102" i="4"/>
  <c r="D102" i="4"/>
  <c r="G102" i="4"/>
  <c r="J102" i="4"/>
  <c r="M102" i="4"/>
  <c r="O102" i="4"/>
  <c r="B103" i="4"/>
  <c r="D103" i="4"/>
  <c r="G103" i="4"/>
  <c r="H103" i="4"/>
  <c r="J103" i="4"/>
  <c r="K103" i="4"/>
  <c r="L103" i="4"/>
  <c r="N103" i="4"/>
  <c r="O103" i="4"/>
  <c r="B104" i="4"/>
  <c r="D104" i="4"/>
  <c r="G104" i="4"/>
  <c r="M104" i="4" s="1"/>
  <c r="B105" i="4"/>
  <c r="D105" i="4"/>
  <c r="G105" i="4"/>
  <c r="H105" i="4"/>
  <c r="I105" i="4"/>
  <c r="J105" i="4"/>
  <c r="K105" i="4"/>
  <c r="L105" i="4"/>
  <c r="M105" i="4"/>
  <c r="N105" i="4"/>
  <c r="O105" i="4"/>
  <c r="B106" i="4"/>
  <c r="D106" i="4"/>
  <c r="G106" i="4"/>
  <c r="I106" i="4"/>
  <c r="J106" i="4"/>
  <c r="O106" i="4"/>
  <c r="B107" i="4"/>
  <c r="D107" i="4"/>
  <c r="G107" i="4"/>
  <c r="H107" i="4"/>
  <c r="K107" i="4"/>
  <c r="N107" i="4"/>
  <c r="B108" i="4"/>
  <c r="D108" i="4"/>
  <c r="G108" i="4"/>
  <c r="I108" i="4"/>
  <c r="K108" i="4"/>
  <c r="L108" i="4"/>
  <c r="O108" i="4"/>
  <c r="B109" i="4"/>
  <c r="D109" i="4"/>
  <c r="G109" i="4"/>
  <c r="H109" i="4"/>
  <c r="I109" i="4"/>
  <c r="J109" i="4"/>
  <c r="K109" i="4"/>
  <c r="L109" i="4"/>
  <c r="M109" i="4"/>
  <c r="N109" i="4"/>
  <c r="O109" i="4"/>
  <c r="B110" i="4"/>
  <c r="D110" i="4"/>
  <c r="G110" i="4"/>
  <c r="J110" i="4"/>
  <c r="M110" i="4"/>
  <c r="O110" i="4"/>
  <c r="B111" i="4"/>
  <c r="D111" i="4"/>
  <c r="G111" i="4"/>
  <c r="H111" i="4"/>
  <c r="J111" i="4"/>
  <c r="K111" i="4"/>
  <c r="L111" i="4"/>
  <c r="N111" i="4"/>
  <c r="O111" i="4"/>
  <c r="B112" i="4"/>
  <c r="D112" i="4"/>
  <c r="G112" i="4"/>
  <c r="B113" i="4"/>
  <c r="D113" i="4"/>
  <c r="G113" i="4"/>
  <c r="H113" i="4"/>
  <c r="I113" i="4"/>
  <c r="J113" i="4"/>
  <c r="K113" i="4"/>
  <c r="L113" i="4"/>
  <c r="M113" i="4"/>
  <c r="N113" i="4"/>
  <c r="O113" i="4"/>
  <c r="B114" i="4"/>
  <c r="D114" i="4"/>
  <c r="G114" i="4"/>
  <c r="B115" i="4"/>
  <c r="D115" i="4"/>
  <c r="G115" i="4"/>
  <c r="H115" i="4"/>
  <c r="K115" i="4"/>
  <c r="N115" i="4"/>
  <c r="E118" i="4"/>
  <c r="K118" i="4"/>
  <c r="E119" i="4"/>
  <c r="E120" i="4"/>
  <c r="E121" i="4"/>
  <c r="E122" i="4"/>
  <c r="E123" i="4"/>
  <c r="J128" i="4"/>
  <c r="J130" i="4"/>
  <c r="C132" i="4"/>
  <c r="G134" i="4"/>
  <c r="G135" i="4"/>
  <c r="J135" i="4"/>
  <c r="J136" i="4"/>
  <c r="I137" i="4"/>
  <c r="K137" i="4" s="1"/>
  <c r="C138" i="4"/>
  <c r="J139" i="4"/>
  <c r="G140" i="4"/>
  <c r="J140" i="4"/>
  <c r="C141" i="4"/>
  <c r="G142" i="4"/>
  <c r="J142" i="4"/>
  <c r="G143" i="4"/>
  <c r="J143" i="4"/>
  <c r="G144" i="4"/>
  <c r="J144" i="4"/>
  <c r="I145" i="4"/>
  <c r="K145" i="4"/>
  <c r="G147" i="4"/>
  <c r="H147" i="4" s="1"/>
  <c r="L147" i="4" s="1"/>
  <c r="M147" i="4" s="1"/>
  <c r="J147" i="4"/>
  <c r="K147" i="4"/>
  <c r="G148" i="4"/>
  <c r="H148" i="4" s="1"/>
  <c r="I133" i="4"/>
  <c r="J133" i="4" s="1"/>
  <c r="K133" i="4" s="1"/>
  <c r="J148" i="4"/>
  <c r="K148" i="4" s="1"/>
  <c r="G149" i="4"/>
  <c r="H149" i="4" s="1"/>
  <c r="J149" i="4"/>
  <c r="K149" i="4" s="1"/>
  <c r="H150" i="4"/>
  <c r="G150" i="4"/>
  <c r="K150" i="4"/>
  <c r="J150" i="4"/>
  <c r="F151" i="4"/>
  <c r="I151" i="4" s="1"/>
  <c r="G151" i="4"/>
  <c r="H151" i="4"/>
  <c r="J151" i="4"/>
  <c r="K151" i="4"/>
  <c r="F152" i="4"/>
  <c r="I152" i="4" s="1"/>
  <c r="G152" i="4"/>
  <c r="H152" i="4" s="1"/>
  <c r="J152" i="4"/>
  <c r="K152" i="4"/>
  <c r="C157" i="4"/>
  <c r="E173" i="4"/>
  <c r="K173" i="4"/>
  <c r="E174" i="4"/>
  <c r="E175" i="4"/>
  <c r="E176" i="4"/>
  <c r="E177" i="4"/>
  <c r="E178" i="4"/>
  <c r="A183" i="4"/>
  <c r="A184" i="4" s="1"/>
  <c r="A185" i="4" s="1"/>
  <c r="A186" i="4" s="1"/>
  <c r="A187" i="4" s="1"/>
  <c r="A188" i="4" s="1"/>
  <c r="A189" i="4" s="1"/>
  <c r="A190" i="4" s="1"/>
  <c r="A191" i="4" s="1"/>
  <c r="A192" i="4" s="1"/>
  <c r="A193" i="4" s="1"/>
  <c r="A194" i="4" s="1"/>
  <c r="A195" i="4" s="1"/>
  <c r="A196" i="4" s="1"/>
  <c r="A197" i="4" s="1"/>
  <c r="A199" i="4" s="1"/>
  <c r="A200" i="4" s="1"/>
  <c r="A201" i="4" s="1"/>
  <c r="A202" i="4" s="1"/>
  <c r="A203" i="4" s="1"/>
  <c r="A204" i="4" s="1"/>
  <c r="A205" i="4" s="1"/>
  <c r="A206" i="4" s="1"/>
  <c r="A207" i="4" s="1"/>
  <c r="A208" i="4" s="1"/>
  <c r="A209" i="4" s="1"/>
  <c r="A210" i="4" s="1"/>
  <c r="A212" i="4" s="1"/>
  <c r="A213" i="4" s="1"/>
  <c r="A214" i="4" s="1"/>
  <c r="A215" i="4" s="1"/>
  <c r="A217" i="4" s="1"/>
  <c r="A218" i="4" s="1"/>
  <c r="A219" i="4" s="1"/>
  <c r="A220" i="4" s="1"/>
  <c r="A222" i="4" s="1"/>
  <c r="A223" i="4" s="1"/>
  <c r="J183" i="4"/>
  <c r="J185" i="4"/>
  <c r="G186" i="4"/>
  <c r="C187" i="4"/>
  <c r="I188" i="4"/>
  <c r="J188" i="4" s="1"/>
  <c r="K188" i="4" s="1"/>
  <c r="G190" i="4"/>
  <c r="C193" i="4"/>
  <c r="I194" i="4"/>
  <c r="C196" i="4"/>
  <c r="I197" i="4"/>
  <c r="G198" i="4"/>
  <c r="I198" i="4"/>
  <c r="F206" i="4"/>
  <c r="I206" i="4"/>
  <c r="F207" i="4"/>
  <c r="I207" i="4" s="1"/>
  <c r="C212" i="4"/>
  <c r="E228" i="4"/>
  <c r="K228" i="4"/>
  <c r="E229" i="4"/>
  <c r="E230" i="4"/>
  <c r="E231" i="4"/>
  <c r="E232" i="4"/>
  <c r="E233" i="4"/>
  <c r="A238" i="4"/>
  <c r="J238" i="4"/>
  <c r="A239" i="4"/>
  <c r="A240" i="4" s="1"/>
  <c r="A241" i="4" s="1"/>
  <c r="J239" i="4"/>
  <c r="J240" i="4"/>
  <c r="J241" i="4"/>
  <c r="A242" i="4"/>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C242" i="4"/>
  <c r="J244" i="4"/>
  <c r="J246" i="4"/>
  <c r="C248" i="4"/>
  <c r="G250" i="4"/>
  <c r="C251" i="4"/>
  <c r="I252" i="4"/>
  <c r="J252" i="4"/>
  <c r="K252" i="4" s="1"/>
  <c r="G253" i="4"/>
  <c r="I253" i="4"/>
  <c r="G256" i="4"/>
  <c r="H256" i="4" s="1"/>
  <c r="F243" i="4"/>
  <c r="G243" i="4" s="1"/>
  <c r="H243" i="4" s="1"/>
  <c r="G258" i="4"/>
  <c r="H258" i="4" s="1"/>
  <c r="G259" i="4"/>
  <c r="H259" i="4" s="1"/>
  <c r="I243" i="4"/>
  <c r="J243" i="4" s="1"/>
  <c r="K243" i="4" s="1"/>
  <c r="C266" i="4"/>
  <c r="E272" i="4"/>
  <c r="E274" i="4"/>
  <c r="E275" i="4"/>
  <c r="E276" i="4"/>
  <c r="E277" i="4"/>
  <c r="J298" i="4" s="1"/>
  <c r="J282" i="4"/>
  <c r="G283" i="4"/>
  <c r="J283" i="4"/>
  <c r="J284" i="4"/>
  <c r="G285" i="4"/>
  <c r="J285" i="4"/>
  <c r="A286" i="4"/>
  <c r="C286" i="4"/>
  <c r="G288" i="4"/>
  <c r="J288" i="4"/>
  <c r="G289" i="4"/>
  <c r="J289" i="4"/>
  <c r="G290" i="4"/>
  <c r="A292" i="4"/>
  <c r="C292" i="4"/>
  <c r="G293" i="4"/>
  <c r="J293" i="4"/>
  <c r="J294" i="4"/>
  <c r="A295" i="4"/>
  <c r="C295" i="4"/>
  <c r="G296" i="4"/>
  <c r="J296" i="4"/>
  <c r="J297" i="4"/>
  <c r="G300" i="4"/>
  <c r="H300" i="4"/>
  <c r="J300" i="4"/>
  <c r="K300" i="4"/>
  <c r="H301" i="4"/>
  <c r="K301" i="4"/>
  <c r="L301" i="4" s="1"/>
  <c r="M301" i="4" s="1"/>
  <c r="H302" i="4"/>
  <c r="K302" i="4"/>
  <c r="H303" i="4"/>
  <c r="K303" i="4"/>
  <c r="J304" i="4"/>
  <c r="K304" i="4"/>
  <c r="G305" i="4"/>
  <c r="H305" i="4" s="1"/>
  <c r="J305" i="4"/>
  <c r="K305" i="4" s="1"/>
  <c r="L305" i="4"/>
  <c r="M305" i="4" s="1"/>
  <c r="A306" i="4"/>
  <c r="A307" i="4"/>
  <c r="A308" i="4"/>
  <c r="A309" i="4"/>
  <c r="A310" i="4"/>
  <c r="C310" i="4"/>
  <c r="A311" i="4"/>
  <c r="E316" i="4"/>
  <c r="K316" i="4"/>
  <c r="E317" i="4"/>
  <c r="E318" i="4"/>
  <c r="E319" i="4"/>
  <c r="E320" i="4"/>
  <c r="E321" i="4"/>
  <c r="J326" i="4"/>
  <c r="A327" i="4"/>
  <c r="J327" i="4"/>
  <c r="A328" i="4"/>
  <c r="J328" i="4"/>
  <c r="C330" i="4"/>
  <c r="A331" i="4"/>
  <c r="A332" i="4"/>
  <c r="G332" i="4"/>
  <c r="G333" i="4"/>
  <c r="J333" i="4"/>
  <c r="A334" i="4"/>
  <c r="J334" i="4"/>
  <c r="A335" i="4"/>
  <c r="I335" i="4" s="1"/>
  <c r="K335" i="4" s="1"/>
  <c r="A336" i="4"/>
  <c r="C336" i="4"/>
  <c r="J338" i="4"/>
  <c r="C339" i="4"/>
  <c r="A340" i="4"/>
  <c r="G340" i="4"/>
  <c r="G341" i="4"/>
  <c r="J341" i="4"/>
  <c r="A342" i="4"/>
  <c r="G342" i="4"/>
  <c r="J342" i="4"/>
  <c r="A343" i="4"/>
  <c r="I343" i="4" s="1"/>
  <c r="K343" i="4" s="1"/>
  <c r="A344" i="4"/>
  <c r="G344" i="4"/>
  <c r="H344" i="4" s="1"/>
  <c r="H345" i="4"/>
  <c r="K345" i="4"/>
  <c r="L345" i="4" s="1"/>
  <c r="M345" i="4" s="1"/>
  <c r="A346" i="4"/>
  <c r="H346" i="4"/>
  <c r="K346" i="4"/>
  <c r="L346" i="4" s="1"/>
  <c r="M346" i="4" s="1"/>
  <c r="H347" i="4"/>
  <c r="K347" i="4"/>
  <c r="L347" i="4" s="1"/>
  <c r="M347" i="4" s="1"/>
  <c r="G348" i="4"/>
  <c r="H348" i="4"/>
  <c r="G349" i="4"/>
  <c r="H349" i="4" s="1"/>
  <c r="L349" i="4" s="1"/>
  <c r="J349" i="4"/>
  <c r="K349" i="4" s="1"/>
  <c r="M349" i="4"/>
  <c r="C354" i="4"/>
  <c r="A355" i="4"/>
  <c r="E360" i="4"/>
  <c r="K360" i="4"/>
  <c r="E361" i="4"/>
  <c r="E362" i="4"/>
  <c r="E363" i="4"/>
  <c r="E364" i="4"/>
  <c r="E365" i="4"/>
  <c r="J370" i="4"/>
  <c r="J372" i="4"/>
  <c r="C374" i="4"/>
  <c r="G378" i="4"/>
  <c r="C380" i="4"/>
  <c r="C383" i="4"/>
  <c r="I384" i="4"/>
  <c r="G386" i="4"/>
  <c r="G388" i="4"/>
  <c r="H388" i="4"/>
  <c r="G392" i="4"/>
  <c r="H392" i="4" s="1"/>
  <c r="J392" i="4"/>
  <c r="K392" i="4" s="1"/>
  <c r="L392" i="4" s="1"/>
  <c r="M392" i="4" s="1"/>
  <c r="G393" i="4"/>
  <c r="H393" i="4" s="1"/>
  <c r="C398" i="4"/>
  <c r="E404" i="4"/>
  <c r="E405" i="4"/>
  <c r="E406" i="4"/>
  <c r="E407" i="4"/>
  <c r="E408" i="4"/>
  <c r="E409" i="4"/>
  <c r="J414" i="4"/>
  <c r="J415" i="4"/>
  <c r="I416" i="4"/>
  <c r="J416" i="4"/>
  <c r="G417" i="4"/>
  <c r="C418" i="4"/>
  <c r="G420" i="4"/>
  <c r="G421" i="4"/>
  <c r="J421" i="4"/>
  <c r="G422" i="4"/>
  <c r="J422" i="4"/>
  <c r="I423" i="4"/>
  <c r="K423" i="4" s="1"/>
  <c r="C424" i="4"/>
  <c r="G425" i="4"/>
  <c r="G426" i="4"/>
  <c r="C427" i="4"/>
  <c r="G428" i="4"/>
  <c r="G429" i="4"/>
  <c r="J429" i="4"/>
  <c r="G430" i="4"/>
  <c r="I431" i="4"/>
  <c r="K431" i="4" s="1"/>
  <c r="G432" i="4"/>
  <c r="H432" i="4" s="1"/>
  <c r="J434" i="4"/>
  <c r="C442" i="4"/>
  <c r="E448" i="4"/>
  <c r="K448" i="4"/>
  <c r="E449" i="4"/>
  <c r="E450" i="4"/>
  <c r="E451" i="4"/>
  <c r="E452" i="4"/>
  <c r="G472" i="4" s="1"/>
  <c r="E453" i="4"/>
  <c r="A458" i="4"/>
  <c r="J458" i="4"/>
  <c r="A459" i="4"/>
  <c r="A460" i="4" s="1"/>
  <c r="A461" i="4" s="1"/>
  <c r="G459" i="4"/>
  <c r="J459" i="4"/>
  <c r="I460" i="4"/>
  <c r="K460" i="4" s="1"/>
  <c r="J460" i="4"/>
  <c r="G461" i="4"/>
  <c r="J461" i="4"/>
  <c r="A462" i="4"/>
  <c r="A463" i="4" s="1"/>
  <c r="A464" i="4" s="1"/>
  <c r="A465" i="4" s="1"/>
  <c r="A466" i="4" s="1"/>
  <c r="A467" i="4" s="1"/>
  <c r="A468" i="4" s="1"/>
  <c r="A469" i="4" s="1"/>
  <c r="A470" i="4" s="1"/>
  <c r="C462" i="4"/>
  <c r="I463" i="4"/>
  <c r="J463" i="4" s="1"/>
  <c r="K463" i="4" s="1"/>
  <c r="G464" i="4"/>
  <c r="J464" i="4"/>
  <c r="G465" i="4"/>
  <c r="J465" i="4"/>
  <c r="G466" i="4"/>
  <c r="J466" i="4"/>
  <c r="I467" i="4"/>
  <c r="K467" i="4"/>
  <c r="C468" i="4"/>
  <c r="G469" i="4"/>
  <c r="J469" i="4"/>
  <c r="G470" i="4"/>
  <c r="J470" i="4"/>
  <c r="A471" i="4"/>
  <c r="A472" i="4" s="1"/>
  <c r="C471" i="4"/>
  <c r="I472" i="4"/>
  <c r="A473" i="4"/>
  <c r="A474" i="4" s="1"/>
  <c r="A475" i="4" s="1"/>
  <c r="A476" i="4" s="1"/>
  <c r="A477" i="4" s="1"/>
  <c r="A478" i="4" s="1"/>
  <c r="A479" i="4" s="1"/>
  <c r="A480" i="4" s="1"/>
  <c r="A481" i="4" s="1"/>
  <c r="A482" i="4" s="1"/>
  <c r="A483" i="4" s="1"/>
  <c r="A484" i="4" s="1"/>
  <c r="A485" i="4" s="1"/>
  <c r="A486" i="4" s="1"/>
  <c r="A487" i="4" s="1"/>
  <c r="I473" i="4"/>
  <c r="I474" i="4"/>
  <c r="I475" i="4"/>
  <c r="K475" i="4" s="1"/>
  <c r="G476" i="4"/>
  <c r="H476" i="4" s="1"/>
  <c r="J476" i="4"/>
  <c r="K476" i="4" s="1"/>
  <c r="L476" i="4" s="1"/>
  <c r="M476" i="4" s="1"/>
  <c r="G480" i="4"/>
  <c r="H480" i="4" s="1"/>
  <c r="C486" i="4"/>
  <c r="E492" i="4"/>
  <c r="F509" i="4" s="1"/>
  <c r="H509" i="4" s="1"/>
  <c r="K492" i="4"/>
  <c r="E493" i="4"/>
  <c r="I507" i="4" s="1"/>
  <c r="E494" i="4"/>
  <c r="E495" i="4"/>
  <c r="J503" i="4" s="1"/>
  <c r="E496" i="4"/>
  <c r="E497" i="4"/>
  <c r="J502" i="4"/>
  <c r="J504" i="4"/>
  <c r="C506" i="4"/>
  <c r="F507" i="4"/>
  <c r="G507" i="4" s="1"/>
  <c r="H507" i="4" s="1"/>
  <c r="J507" i="4"/>
  <c r="K507" i="4" s="1"/>
  <c r="G509" i="4"/>
  <c r="J509" i="4"/>
  <c r="C512" i="4"/>
  <c r="C515" i="4"/>
  <c r="G516" i="4"/>
  <c r="J516" i="4"/>
  <c r="I517" i="4"/>
  <c r="J517" i="4"/>
  <c r="J518" i="4"/>
  <c r="I519" i="4"/>
  <c r="K519" i="4" s="1"/>
  <c r="G520" i="4"/>
  <c r="H520" i="4" s="1"/>
  <c r="J520" i="4"/>
  <c r="K520" i="4" s="1"/>
  <c r="L520" i="4" s="1"/>
  <c r="M520" i="4" s="1"/>
  <c r="J521" i="4"/>
  <c r="G523" i="4"/>
  <c r="H523" i="4" s="1"/>
  <c r="C530" i="4"/>
  <c r="E536" i="4"/>
  <c r="I562" i="4" s="1"/>
  <c r="K562" i="4" s="1"/>
  <c r="K536" i="4"/>
  <c r="E537" i="4"/>
  <c r="E538" i="4"/>
  <c r="E539" i="4"/>
  <c r="J554" i="4" s="1"/>
  <c r="E540" i="4"/>
  <c r="G568" i="4" s="1"/>
  <c r="E541" i="4"/>
  <c r="J560" i="4" s="1"/>
  <c r="I546" i="4"/>
  <c r="J546" i="4"/>
  <c r="K546" i="4"/>
  <c r="J548" i="4"/>
  <c r="G549" i="4"/>
  <c r="C550" i="4"/>
  <c r="I551" i="4"/>
  <c r="J551" i="4"/>
  <c r="K551" i="4" s="1"/>
  <c r="I552" i="4"/>
  <c r="G553" i="4"/>
  <c r="J553" i="4"/>
  <c r="C556" i="4"/>
  <c r="J557" i="4"/>
  <c r="G558" i="4"/>
  <c r="C559" i="4"/>
  <c r="G560" i="4"/>
  <c r="G561" i="4"/>
  <c r="J561" i="4"/>
  <c r="G562" i="4"/>
  <c r="J562" i="4"/>
  <c r="I563" i="4"/>
  <c r="K563" i="4" s="1"/>
  <c r="G564" i="4"/>
  <c r="H564" i="4" s="1"/>
  <c r="L564" i="4" s="1"/>
  <c r="M564" i="4" s="1"/>
  <c r="J564" i="4"/>
  <c r="K564" i="4"/>
  <c r="H568" i="4"/>
  <c r="J568" i="4"/>
  <c r="K568" i="4" s="1"/>
  <c r="L568" i="4" s="1"/>
  <c r="M568" i="4" s="1"/>
  <c r="G569" i="4"/>
  <c r="H569" i="4" s="1"/>
  <c r="J569" i="4"/>
  <c r="K569" i="4"/>
  <c r="L569" i="4" s="1"/>
  <c r="M569" i="4" s="1"/>
  <c r="C574" i="4"/>
  <c r="E580" i="4"/>
  <c r="K580" i="4"/>
  <c r="E581" i="4"/>
  <c r="E582" i="4"/>
  <c r="G606" i="4" s="1"/>
  <c r="E583" i="4"/>
  <c r="E584" i="4"/>
  <c r="E585" i="4"/>
  <c r="J590" i="4"/>
  <c r="G591" i="4"/>
  <c r="J591" i="4"/>
  <c r="I592" i="4"/>
  <c r="K592" i="4" s="1"/>
  <c r="J592" i="4"/>
  <c r="G593" i="4"/>
  <c r="J593" i="4"/>
  <c r="A594" i="4"/>
  <c r="C594" i="4"/>
  <c r="G596" i="4"/>
  <c r="J596" i="4"/>
  <c r="K596" i="4" s="1"/>
  <c r="G597" i="4"/>
  <c r="G598" i="4"/>
  <c r="I598" i="4"/>
  <c r="J598" i="4"/>
  <c r="K598" i="4" s="1"/>
  <c r="I599" i="4"/>
  <c r="K599" i="4"/>
  <c r="A600" i="4"/>
  <c r="C600" i="4"/>
  <c r="A601" i="4"/>
  <c r="G601" i="4"/>
  <c r="J601" i="4"/>
  <c r="A602" i="4"/>
  <c r="F602" i="4" s="1"/>
  <c r="G602" i="4"/>
  <c r="J602" i="4"/>
  <c r="A603" i="4"/>
  <c r="C603" i="4"/>
  <c r="I604" i="4"/>
  <c r="G605" i="4"/>
  <c r="I605" i="4"/>
  <c r="I606" i="4"/>
  <c r="J606" i="4"/>
  <c r="I607" i="4"/>
  <c r="K607" i="4"/>
  <c r="G608" i="4"/>
  <c r="H608" i="4" s="1"/>
  <c r="J612" i="4"/>
  <c r="K612" i="4" s="1"/>
  <c r="A614" i="4"/>
  <c r="A615" i="4"/>
  <c r="A616" i="4" s="1"/>
  <c r="A617" i="4" s="1"/>
  <c r="A618" i="4" s="1"/>
  <c r="A619" i="4" s="1"/>
  <c r="C618" i="4"/>
  <c r="E624" i="4"/>
  <c r="I637" i="4" s="1"/>
  <c r="K624" i="4"/>
  <c r="E625" i="4"/>
  <c r="E626" i="4"/>
  <c r="E627" i="4"/>
  <c r="J635" i="4" s="1"/>
  <c r="E628" i="4"/>
  <c r="G649" i="4" s="1"/>
  <c r="E629" i="4"/>
  <c r="J650" i="4" s="1"/>
  <c r="K650" i="4" s="1"/>
  <c r="I634" i="4"/>
  <c r="K634" i="4" s="1"/>
  <c r="J634" i="4"/>
  <c r="G635" i="4"/>
  <c r="I635" i="4"/>
  <c r="I636" i="4"/>
  <c r="K636" i="4" s="1"/>
  <c r="J636" i="4"/>
  <c r="J637" i="4"/>
  <c r="A638" i="4"/>
  <c r="C638" i="4"/>
  <c r="I639" i="4"/>
  <c r="J639" i="4"/>
  <c r="K639" i="4" s="1"/>
  <c r="J640" i="4"/>
  <c r="G641" i="4"/>
  <c r="J641" i="4"/>
  <c r="J642" i="4"/>
  <c r="I643" i="4"/>
  <c r="K643" i="4" s="1"/>
  <c r="A644" i="4"/>
  <c r="C644" i="4"/>
  <c r="J645" i="4"/>
  <c r="J646" i="4"/>
  <c r="A647" i="4"/>
  <c r="C647" i="4"/>
  <c r="G648" i="4"/>
  <c r="I648" i="4"/>
  <c r="J649" i="4"/>
  <c r="G650" i="4"/>
  <c r="I650" i="4"/>
  <c r="I651" i="4"/>
  <c r="K651" i="4" s="1"/>
  <c r="G652" i="4"/>
  <c r="H652" i="4"/>
  <c r="J652" i="4"/>
  <c r="K652" i="4"/>
  <c r="L652" i="4" s="1"/>
  <c r="M652" i="4" s="1"/>
  <c r="G656" i="4"/>
  <c r="H656" i="4"/>
  <c r="G657" i="4"/>
  <c r="H657" i="4" s="1"/>
  <c r="J657" i="4"/>
  <c r="K657" i="4" s="1"/>
  <c r="A658" i="4"/>
  <c r="A659" i="4" s="1"/>
  <c r="A660" i="4" s="1"/>
  <c r="A661" i="4" s="1"/>
  <c r="A662" i="4" s="1"/>
  <c r="A663" i="4" s="1"/>
  <c r="C662" i="4"/>
  <c r="I128" i="4"/>
  <c r="E32" i="3"/>
  <c r="I135" i="4"/>
  <c r="E34" i="3"/>
  <c r="I189" i="4"/>
  <c r="I240" i="4"/>
  <c r="I239" i="4"/>
  <c r="E67" i="3"/>
  <c r="I245" i="4"/>
  <c r="E69" i="3"/>
  <c r="I244" i="4"/>
  <c r="I249" i="4"/>
  <c r="I250" i="4"/>
  <c r="E104" i="3"/>
  <c r="E107" i="3"/>
  <c r="I337" i="4"/>
  <c r="I293" i="4"/>
  <c r="K293" i="4" s="1"/>
  <c r="I294" i="4"/>
  <c r="I371" i="4"/>
  <c r="E144" i="3"/>
  <c r="I376" i="4"/>
  <c r="E147" i="3"/>
  <c r="I414" i="4"/>
  <c r="E181" i="3"/>
  <c r="E183" i="3"/>
  <c r="I425" i="4"/>
  <c r="I458" i="4"/>
  <c r="I459" i="4"/>
  <c r="K459" i="4" s="1"/>
  <c r="I466" i="4"/>
  <c r="I465" i="4"/>
  <c r="K465" i="4" s="1"/>
  <c r="I464" i="4"/>
  <c r="K464" i="4" s="1"/>
  <c r="I461" i="4"/>
  <c r="I469" i="4"/>
  <c r="K469" i="4" s="1"/>
  <c r="I470" i="4"/>
  <c r="I502" i="4"/>
  <c r="K502" i="4" s="1"/>
  <c r="E255" i="3"/>
  <c r="I505" i="4"/>
  <c r="E286" i="3"/>
  <c r="I553" i="4"/>
  <c r="E288" i="3"/>
  <c r="I590" i="4"/>
  <c r="I591" i="4"/>
  <c r="K591" i="4" s="1"/>
  <c r="E319" i="3"/>
  <c r="I597" i="4"/>
  <c r="E321" i="3"/>
  <c r="I596" i="4"/>
  <c r="I601" i="4"/>
  <c r="I602" i="4"/>
  <c r="K602" i="4" s="1"/>
  <c r="F643" i="4"/>
  <c r="H643" i="4" s="1"/>
  <c r="K635" i="4" l="1"/>
  <c r="K638" i="4" s="1"/>
  <c r="K606" i="4"/>
  <c r="L150" i="4"/>
  <c r="M150" i="4" s="1"/>
  <c r="L243" i="4"/>
  <c r="M243" i="4" s="1"/>
  <c r="F133" i="4"/>
  <c r="G133" i="4" s="1"/>
  <c r="H133" i="4" s="1"/>
  <c r="F419" i="4"/>
  <c r="G419" i="4" s="1"/>
  <c r="H419" i="4" s="1"/>
  <c r="L148" i="4"/>
  <c r="M148" i="4" s="1"/>
  <c r="K434" i="4"/>
  <c r="L303" i="4"/>
  <c r="M303" i="4" s="1"/>
  <c r="L302" i="4"/>
  <c r="M302" i="4" s="1"/>
  <c r="L657" i="4"/>
  <c r="M657" i="4" s="1"/>
  <c r="L643" i="4"/>
  <c r="M643" i="4" s="1"/>
  <c r="K601" i="4"/>
  <c r="K637" i="4"/>
  <c r="K561" i="4"/>
  <c r="L612" i="4"/>
  <c r="M612" i="4" s="1"/>
  <c r="H602" i="4"/>
  <c r="L602" i="4" s="1"/>
  <c r="M602" i="4" s="1"/>
  <c r="F645" i="4"/>
  <c r="F642" i="4"/>
  <c r="F640" i="4"/>
  <c r="F140" i="4"/>
  <c r="F142" i="4"/>
  <c r="F144" i="4"/>
  <c r="H144" i="4" s="1"/>
  <c r="F238" i="4"/>
  <c r="H238" i="4" s="1"/>
  <c r="F249" i="4"/>
  <c r="F183" i="4"/>
  <c r="H183" i="4" s="1"/>
  <c r="F192" i="4"/>
  <c r="H192" i="4" s="1"/>
  <c r="F200" i="4"/>
  <c r="H200" i="4" s="1"/>
  <c r="F240" i="4"/>
  <c r="H240" i="4" s="1"/>
  <c r="F294" i="4"/>
  <c r="F458" i="4"/>
  <c r="H458" i="4" s="1"/>
  <c r="F459" i="4"/>
  <c r="F467" i="4"/>
  <c r="H467" i="4" s="1"/>
  <c r="F475" i="4"/>
  <c r="H475" i="4" s="1"/>
  <c r="L475" i="4" s="1"/>
  <c r="M475" i="4" s="1"/>
  <c r="F145" i="4"/>
  <c r="H145" i="4" s="1"/>
  <c r="L145" i="4" s="1"/>
  <c r="M145" i="4" s="1"/>
  <c r="F195" i="4"/>
  <c r="F136" i="4"/>
  <c r="F190" i="4"/>
  <c r="H190" i="4" s="1"/>
  <c r="F241" i="4"/>
  <c r="F128" i="4"/>
  <c r="H128" i="4" s="1"/>
  <c r="F252" i="4"/>
  <c r="F254" i="4"/>
  <c r="F472" i="4"/>
  <c r="H472" i="4" s="1"/>
  <c r="F473" i="4"/>
  <c r="F139" i="4"/>
  <c r="F143" i="4"/>
  <c r="H143" i="4" s="1"/>
  <c r="F244" i="4"/>
  <c r="F293" i="4"/>
  <c r="H293" i="4" s="1"/>
  <c r="L293" i="4" s="1"/>
  <c r="M293" i="4" s="1"/>
  <c r="F461" i="4"/>
  <c r="H461" i="4" s="1"/>
  <c r="F466" i="4"/>
  <c r="H466" i="4" s="1"/>
  <c r="F470" i="4"/>
  <c r="F129" i="4"/>
  <c r="F239" i="4"/>
  <c r="F423" i="4"/>
  <c r="H423" i="4" s="1"/>
  <c r="L423" i="4" s="1"/>
  <c r="M423" i="4" s="1"/>
  <c r="F426" i="4"/>
  <c r="H426" i="4" s="1"/>
  <c r="F431" i="4"/>
  <c r="H431" i="4" s="1"/>
  <c r="F460" i="4"/>
  <c r="H460" i="4" s="1"/>
  <c r="L460" i="4" s="1"/>
  <c r="M460" i="4" s="1"/>
  <c r="F465" i="4"/>
  <c r="H465" i="4" s="1"/>
  <c r="L465" i="4" s="1"/>
  <c r="M465" i="4" s="1"/>
  <c r="F469" i="4"/>
  <c r="H469" i="4" s="1"/>
  <c r="L469" i="4" s="1"/>
  <c r="M469" i="4" s="1"/>
  <c r="I649" i="4"/>
  <c r="K649" i="4" s="1"/>
  <c r="J648" i="4"/>
  <c r="K648" i="4" s="1"/>
  <c r="I646" i="4"/>
  <c r="K646" i="4" s="1"/>
  <c r="I645" i="4"/>
  <c r="K645" i="4" s="1"/>
  <c r="I642" i="4"/>
  <c r="K642" i="4" s="1"/>
  <c r="I641" i="4"/>
  <c r="K641" i="4" s="1"/>
  <c r="I640" i="4"/>
  <c r="K640" i="4" s="1"/>
  <c r="L640" i="4" s="1"/>
  <c r="M640" i="4" s="1"/>
  <c r="G637" i="4"/>
  <c r="J613" i="4"/>
  <c r="K613" i="4" s="1"/>
  <c r="L613" i="4" s="1"/>
  <c r="M613" i="4" s="1"/>
  <c r="J605" i="4"/>
  <c r="K605" i="4" s="1"/>
  <c r="G604" i="4"/>
  <c r="J597" i="4"/>
  <c r="K597" i="4" s="1"/>
  <c r="I595" i="4"/>
  <c r="J595" i="4" s="1"/>
  <c r="K595" i="4" s="1"/>
  <c r="K590" i="4"/>
  <c r="F558" i="4"/>
  <c r="H558" i="4" s="1"/>
  <c r="I554" i="4"/>
  <c r="K554" i="4" s="1"/>
  <c r="G552" i="4"/>
  <c r="G547" i="4"/>
  <c r="K521" i="4"/>
  <c r="F517" i="4"/>
  <c r="F514" i="4"/>
  <c r="I511" i="4"/>
  <c r="K511" i="4" s="1"/>
  <c r="G510" i="4"/>
  <c r="G517" i="4"/>
  <c r="G518" i="4"/>
  <c r="F474" i="4"/>
  <c r="K470" i="4"/>
  <c r="L467" i="4"/>
  <c r="M467" i="4" s="1"/>
  <c r="F464" i="4"/>
  <c r="H425" i="4"/>
  <c r="F415" i="4"/>
  <c r="F343" i="4"/>
  <c r="H343" i="4" s="1"/>
  <c r="F342" i="4"/>
  <c r="H342" i="4" s="1"/>
  <c r="I342" i="4"/>
  <c r="K342" i="4" s="1"/>
  <c r="F335" i="4"/>
  <c r="H335" i="4" s="1"/>
  <c r="F255" i="4"/>
  <c r="H255" i="4" s="1"/>
  <c r="F247" i="4"/>
  <c r="H247" i="4" s="1"/>
  <c r="K239" i="4"/>
  <c r="I129" i="4"/>
  <c r="I184" i="4"/>
  <c r="F646" i="4"/>
  <c r="F641" i="4"/>
  <c r="H641" i="4" s="1"/>
  <c r="F639" i="4"/>
  <c r="G639" i="4" s="1"/>
  <c r="H639" i="4" s="1"/>
  <c r="L639" i="4" s="1"/>
  <c r="M639" i="4" s="1"/>
  <c r="F513" i="4"/>
  <c r="F508" i="4"/>
  <c r="H464" i="4"/>
  <c r="L464" i="4" s="1"/>
  <c r="M464" i="4" s="1"/>
  <c r="H459" i="4"/>
  <c r="L459" i="4" s="1"/>
  <c r="M459" i="4" s="1"/>
  <c r="J472" i="4"/>
  <c r="K472" i="4" s="1"/>
  <c r="J480" i="4"/>
  <c r="K480" i="4" s="1"/>
  <c r="L480" i="4" s="1"/>
  <c r="M480" i="4" s="1"/>
  <c r="J481" i="4"/>
  <c r="K481" i="4" s="1"/>
  <c r="J474" i="4"/>
  <c r="K474" i="4" s="1"/>
  <c r="F422" i="4"/>
  <c r="F338" i="4"/>
  <c r="F334" i="4"/>
  <c r="I334" i="4"/>
  <c r="F331" i="4"/>
  <c r="G331" i="4" s="1"/>
  <c r="H331" i="4" s="1"/>
  <c r="I331" i="4"/>
  <c r="J331" i="4" s="1"/>
  <c r="K331" i="4" s="1"/>
  <c r="L331" i="4" s="1"/>
  <c r="M331" i="4" s="1"/>
  <c r="F327" i="4"/>
  <c r="I327" i="4"/>
  <c r="I593" i="4"/>
  <c r="K593" i="4" s="1"/>
  <c r="G612" i="4"/>
  <c r="H612" i="4" s="1"/>
  <c r="J608" i="4"/>
  <c r="K608" i="4" s="1"/>
  <c r="L608" i="4" s="1"/>
  <c r="M608" i="4" s="1"/>
  <c r="J604" i="4"/>
  <c r="K604" i="4" s="1"/>
  <c r="F601" i="4"/>
  <c r="H601" i="4" s="1"/>
  <c r="J558" i="4"/>
  <c r="G557" i="4"/>
  <c r="J549" i="4"/>
  <c r="F516" i="4"/>
  <c r="H516" i="4" s="1"/>
  <c r="L507" i="4"/>
  <c r="M507" i="4" s="1"/>
  <c r="J510" i="4"/>
  <c r="G514" i="4"/>
  <c r="H514" i="4" s="1"/>
  <c r="J505" i="4"/>
  <c r="K505" i="4" s="1"/>
  <c r="L505" i="4" s="1"/>
  <c r="M505" i="4" s="1"/>
  <c r="G508" i="4"/>
  <c r="G513" i="4"/>
  <c r="G503" i="4"/>
  <c r="J514" i="4"/>
  <c r="A502" i="4"/>
  <c r="A503"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29" i="4" s="1"/>
  <c r="A530" i="4" s="1"/>
  <c r="A531" i="4" s="1"/>
  <c r="I503" i="4"/>
  <c r="K503" i="4" s="1"/>
  <c r="I504" i="4"/>
  <c r="K504" i="4" s="1"/>
  <c r="F510" i="4"/>
  <c r="F503" i="4"/>
  <c r="I510" i="4"/>
  <c r="F511" i="4"/>
  <c r="H511" i="4" s="1"/>
  <c r="I514" i="4"/>
  <c r="F518" i="4"/>
  <c r="F502" i="4"/>
  <c r="H502" i="4" s="1"/>
  <c r="F505" i="4"/>
  <c r="I508" i="4"/>
  <c r="I509" i="4"/>
  <c r="I513" i="4"/>
  <c r="I516" i="4"/>
  <c r="K516" i="4" s="1"/>
  <c r="F519" i="4"/>
  <c r="H519" i="4" s="1"/>
  <c r="L519" i="4" s="1"/>
  <c r="M519" i="4" s="1"/>
  <c r="J473" i="4"/>
  <c r="K473" i="4" s="1"/>
  <c r="K461" i="4"/>
  <c r="L461" i="4" s="1"/>
  <c r="M461" i="4" s="1"/>
  <c r="K458" i="4"/>
  <c r="F430" i="4"/>
  <c r="K414" i="4"/>
  <c r="L343" i="4"/>
  <c r="M343" i="4" s="1"/>
  <c r="L335" i="4"/>
  <c r="M335" i="4" s="1"/>
  <c r="L304" i="4"/>
  <c r="M304" i="4" s="1"/>
  <c r="H140" i="4"/>
  <c r="I547" i="4"/>
  <c r="I548" i="4"/>
  <c r="K548" i="4" s="1"/>
  <c r="I557" i="4"/>
  <c r="K557" i="4" s="1"/>
  <c r="I558" i="4"/>
  <c r="I561" i="4"/>
  <c r="I131" i="4"/>
  <c r="I186" i="4"/>
  <c r="I417" i="4"/>
  <c r="I241" i="4"/>
  <c r="I136" i="4"/>
  <c r="K136" i="4" s="1"/>
  <c r="I191" i="4"/>
  <c r="J656" i="4"/>
  <c r="K656" i="4" s="1"/>
  <c r="L656" i="4" s="1"/>
  <c r="M656" i="4" s="1"/>
  <c r="G646" i="4"/>
  <c r="G645" i="4"/>
  <c r="H645" i="4" s="1"/>
  <c r="G642" i="4"/>
  <c r="G640" i="4"/>
  <c r="H640" i="4" s="1"/>
  <c r="F635" i="4"/>
  <c r="H635" i="4" s="1"/>
  <c r="L635" i="4" s="1"/>
  <c r="M635" i="4" s="1"/>
  <c r="G613" i="4"/>
  <c r="H613" i="4" s="1"/>
  <c r="I560" i="4"/>
  <c r="K560" i="4" s="1"/>
  <c r="F557" i="4"/>
  <c r="I555" i="4"/>
  <c r="K555" i="4" s="1"/>
  <c r="G554" i="4"/>
  <c r="K553" i="4"/>
  <c r="J552" i="4"/>
  <c r="K552" i="4" s="1"/>
  <c r="A550" i="4"/>
  <c r="A556" i="4" s="1"/>
  <c r="A559" i="4" s="1"/>
  <c r="A570" i="4" s="1"/>
  <c r="A571" i="4" s="1"/>
  <c r="A572" i="4" s="1"/>
  <c r="A573" i="4" s="1"/>
  <c r="A574" i="4" s="1"/>
  <c r="A575" i="4" s="1"/>
  <c r="I549" i="4"/>
  <c r="J547" i="4"/>
  <c r="K547" i="4" s="1"/>
  <c r="I518" i="4"/>
  <c r="K518" i="4" s="1"/>
  <c r="K517" i="4"/>
  <c r="J513" i="4"/>
  <c r="K509" i="4"/>
  <c r="L509" i="4" s="1"/>
  <c r="M509" i="4" s="1"/>
  <c r="J508" i="4"/>
  <c r="G505" i="4"/>
  <c r="H505" i="4" s="1"/>
  <c r="F504" i="4"/>
  <c r="H504" i="4" s="1"/>
  <c r="L431" i="4"/>
  <c r="M431" i="4" s="1"/>
  <c r="J426" i="4"/>
  <c r="J430" i="4"/>
  <c r="G435" i="4"/>
  <c r="H435" i="4" s="1"/>
  <c r="J433" i="4"/>
  <c r="K433" i="4" s="1"/>
  <c r="G521" i="4"/>
  <c r="H521" i="4" s="1"/>
  <c r="J522" i="4"/>
  <c r="K522" i="4" s="1"/>
  <c r="I419" i="4"/>
  <c r="J419" i="4" s="1"/>
  <c r="K419" i="4" s="1"/>
  <c r="G433" i="4"/>
  <c r="H433" i="4" s="1"/>
  <c r="G434" i="4"/>
  <c r="H434" i="4" s="1"/>
  <c r="L434" i="4" s="1"/>
  <c r="M434" i="4" s="1"/>
  <c r="G522" i="4"/>
  <c r="H522" i="4" s="1"/>
  <c r="J523" i="4"/>
  <c r="K523" i="4" s="1"/>
  <c r="L523" i="4" s="1"/>
  <c r="M523" i="4" s="1"/>
  <c r="J435" i="4"/>
  <c r="K435" i="4" s="1"/>
  <c r="G373" i="4"/>
  <c r="G376" i="4"/>
  <c r="G381" i="4"/>
  <c r="J382" i="4"/>
  <c r="J371" i="4"/>
  <c r="K371" i="4" s="1"/>
  <c r="J376" i="4"/>
  <c r="K376" i="4" s="1"/>
  <c r="J373" i="4"/>
  <c r="J378" i="4"/>
  <c r="G371" i="4"/>
  <c r="J381" i="4"/>
  <c r="G382" i="4"/>
  <c r="I370" i="4"/>
  <c r="K370" i="4" s="1"/>
  <c r="I378" i="4"/>
  <c r="I379" i="4"/>
  <c r="K379" i="4" s="1"/>
  <c r="I386" i="4"/>
  <c r="I387" i="4"/>
  <c r="K387" i="4" s="1"/>
  <c r="I373" i="4"/>
  <c r="A374" i="4"/>
  <c r="A380" i="4" s="1"/>
  <c r="I382" i="4"/>
  <c r="I372" i="4"/>
  <c r="K372" i="4" s="1"/>
  <c r="I381" i="4"/>
  <c r="I377" i="4"/>
  <c r="I385" i="4"/>
  <c r="K334" i="4"/>
  <c r="K327" i="4"/>
  <c r="F246" i="4"/>
  <c r="F199" i="4"/>
  <c r="I183" i="4"/>
  <c r="K183" i="4" s="1"/>
  <c r="H142" i="4"/>
  <c r="H470" i="4"/>
  <c r="F416" i="4"/>
  <c r="H416" i="4" s="1"/>
  <c r="F417" i="4"/>
  <c r="H417" i="4" s="1"/>
  <c r="F420" i="4"/>
  <c r="H420" i="4" s="1"/>
  <c r="I421" i="4"/>
  <c r="K421" i="4" s="1"/>
  <c r="L421" i="4" s="1"/>
  <c r="M421" i="4" s="1"/>
  <c r="F425" i="4"/>
  <c r="I426" i="4"/>
  <c r="F428" i="4"/>
  <c r="H428" i="4" s="1"/>
  <c r="I429" i="4"/>
  <c r="K429" i="4" s="1"/>
  <c r="L429" i="4" s="1"/>
  <c r="M429" i="4" s="1"/>
  <c r="J377" i="4"/>
  <c r="G384" i="4"/>
  <c r="J385" i="4"/>
  <c r="K385" i="4" s="1"/>
  <c r="J393" i="4"/>
  <c r="K393" i="4" s="1"/>
  <c r="L393" i="4" s="1"/>
  <c r="M393" i="4" s="1"/>
  <c r="F340" i="4"/>
  <c r="H340" i="4" s="1"/>
  <c r="F332" i="4"/>
  <c r="H332" i="4" s="1"/>
  <c r="F328" i="4"/>
  <c r="H328" i="4" s="1"/>
  <c r="G327" i="4"/>
  <c r="H327" i="4" s="1"/>
  <c r="J329" i="4"/>
  <c r="J332" i="4"/>
  <c r="J337" i="4"/>
  <c r="K337" i="4" s="1"/>
  <c r="A282" i="4"/>
  <c r="A330" i="4"/>
  <c r="A333" i="4"/>
  <c r="F337" i="4"/>
  <c r="A338" i="4"/>
  <c r="I338" i="4"/>
  <c r="K338" i="4" s="1"/>
  <c r="A341" i="4"/>
  <c r="A345" i="4"/>
  <c r="A349" i="4"/>
  <c r="A370" i="4" s="1"/>
  <c r="A351" i="4"/>
  <c r="K240" i="4"/>
  <c r="L240" i="4" s="1"/>
  <c r="M240" i="4" s="1"/>
  <c r="J197" i="4"/>
  <c r="K197" i="4" s="1"/>
  <c r="J198" i="4"/>
  <c r="K198" i="4" s="1"/>
  <c r="J202" i="4"/>
  <c r="K202" i="4" s="1"/>
  <c r="L202" i="4" s="1"/>
  <c r="M202" i="4" s="1"/>
  <c r="G205" i="4"/>
  <c r="H205" i="4" s="1"/>
  <c r="J206" i="4"/>
  <c r="K206" i="4" s="1"/>
  <c r="F188" i="4"/>
  <c r="G188" i="4" s="1"/>
  <c r="H188" i="4" s="1"/>
  <c r="L188" i="4" s="1"/>
  <c r="M188" i="4" s="1"/>
  <c r="J190" i="4"/>
  <c r="G199" i="4"/>
  <c r="G202" i="4"/>
  <c r="H202" i="4" s="1"/>
  <c r="J204" i="4"/>
  <c r="K204" i="4" s="1"/>
  <c r="G206" i="4"/>
  <c r="H206" i="4" s="1"/>
  <c r="J184" i="4"/>
  <c r="G194" i="4"/>
  <c r="J203" i="4"/>
  <c r="K203" i="4" s="1"/>
  <c r="G204" i="4"/>
  <c r="H204" i="4" s="1"/>
  <c r="J205" i="4"/>
  <c r="K205" i="4" s="1"/>
  <c r="L205" i="4" s="1"/>
  <c r="M205" i="4" s="1"/>
  <c r="G207" i="4"/>
  <c r="H207" i="4" s="1"/>
  <c r="H114" i="4"/>
  <c r="L114" i="4"/>
  <c r="K114" i="4"/>
  <c r="M114" i="4"/>
  <c r="N114" i="4"/>
  <c r="J114" i="4"/>
  <c r="I114" i="4"/>
  <c r="O114" i="4"/>
  <c r="J96" i="4"/>
  <c r="N96" i="4"/>
  <c r="K96" i="4"/>
  <c r="I96" i="4"/>
  <c r="H96" i="4"/>
  <c r="O96" i="4"/>
  <c r="M96" i="4"/>
  <c r="G473" i="4"/>
  <c r="K466" i="4"/>
  <c r="L466" i="4" s="1"/>
  <c r="M466" i="4" s="1"/>
  <c r="I430" i="4"/>
  <c r="I422" i="4"/>
  <c r="K422" i="4" s="1"/>
  <c r="I415" i="4"/>
  <c r="K415" i="4" s="1"/>
  <c r="F414" i="4"/>
  <c r="H414" i="4" s="1"/>
  <c r="G415" i="4"/>
  <c r="H415" i="4" s="1"/>
  <c r="J417" i="4"/>
  <c r="J420" i="4"/>
  <c r="J425" i="4"/>
  <c r="K425" i="4" s="1"/>
  <c r="J386" i="4"/>
  <c r="K386" i="4" s="1"/>
  <c r="A354" i="4"/>
  <c r="A348" i="4"/>
  <c r="I340" i="4"/>
  <c r="A339" i="4"/>
  <c r="G337" i="4"/>
  <c r="G334" i="4"/>
  <c r="I332" i="4"/>
  <c r="G329" i="4"/>
  <c r="A326" i="4"/>
  <c r="J340" i="4"/>
  <c r="J344" i="4"/>
  <c r="K344" i="4" s="1"/>
  <c r="L344" i="4" s="1"/>
  <c r="M344" i="4" s="1"/>
  <c r="J348" i="4"/>
  <c r="K348" i="4" s="1"/>
  <c r="L348" i="4" s="1"/>
  <c r="M348" i="4" s="1"/>
  <c r="G297" i="4"/>
  <c r="G304" i="4"/>
  <c r="H304" i="4" s="1"/>
  <c r="G298" i="4"/>
  <c r="K241" i="4"/>
  <c r="J207" i="4"/>
  <c r="K207" i="4" s="1"/>
  <c r="G197" i="4"/>
  <c r="J195" i="4"/>
  <c r="J191" i="4"/>
  <c r="K191" i="4" s="1"/>
  <c r="L133" i="4"/>
  <c r="M133" i="4" s="1"/>
  <c r="H98" i="4"/>
  <c r="L98" i="4"/>
  <c r="K98" i="4"/>
  <c r="M98" i="4"/>
  <c r="N98" i="4"/>
  <c r="J98" i="4"/>
  <c r="O98" i="4"/>
  <c r="F463" i="4"/>
  <c r="G463" i="4" s="1"/>
  <c r="H463" i="4" s="1"/>
  <c r="L463" i="4" s="1"/>
  <c r="M463" i="4" s="1"/>
  <c r="G474" i="4"/>
  <c r="H474" i="4" s="1"/>
  <c r="G481" i="4"/>
  <c r="H481" i="4" s="1"/>
  <c r="H430" i="4"/>
  <c r="F429" i="4"/>
  <c r="H429" i="4" s="1"/>
  <c r="I428" i="4"/>
  <c r="H422" i="4"/>
  <c r="F421" i="4"/>
  <c r="H421" i="4" s="1"/>
  <c r="I420" i="4"/>
  <c r="K416" i="4"/>
  <c r="L416" i="4" s="1"/>
  <c r="M416" i="4" s="1"/>
  <c r="A414" i="4"/>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J428" i="4"/>
  <c r="J432" i="4"/>
  <c r="K432" i="4" s="1"/>
  <c r="L432" i="4" s="1"/>
  <c r="M432" i="4" s="1"/>
  <c r="J388" i="4"/>
  <c r="K388" i="4" s="1"/>
  <c r="L388" i="4" s="1"/>
  <c r="M388" i="4" s="1"/>
  <c r="G385" i="4"/>
  <c r="J384" i="4"/>
  <c r="K384" i="4" s="1"/>
  <c r="G377" i="4"/>
  <c r="I375" i="4"/>
  <c r="J375" i="4" s="1"/>
  <c r="K375" i="4" s="1"/>
  <c r="A353" i="4"/>
  <c r="A352" i="4"/>
  <c r="A350" i="4"/>
  <c r="A347" i="4"/>
  <c r="G338" i="4"/>
  <c r="H338" i="4" s="1"/>
  <c r="A337" i="4"/>
  <c r="A329" i="4"/>
  <c r="I328" i="4"/>
  <c r="K328" i="4" s="1"/>
  <c r="L328" i="4" s="1"/>
  <c r="M328" i="4" s="1"/>
  <c r="K294" i="4"/>
  <c r="G203" i="4"/>
  <c r="H203" i="4" s="1"/>
  <c r="J199" i="4"/>
  <c r="G191" i="4"/>
  <c r="G189" i="4"/>
  <c r="J112" i="4"/>
  <c r="N112" i="4"/>
  <c r="K112" i="4"/>
  <c r="I112" i="4"/>
  <c r="H112" i="4"/>
  <c r="O112" i="4"/>
  <c r="L112" i="4"/>
  <c r="M112" i="4"/>
  <c r="J104" i="4"/>
  <c r="N104" i="4"/>
  <c r="K104" i="4"/>
  <c r="I104" i="4"/>
  <c r="H104" i="4"/>
  <c r="L104" i="4"/>
  <c r="O104" i="4"/>
  <c r="L300" i="4"/>
  <c r="M300" i="4" s="1"/>
  <c r="K244" i="4"/>
  <c r="J245" i="4"/>
  <c r="K245" i="4" s="1"/>
  <c r="G252" i="4"/>
  <c r="H252" i="4" s="1"/>
  <c r="L252" i="4" s="1"/>
  <c r="M252" i="4" s="1"/>
  <c r="J253" i="4"/>
  <c r="K253" i="4" s="1"/>
  <c r="J257" i="4"/>
  <c r="K257" i="4" s="1"/>
  <c r="G246" i="4"/>
  <c r="H246" i="4" s="1"/>
  <c r="G254" i="4"/>
  <c r="H254" i="4" s="1"/>
  <c r="J258" i="4"/>
  <c r="K258" i="4" s="1"/>
  <c r="L258" i="4" s="1"/>
  <c r="M258" i="4" s="1"/>
  <c r="G239" i="4"/>
  <c r="H239" i="4" s="1"/>
  <c r="G245" i="4"/>
  <c r="H245" i="4" s="1"/>
  <c r="J249" i="4"/>
  <c r="K249" i="4" s="1"/>
  <c r="J254" i="4"/>
  <c r="J256" i="4"/>
  <c r="K256" i="4" s="1"/>
  <c r="L256" i="4" s="1"/>
  <c r="M256" i="4" s="1"/>
  <c r="G257" i="4"/>
  <c r="H257" i="4" s="1"/>
  <c r="J259" i="4"/>
  <c r="K259" i="4" s="1"/>
  <c r="L259" i="4" s="1"/>
  <c r="M259" i="4" s="1"/>
  <c r="J88" i="4"/>
  <c r="N88" i="4"/>
  <c r="K88" i="4"/>
  <c r="I88" i="4"/>
  <c r="H88" i="4"/>
  <c r="L88" i="4"/>
  <c r="L152" i="4"/>
  <c r="M152" i="4" s="1"/>
  <c r="L151" i="4"/>
  <c r="M151" i="4" s="1"/>
  <c r="L149" i="4"/>
  <c r="M149" i="4" s="1"/>
  <c r="J290" i="4"/>
  <c r="G294" i="4"/>
  <c r="H294" i="4" s="1"/>
  <c r="G184" i="4"/>
  <c r="J186" i="4"/>
  <c r="J189" i="4"/>
  <c r="K189" i="4" s="1"/>
  <c r="J194" i="4"/>
  <c r="K194" i="4" s="1"/>
  <c r="G195" i="4"/>
  <c r="F185" i="4"/>
  <c r="H185" i="4" s="1"/>
  <c r="F186" i="4"/>
  <c r="H186" i="4" s="1"/>
  <c r="F189" i="4"/>
  <c r="I190" i="4"/>
  <c r="F194" i="4"/>
  <c r="I195" i="4"/>
  <c r="F197" i="4"/>
  <c r="F198" i="4"/>
  <c r="H198" i="4" s="1"/>
  <c r="I199" i="4"/>
  <c r="I200" i="4"/>
  <c r="K200" i="4" s="1"/>
  <c r="L200" i="4" s="1"/>
  <c r="M200" i="4" s="1"/>
  <c r="F184" i="4"/>
  <c r="I185" i="4"/>
  <c r="K185" i="4" s="1"/>
  <c r="F191" i="4"/>
  <c r="I192" i="4"/>
  <c r="K192" i="4" s="1"/>
  <c r="L192" i="4" s="1"/>
  <c r="M192" i="4" s="1"/>
  <c r="K128" i="4"/>
  <c r="H106" i="4"/>
  <c r="L106" i="4"/>
  <c r="K106" i="4"/>
  <c r="M106" i="4"/>
  <c r="N106" i="4"/>
  <c r="H90" i="4"/>
  <c r="L90" i="4"/>
  <c r="K90" i="4"/>
  <c r="M90" i="4"/>
  <c r="N90" i="4"/>
  <c r="G241" i="4"/>
  <c r="H241" i="4" s="1"/>
  <c r="G244" i="4"/>
  <c r="G249" i="4"/>
  <c r="H249" i="4" s="1"/>
  <c r="J250" i="4"/>
  <c r="K250" i="4" s="1"/>
  <c r="I238" i="4"/>
  <c r="K238" i="4" s="1"/>
  <c r="F245" i="4"/>
  <c r="I246" i="4"/>
  <c r="K246" i="4" s="1"/>
  <c r="I247" i="4"/>
  <c r="K247" i="4" s="1"/>
  <c r="F250" i="4"/>
  <c r="H250" i="4" s="1"/>
  <c r="F253" i="4"/>
  <c r="H253" i="4" s="1"/>
  <c r="I254" i="4"/>
  <c r="I255" i="4"/>
  <c r="K255" i="4" s="1"/>
  <c r="L255" i="4" s="1"/>
  <c r="M255" i="4" s="1"/>
  <c r="K135" i="4"/>
  <c r="G129" i="4"/>
  <c r="J131" i="4"/>
  <c r="G131" i="4"/>
  <c r="H131" i="4" s="1"/>
  <c r="G136" i="4"/>
  <c r="H136" i="4" s="1"/>
  <c r="J129" i="4"/>
  <c r="J134" i="4"/>
  <c r="G139" i="4"/>
  <c r="H139" i="4" s="1"/>
  <c r="F130" i="4"/>
  <c r="H130" i="4" s="1"/>
  <c r="F131" i="4"/>
  <c r="F134" i="4"/>
  <c r="H134" i="4" s="1"/>
  <c r="A128" i="4"/>
  <c r="A129" i="4" s="1"/>
  <c r="A130" i="4" s="1"/>
  <c r="A131" i="4" s="1"/>
  <c r="A132" i="4" s="1"/>
  <c r="A133" i="4" s="1"/>
  <c r="A134" i="4" s="1"/>
  <c r="A135" i="4" s="1"/>
  <c r="A136" i="4" s="1"/>
  <c r="A137" i="4" s="1"/>
  <c r="A138" i="4" s="1"/>
  <c r="A139" i="4" s="1"/>
  <c r="A140" i="4" s="1"/>
  <c r="A141" i="4" s="1"/>
  <c r="A142" i="4" s="1"/>
  <c r="A144" i="4" s="1"/>
  <c r="A145" i="4" s="1"/>
  <c r="A146" i="4" s="1"/>
  <c r="A147" i="4" s="1"/>
  <c r="A148" i="4" s="1"/>
  <c r="A149" i="4" s="1"/>
  <c r="A150" i="4" s="1"/>
  <c r="A151" i="4" s="1"/>
  <c r="A152" i="4" s="1"/>
  <c r="A153" i="4" s="1"/>
  <c r="A154" i="4" s="1"/>
  <c r="A155" i="4" s="1"/>
  <c r="A157" i="4" s="1"/>
  <c r="A158" i="4" s="1"/>
  <c r="A159" i="4" s="1"/>
  <c r="A160" i="4" s="1"/>
  <c r="A162" i="4" s="1"/>
  <c r="A163" i="4" s="1"/>
  <c r="A164" i="4" s="1"/>
  <c r="A165" i="4" s="1"/>
  <c r="A167" i="4" s="1"/>
  <c r="A168" i="4" s="1"/>
  <c r="I134" i="4"/>
  <c r="F137" i="4"/>
  <c r="H137" i="4" s="1"/>
  <c r="L137" i="4" s="1"/>
  <c r="M137" i="4" s="1"/>
  <c r="I139" i="4"/>
  <c r="K139" i="4" s="1"/>
  <c r="I142" i="4"/>
  <c r="K142" i="4" s="1"/>
  <c r="I143" i="4"/>
  <c r="K143" i="4" s="1"/>
  <c r="L143" i="4" s="1"/>
  <c r="M143" i="4" s="1"/>
  <c r="I130" i="4"/>
  <c r="K130" i="4" s="1"/>
  <c r="F135" i="4"/>
  <c r="H135" i="4" s="1"/>
  <c r="I140" i="4"/>
  <c r="K140" i="4" s="1"/>
  <c r="I144" i="4"/>
  <c r="K144" i="4" s="1"/>
  <c r="I115" i="4"/>
  <c r="M115" i="4"/>
  <c r="J115" i="4"/>
  <c r="O115" i="4"/>
  <c r="L115" i="4"/>
  <c r="H110" i="4"/>
  <c r="L110" i="4"/>
  <c r="I110" i="4"/>
  <c r="N110" i="4"/>
  <c r="K110" i="4"/>
  <c r="I107" i="4"/>
  <c r="M107" i="4"/>
  <c r="J107" i="4"/>
  <c r="O107" i="4"/>
  <c r="L107" i="4"/>
  <c r="H102" i="4"/>
  <c r="L102" i="4"/>
  <c r="I102" i="4"/>
  <c r="N102" i="4"/>
  <c r="K102" i="4"/>
  <c r="I99" i="4"/>
  <c r="M99" i="4"/>
  <c r="J99" i="4"/>
  <c r="O99" i="4"/>
  <c r="L99" i="4"/>
  <c r="H94" i="4"/>
  <c r="L94" i="4"/>
  <c r="I94" i="4"/>
  <c r="N94" i="4"/>
  <c r="K94" i="4"/>
  <c r="I91" i="4"/>
  <c r="M91" i="4"/>
  <c r="J91" i="4"/>
  <c r="O91" i="4"/>
  <c r="L91" i="4"/>
  <c r="J108" i="4"/>
  <c r="N108" i="4"/>
  <c r="H108" i="4"/>
  <c r="M108" i="4"/>
  <c r="J100" i="4"/>
  <c r="N100" i="4"/>
  <c r="H100" i="4"/>
  <c r="M100" i="4"/>
  <c r="J92" i="4"/>
  <c r="N92" i="4"/>
  <c r="H92" i="4"/>
  <c r="M92" i="4"/>
  <c r="I111" i="4"/>
  <c r="M111" i="4"/>
  <c r="I103" i="4"/>
  <c r="M103" i="4"/>
  <c r="I95" i="4"/>
  <c r="M95" i="4"/>
  <c r="L144" i="4" l="1"/>
  <c r="M144" i="4" s="1"/>
  <c r="L645" i="4"/>
  <c r="M645" i="4" s="1"/>
  <c r="L247" i="4"/>
  <c r="M247" i="4" s="1"/>
  <c r="H191" i="4"/>
  <c r="H646" i="4"/>
  <c r="L516" i="4"/>
  <c r="M516" i="4" s="1"/>
  <c r="L472" i="4"/>
  <c r="M472" i="4" s="1"/>
  <c r="L646" i="4"/>
  <c r="M646" i="4" s="1"/>
  <c r="L246" i="4"/>
  <c r="M246" i="4" s="1"/>
  <c r="L185" i="4"/>
  <c r="M185" i="4" s="1"/>
  <c r="H184" i="4"/>
  <c r="H187" i="4" s="1"/>
  <c r="K184" i="4"/>
  <c r="L184" i="4" s="1"/>
  <c r="M184" i="4" s="1"/>
  <c r="H199" i="4"/>
  <c r="H513" i="4"/>
  <c r="L474" i="4"/>
  <c r="M474" i="4" s="1"/>
  <c r="L641" i="4"/>
  <c r="M641" i="4" s="1"/>
  <c r="L140" i="4"/>
  <c r="M140" i="4" s="1"/>
  <c r="L130" i="4"/>
  <c r="M130" i="4" s="1"/>
  <c r="H244" i="4"/>
  <c r="L244" i="4" s="1"/>
  <c r="M244" i="4" s="1"/>
  <c r="L241" i="4"/>
  <c r="M241" i="4" s="1"/>
  <c r="H642" i="4"/>
  <c r="H508" i="4"/>
  <c r="L239" i="4"/>
  <c r="M239" i="4" s="1"/>
  <c r="H517" i="4"/>
  <c r="L517" i="4" s="1"/>
  <c r="M517" i="4" s="1"/>
  <c r="L642" i="4"/>
  <c r="M642" i="4" s="1"/>
  <c r="H242" i="4"/>
  <c r="K186" i="4"/>
  <c r="K382" i="4"/>
  <c r="K508" i="4"/>
  <c r="L508" i="4" s="1"/>
  <c r="M508" i="4" s="1"/>
  <c r="K377" i="4"/>
  <c r="K426" i="4"/>
  <c r="L426" i="4" s="1"/>
  <c r="M426" i="4" s="1"/>
  <c r="K134" i="4"/>
  <c r="L134" i="4" s="1"/>
  <c r="M134" i="4" s="1"/>
  <c r="K131" i="4"/>
  <c r="L131" i="4" s="1"/>
  <c r="M131" i="4" s="1"/>
  <c r="L419" i="4"/>
  <c r="M419" i="4" s="1"/>
  <c r="L435" i="4"/>
  <c r="M435" i="4" s="1"/>
  <c r="L518" i="4"/>
  <c r="M518" i="4" s="1"/>
  <c r="K506" i="4"/>
  <c r="L245" i="4"/>
  <c r="M245" i="4" s="1"/>
  <c r="A371" i="4"/>
  <c r="A546" i="4"/>
  <c r="F370" i="4"/>
  <c r="H370" i="4" s="1"/>
  <c r="L370" i="4" s="1"/>
  <c r="M370" i="4" s="1"/>
  <c r="A283" i="4"/>
  <c r="I282" i="4"/>
  <c r="K282" i="4" s="1"/>
  <c r="F282" i="4"/>
  <c r="H282" i="4" s="1"/>
  <c r="K462" i="4"/>
  <c r="L458" i="4"/>
  <c r="M458" i="4" s="1"/>
  <c r="H248" i="4"/>
  <c r="L139" i="4"/>
  <c r="M139" i="4" s="1"/>
  <c r="L186" i="4"/>
  <c r="M186" i="4" s="1"/>
  <c r="L257" i="4"/>
  <c r="M257" i="4" s="1"/>
  <c r="L136" i="4"/>
  <c r="M136" i="4" s="1"/>
  <c r="K199" i="4"/>
  <c r="L199" i="4" s="1"/>
  <c r="M199" i="4" s="1"/>
  <c r="K195" i="4"/>
  <c r="F326" i="4"/>
  <c r="H326" i="4" s="1"/>
  <c r="I326" i="4"/>
  <c r="K326" i="4" s="1"/>
  <c r="H334" i="4"/>
  <c r="L425" i="4"/>
  <c r="M425" i="4" s="1"/>
  <c r="H418" i="4"/>
  <c r="K190" i="4"/>
  <c r="L190" i="4" s="1"/>
  <c r="M190" i="4" s="1"/>
  <c r="L342" i="4"/>
  <c r="M342" i="4" s="1"/>
  <c r="K378" i="4"/>
  <c r="L433" i="4"/>
  <c r="M433" i="4" s="1"/>
  <c r="K549" i="4"/>
  <c r="L481" i="4"/>
  <c r="M481" i="4" s="1"/>
  <c r="L470" i="4"/>
  <c r="M470" i="4" s="1"/>
  <c r="H510" i="4"/>
  <c r="H462" i="4"/>
  <c r="L601" i="4"/>
  <c r="M601" i="4" s="1"/>
  <c r="L191" i="4"/>
  <c r="M191" i="4" s="1"/>
  <c r="K340" i="4"/>
  <c r="L340" i="4" s="1"/>
  <c r="M340" i="4" s="1"/>
  <c r="K644" i="4"/>
  <c r="K254" i="4"/>
  <c r="L254" i="4" s="1"/>
  <c r="M254" i="4" s="1"/>
  <c r="L253" i="4"/>
  <c r="M253" i="4" s="1"/>
  <c r="F329" i="4"/>
  <c r="H329" i="4" s="1"/>
  <c r="I329" i="4"/>
  <c r="K329" i="4" s="1"/>
  <c r="H197" i="4"/>
  <c r="H337" i="4"/>
  <c r="L337" i="4" s="1"/>
  <c r="M337" i="4" s="1"/>
  <c r="K420" i="4"/>
  <c r="L420" i="4" s="1"/>
  <c r="M420" i="4" s="1"/>
  <c r="H473" i="4"/>
  <c r="L473" i="4" s="1"/>
  <c r="M473" i="4" s="1"/>
  <c r="L203" i="4"/>
  <c r="M203" i="4" s="1"/>
  <c r="L204" i="4"/>
  <c r="M204" i="4" s="1"/>
  <c r="L198" i="4"/>
  <c r="M198" i="4" s="1"/>
  <c r="I341" i="4"/>
  <c r="K341" i="4" s="1"/>
  <c r="F341" i="4"/>
  <c r="H341" i="4" s="1"/>
  <c r="I333" i="4"/>
  <c r="K333" i="4" s="1"/>
  <c r="F333" i="4"/>
  <c r="H333" i="4" s="1"/>
  <c r="K332" i="4"/>
  <c r="L332" i="4" s="1"/>
  <c r="M332" i="4" s="1"/>
  <c r="K373" i="4"/>
  <c r="K374" i="4" s="1"/>
  <c r="K513" i="4"/>
  <c r="L513" i="4" s="1"/>
  <c r="M513" i="4" s="1"/>
  <c r="L414" i="4"/>
  <c r="M414" i="4" s="1"/>
  <c r="K514" i="4"/>
  <c r="L514" i="4" s="1"/>
  <c r="M514" i="4" s="1"/>
  <c r="H557" i="4"/>
  <c r="L557" i="4" s="1"/>
  <c r="M557" i="4" s="1"/>
  <c r="L511" i="4"/>
  <c r="M511" i="4" s="1"/>
  <c r="L521" i="4"/>
  <c r="M521" i="4" s="1"/>
  <c r="L142" i="4"/>
  <c r="M142" i="4" s="1"/>
  <c r="L250" i="4"/>
  <c r="M250" i="4" s="1"/>
  <c r="L294" i="4"/>
  <c r="M294" i="4" s="1"/>
  <c r="L415" i="4"/>
  <c r="M415" i="4" s="1"/>
  <c r="L334" i="4"/>
  <c r="M334" i="4" s="1"/>
  <c r="K510" i="4"/>
  <c r="L510" i="4" s="1"/>
  <c r="M510" i="4" s="1"/>
  <c r="L502" i="4"/>
  <c r="M502" i="4" s="1"/>
  <c r="K129" i="4"/>
  <c r="H129" i="4"/>
  <c r="H132" i="4" s="1"/>
  <c r="L128" i="4"/>
  <c r="M128" i="4" s="1"/>
  <c r="H195" i="4"/>
  <c r="L135" i="4"/>
  <c r="M135" i="4" s="1"/>
  <c r="L238" i="4"/>
  <c r="M238" i="4" s="1"/>
  <c r="K242" i="4"/>
  <c r="L249" i="4"/>
  <c r="M249" i="4" s="1"/>
  <c r="H189" i="4"/>
  <c r="L189" i="4" s="1"/>
  <c r="M189" i="4" s="1"/>
  <c r="K428" i="4"/>
  <c r="L428" i="4" s="1"/>
  <c r="M428" i="4" s="1"/>
  <c r="L207" i="4"/>
  <c r="M207" i="4" s="1"/>
  <c r="K417" i="4"/>
  <c r="L417" i="4" s="1"/>
  <c r="M417" i="4" s="1"/>
  <c r="L422" i="4"/>
  <c r="M422" i="4" s="1"/>
  <c r="H194" i="4"/>
  <c r="L194" i="4" s="1"/>
  <c r="M194" i="4" s="1"/>
  <c r="L206" i="4"/>
  <c r="M206" i="4" s="1"/>
  <c r="L197" i="4"/>
  <c r="M197" i="4" s="1"/>
  <c r="L338" i="4"/>
  <c r="M338" i="4" s="1"/>
  <c r="L183" i="4"/>
  <c r="M183" i="4" s="1"/>
  <c r="L327" i="4"/>
  <c r="M327" i="4" s="1"/>
  <c r="A383" i="4"/>
  <c r="A394" i="4" s="1"/>
  <c r="A395" i="4" s="1"/>
  <c r="A396" i="4" s="1"/>
  <c r="A397" i="4" s="1"/>
  <c r="A398" i="4" s="1"/>
  <c r="A399" i="4" s="1"/>
  <c r="A381" i="4"/>
  <c r="K381" i="4"/>
  <c r="L522" i="4"/>
  <c r="M522" i="4" s="1"/>
  <c r="K430" i="4"/>
  <c r="L430" i="4" s="1"/>
  <c r="M430" i="4" s="1"/>
  <c r="L504" i="4"/>
  <c r="M504" i="4" s="1"/>
  <c r="H503" i="4"/>
  <c r="L503" i="4" s="1"/>
  <c r="M503" i="4" s="1"/>
  <c r="K558" i="4"/>
  <c r="L558" i="4" s="1"/>
  <c r="M558" i="4" s="1"/>
  <c r="H518" i="4"/>
  <c r="K594" i="4"/>
  <c r="K187" i="4" l="1"/>
  <c r="L341" i="4"/>
  <c r="M341" i="4" s="1"/>
  <c r="L329" i="4"/>
  <c r="M329" i="4" s="1"/>
  <c r="H138" i="4"/>
  <c r="L129" i="4"/>
  <c r="M129" i="4" s="1"/>
  <c r="H193" i="4"/>
  <c r="K418" i="4"/>
  <c r="H468" i="4"/>
  <c r="H424" i="4"/>
  <c r="H330" i="4"/>
  <c r="L462" i="4"/>
  <c r="M462" i="4" s="1"/>
  <c r="K468" i="4"/>
  <c r="A547" i="4"/>
  <c r="A590" i="4"/>
  <c r="F546" i="4"/>
  <c r="H546" i="4" s="1"/>
  <c r="K132" i="4"/>
  <c r="L333" i="4"/>
  <c r="M333" i="4" s="1"/>
  <c r="H251" i="4"/>
  <c r="H506" i="4"/>
  <c r="L506" i="4" s="1"/>
  <c r="L282" i="4"/>
  <c r="M282" i="4" s="1"/>
  <c r="F371" i="4"/>
  <c r="H371" i="4" s="1"/>
  <c r="L371" i="4" s="1"/>
  <c r="M371" i="4" s="1"/>
  <c r="A372" i="4"/>
  <c r="K512" i="4"/>
  <c r="K380" i="4"/>
  <c r="L326" i="4"/>
  <c r="M326" i="4" s="1"/>
  <c r="K330" i="4"/>
  <c r="L187" i="4"/>
  <c r="M187" i="4" s="1"/>
  <c r="K193" i="4"/>
  <c r="K600" i="4"/>
  <c r="A382" i="4"/>
  <c r="F382" i="4" s="1"/>
  <c r="H382" i="4" s="1"/>
  <c r="L382" i="4" s="1"/>
  <c r="M382" i="4" s="1"/>
  <c r="F381" i="4"/>
  <c r="H381" i="4" s="1"/>
  <c r="L381" i="4" s="1"/>
  <c r="M381" i="4" s="1"/>
  <c r="L242" i="4"/>
  <c r="M242" i="4" s="1"/>
  <c r="K248" i="4"/>
  <c r="K647" i="4"/>
  <c r="K550" i="4"/>
  <c r="L195" i="4"/>
  <c r="M195" i="4" s="1"/>
  <c r="I283" i="4"/>
  <c r="K283" i="4" s="1"/>
  <c r="A284" i="4"/>
  <c r="F283" i="4"/>
  <c r="H283" i="4" s="1"/>
  <c r="K196" i="4" l="1"/>
  <c r="L193" i="4"/>
  <c r="M193" i="4" s="1"/>
  <c r="L330" i="4"/>
  <c r="K336" i="4"/>
  <c r="H263" i="4"/>
  <c r="L418" i="4"/>
  <c r="M418" i="4" s="1"/>
  <c r="K424" i="4"/>
  <c r="I284" i="4"/>
  <c r="K284" i="4" s="1"/>
  <c r="F284" i="4"/>
  <c r="H284" i="4" s="1"/>
  <c r="A285" i="4"/>
  <c r="K556" i="4"/>
  <c r="L546" i="4"/>
  <c r="M546" i="4" s="1"/>
  <c r="L468" i="4"/>
  <c r="K471" i="4"/>
  <c r="H427" i="4"/>
  <c r="H196" i="4"/>
  <c r="H141" i="4"/>
  <c r="F372" i="4"/>
  <c r="H372" i="4" s="1"/>
  <c r="A373" i="4"/>
  <c r="H512" i="4"/>
  <c r="L512" i="4" s="1"/>
  <c r="M506" i="4"/>
  <c r="L132" i="4"/>
  <c r="M132" i="4" s="1"/>
  <c r="K138" i="4"/>
  <c r="A548" i="4"/>
  <c r="F547" i="4"/>
  <c r="H547" i="4" s="1"/>
  <c r="L547" i="4" s="1"/>
  <c r="M547" i="4" s="1"/>
  <c r="A591" i="4"/>
  <c r="F591" i="4" s="1"/>
  <c r="H591" i="4" s="1"/>
  <c r="L591" i="4" s="1"/>
  <c r="M591" i="4" s="1"/>
  <c r="H336" i="4"/>
  <c r="M330" i="4"/>
  <c r="H471" i="4"/>
  <c r="M468" i="4"/>
  <c r="L283" i="4"/>
  <c r="M283" i="4" s="1"/>
  <c r="K659" i="4"/>
  <c r="L248" i="4"/>
  <c r="M248" i="4" s="1"/>
  <c r="K251" i="4"/>
  <c r="K603" i="4"/>
  <c r="K383" i="4"/>
  <c r="K515" i="4"/>
  <c r="F590" i="4"/>
  <c r="H590" i="4" s="1"/>
  <c r="A634" i="4"/>
  <c r="F634" i="4" s="1"/>
  <c r="H634" i="4" s="1"/>
  <c r="A592" i="4" l="1"/>
  <c r="F548" i="4"/>
  <c r="H548" i="4" s="1"/>
  <c r="A549" i="4"/>
  <c r="H159" i="4"/>
  <c r="H154" i="4"/>
  <c r="H164" i="4"/>
  <c r="H264" i="4"/>
  <c r="L634" i="4"/>
  <c r="M634" i="4" s="1"/>
  <c r="K395" i="4"/>
  <c r="L251" i="4"/>
  <c r="M251" i="4" s="1"/>
  <c r="K263" i="4"/>
  <c r="H339" i="4"/>
  <c r="L138" i="4"/>
  <c r="M138" i="4" s="1"/>
  <c r="K141" i="4"/>
  <c r="A375" i="4"/>
  <c r="F373" i="4"/>
  <c r="H373" i="4" s="1"/>
  <c r="L373" i="4" s="1"/>
  <c r="M373" i="4" s="1"/>
  <c r="H214" i="4"/>
  <c r="H219" i="4"/>
  <c r="H209" i="4"/>
  <c r="L471" i="4"/>
  <c r="M471" i="4" s="1"/>
  <c r="K483" i="4"/>
  <c r="K559" i="4"/>
  <c r="L284" i="4"/>
  <c r="M284" i="4" s="1"/>
  <c r="L196" i="4"/>
  <c r="M196" i="4" s="1"/>
  <c r="K219" i="4"/>
  <c r="K214" i="4"/>
  <c r="K209" i="4"/>
  <c r="K615" i="4"/>
  <c r="K660" i="4"/>
  <c r="K662" i="4" s="1"/>
  <c r="M512" i="4"/>
  <c r="H515" i="4"/>
  <c r="L590" i="4"/>
  <c r="M590" i="4" s="1"/>
  <c r="L372" i="4"/>
  <c r="M372" i="4" s="1"/>
  <c r="K427" i="4"/>
  <c r="L424" i="4"/>
  <c r="M424" i="4" s="1"/>
  <c r="K339" i="4"/>
  <c r="L336" i="4"/>
  <c r="M336" i="4" s="1"/>
  <c r="K527" i="4"/>
  <c r="H483" i="4"/>
  <c r="H439" i="4"/>
  <c r="A287" i="4"/>
  <c r="F285" i="4"/>
  <c r="H285" i="4" s="1"/>
  <c r="H286" i="4" s="1"/>
  <c r="I285" i="4"/>
  <c r="K285" i="4" s="1"/>
  <c r="H374" i="4" l="1"/>
  <c r="L285" i="4"/>
  <c r="M285" i="4" s="1"/>
  <c r="I287" i="4"/>
  <c r="J287" i="4" s="1"/>
  <c r="K287" i="4" s="1"/>
  <c r="L287" i="4" s="1"/>
  <c r="M287" i="4" s="1"/>
  <c r="A288" i="4"/>
  <c r="F287" i="4"/>
  <c r="G287" i="4" s="1"/>
  <c r="H287" i="4" s="1"/>
  <c r="H484" i="4"/>
  <c r="L374" i="4"/>
  <c r="M374" i="4" s="1"/>
  <c r="H527" i="4"/>
  <c r="L527" i="4" s="1"/>
  <c r="L214" i="4"/>
  <c r="M214" i="4" s="1"/>
  <c r="K216" i="4"/>
  <c r="K215" i="4"/>
  <c r="H210" i="4"/>
  <c r="H212" i="4" s="1"/>
  <c r="H211" i="4"/>
  <c r="K396" i="4"/>
  <c r="K398" i="4"/>
  <c r="H155" i="4"/>
  <c r="H156" i="4"/>
  <c r="L548" i="4"/>
  <c r="M548" i="4" s="1"/>
  <c r="L515" i="4"/>
  <c r="M515" i="4" s="1"/>
  <c r="K616" i="4"/>
  <c r="K618" i="4" s="1"/>
  <c r="L483" i="4"/>
  <c r="M483" i="4" s="1"/>
  <c r="K484" i="4"/>
  <c r="K486" i="4" s="1"/>
  <c r="H215" i="4"/>
  <c r="H216" i="4"/>
  <c r="L141" i="4"/>
  <c r="M141" i="4" s="1"/>
  <c r="K164" i="4"/>
  <c r="K159" i="4"/>
  <c r="K154" i="4"/>
  <c r="L263" i="4"/>
  <c r="M263" i="4" s="1"/>
  <c r="K264" i="4"/>
  <c r="L264" i="4" s="1"/>
  <c r="M264" i="4" s="1"/>
  <c r="H266" i="4"/>
  <c r="H440" i="4"/>
  <c r="K528" i="4"/>
  <c r="L339" i="4"/>
  <c r="M339" i="4" s="1"/>
  <c r="K351" i="4"/>
  <c r="K220" i="4"/>
  <c r="K221" i="4"/>
  <c r="L219" i="4"/>
  <c r="M219" i="4" s="1"/>
  <c r="K571" i="4"/>
  <c r="H220" i="4"/>
  <c r="H221" i="4"/>
  <c r="A376" i="4"/>
  <c r="F375" i="4"/>
  <c r="G375" i="4" s="1"/>
  <c r="H375" i="4" s="1"/>
  <c r="L375" i="4" s="1"/>
  <c r="M375" i="4" s="1"/>
  <c r="H351" i="4"/>
  <c r="H160" i="4"/>
  <c r="H161" i="4"/>
  <c r="A636" i="4"/>
  <c r="F636" i="4" s="1"/>
  <c r="H636" i="4" s="1"/>
  <c r="F592" i="4"/>
  <c r="H592" i="4" s="1"/>
  <c r="K286" i="4"/>
  <c r="K439" i="4"/>
  <c r="L427" i="4"/>
  <c r="M427" i="4" s="1"/>
  <c r="K211" i="4"/>
  <c r="L209" i="4"/>
  <c r="M209" i="4" s="1"/>
  <c r="K210" i="4"/>
  <c r="L210" i="4" s="1"/>
  <c r="H166" i="4"/>
  <c r="H165" i="4"/>
  <c r="A551" i="4"/>
  <c r="A593" i="4"/>
  <c r="F549" i="4"/>
  <c r="H549" i="4" s="1"/>
  <c r="L549" i="4" s="1"/>
  <c r="M549" i="4" s="1"/>
  <c r="H157" i="4" l="1"/>
  <c r="L215" i="4"/>
  <c r="L211" i="4"/>
  <c r="K266" i="4"/>
  <c r="L266" i="4" s="1"/>
  <c r="M266" i="4" s="1"/>
  <c r="H217" i="4"/>
  <c r="K572" i="4"/>
  <c r="K574" i="4" s="1"/>
  <c r="L220" i="4"/>
  <c r="M220" i="4" s="1"/>
  <c r="L528" i="4"/>
  <c r="K160" i="4"/>
  <c r="L160" i="4" s="1"/>
  <c r="M160" i="4" s="1"/>
  <c r="L159" i="4"/>
  <c r="M159" i="4" s="1"/>
  <c r="K161" i="4"/>
  <c r="K162" i="4" s="1"/>
  <c r="L162" i="4" s="1"/>
  <c r="M527" i="4"/>
  <c r="H528" i="4"/>
  <c r="I288" i="4"/>
  <c r="K288" i="4" s="1"/>
  <c r="A289" i="4"/>
  <c r="F288" i="4"/>
  <c r="H288" i="4" s="1"/>
  <c r="F593" i="4"/>
  <c r="H593" i="4" s="1"/>
  <c r="L593" i="4" s="1"/>
  <c r="M593" i="4" s="1"/>
  <c r="A637" i="4"/>
  <c r="F637" i="4" s="1"/>
  <c r="H637" i="4" s="1"/>
  <c r="L637" i="4" s="1"/>
  <c r="M637" i="4" s="1"/>
  <c r="K440" i="4"/>
  <c r="L440" i="4" s="1"/>
  <c r="M440" i="4" s="1"/>
  <c r="L439" i="4"/>
  <c r="M439" i="4" s="1"/>
  <c r="A552" i="4"/>
  <c r="F551" i="4"/>
  <c r="G551" i="4" s="1"/>
  <c r="H551" i="4" s="1"/>
  <c r="L551" i="4" s="1"/>
  <c r="M551" i="4" s="1"/>
  <c r="A595" i="4"/>
  <c r="F595" i="4" s="1"/>
  <c r="G595" i="4" s="1"/>
  <c r="H595" i="4" s="1"/>
  <c r="L595" i="4" s="1"/>
  <c r="M595" i="4" s="1"/>
  <c r="K212" i="4"/>
  <c r="L212" i="4" s="1"/>
  <c r="M212" i="4" s="1"/>
  <c r="L286" i="4"/>
  <c r="M286" i="4" s="1"/>
  <c r="L592" i="4"/>
  <c r="M592" i="4" s="1"/>
  <c r="H594" i="4"/>
  <c r="H222" i="4"/>
  <c r="K352" i="4"/>
  <c r="L351" i="4"/>
  <c r="L636" i="4"/>
  <c r="M636" i="4" s="1"/>
  <c r="H638" i="4"/>
  <c r="H162" i="4"/>
  <c r="F376" i="4"/>
  <c r="H376" i="4" s="1"/>
  <c r="L376" i="4" s="1"/>
  <c r="M376" i="4" s="1"/>
  <c r="A377" i="4"/>
  <c r="M215" i="4"/>
  <c r="H550" i="4"/>
  <c r="L164" i="4"/>
  <c r="M164" i="4" s="1"/>
  <c r="K165" i="4"/>
  <c r="L165" i="4" s="1"/>
  <c r="M165" i="4" s="1"/>
  <c r="K166" i="4"/>
  <c r="H167" i="4"/>
  <c r="M351" i="4"/>
  <c r="H352" i="4"/>
  <c r="K222" i="4"/>
  <c r="L222" i="4" s="1"/>
  <c r="K530" i="4"/>
  <c r="H442" i="4"/>
  <c r="K156" i="4"/>
  <c r="L156" i="4" s="1"/>
  <c r="K155" i="4"/>
  <c r="L155" i="4" s="1"/>
  <c r="M155" i="4" s="1"/>
  <c r="L154" i="4"/>
  <c r="M154" i="4" s="1"/>
  <c r="L484" i="4"/>
  <c r="M484" i="4" s="1"/>
  <c r="M210" i="4"/>
  <c r="K217" i="4"/>
  <c r="H486" i="4"/>
  <c r="L288" i="4" l="1"/>
  <c r="M288" i="4" s="1"/>
  <c r="K442" i="4"/>
  <c r="L442" i="4" s="1"/>
  <c r="M442" i="4" s="1"/>
  <c r="L217" i="4"/>
  <c r="M217" i="4" s="1"/>
  <c r="K167" i="4"/>
  <c r="L167" i="4" s="1"/>
  <c r="M167" i="4" s="1"/>
  <c r="K157" i="4"/>
  <c r="L157" i="4" s="1"/>
  <c r="M157" i="4" s="1"/>
  <c r="F377" i="4"/>
  <c r="H377" i="4" s="1"/>
  <c r="A378" i="4"/>
  <c r="A384" i="4"/>
  <c r="M222" i="4"/>
  <c r="A596" i="4"/>
  <c r="F596" i="4" s="1"/>
  <c r="H596" i="4" s="1"/>
  <c r="L596" i="4" s="1"/>
  <c r="M596" i="4" s="1"/>
  <c r="F552" i="4"/>
  <c r="H552" i="4" s="1"/>
  <c r="L552" i="4" s="1"/>
  <c r="M552" i="4" s="1"/>
  <c r="A553" i="4"/>
  <c r="M528" i="4"/>
  <c r="L594" i="4"/>
  <c r="M594" i="4" s="1"/>
  <c r="H530" i="4"/>
  <c r="L486" i="4"/>
  <c r="M486" i="4" s="1"/>
  <c r="L550" i="4"/>
  <c r="M550" i="4" s="1"/>
  <c r="H354" i="4"/>
  <c r="M162" i="4"/>
  <c r="L352" i="4"/>
  <c r="M352" i="4" s="1"/>
  <c r="F289" i="4"/>
  <c r="H289" i="4" s="1"/>
  <c r="I289" i="4"/>
  <c r="K289" i="4" s="1"/>
  <c r="A290" i="4"/>
  <c r="H644" i="4"/>
  <c r="L638" i="4"/>
  <c r="M638" i="4" s="1"/>
  <c r="K354" i="4"/>
  <c r="L354" i="4" l="1"/>
  <c r="F290" i="4"/>
  <c r="H290" i="4" s="1"/>
  <c r="A291" i="4"/>
  <c r="A293" i="4"/>
  <c r="A294" i="4" s="1"/>
  <c r="A296" i="4" s="1"/>
  <c r="I290" i="4"/>
  <c r="K290" i="4" s="1"/>
  <c r="L290" i="4" s="1"/>
  <c r="M290" i="4" s="1"/>
  <c r="L530" i="4"/>
  <c r="M530" i="4" s="1"/>
  <c r="H647" i="4"/>
  <c r="M644" i="4"/>
  <c r="L644" i="4"/>
  <c r="L289" i="4"/>
  <c r="M289" i="4" s="1"/>
  <c r="M354" i="4"/>
  <c r="F553" i="4"/>
  <c r="H553" i="4" s="1"/>
  <c r="A554" i="4"/>
  <c r="A597" i="4"/>
  <c r="F597" i="4" s="1"/>
  <c r="H597" i="4" s="1"/>
  <c r="F384" i="4"/>
  <c r="H384" i="4" s="1"/>
  <c r="L384" i="4" s="1"/>
  <c r="M384" i="4" s="1"/>
  <c r="A385" i="4"/>
  <c r="A379" i="4"/>
  <c r="F379" i="4" s="1"/>
  <c r="H379" i="4" s="1"/>
  <c r="L379" i="4" s="1"/>
  <c r="M379" i="4" s="1"/>
  <c r="F378" i="4"/>
  <c r="H378" i="4" s="1"/>
  <c r="L378" i="4" s="1"/>
  <c r="M378" i="4" s="1"/>
  <c r="L377" i="4"/>
  <c r="M377" i="4" s="1"/>
  <c r="L597" i="4" l="1"/>
  <c r="M597" i="4" s="1"/>
  <c r="L647" i="4"/>
  <c r="M647" i="4" s="1"/>
  <c r="F554" i="4"/>
  <c r="H554" i="4" s="1"/>
  <c r="L554" i="4" s="1"/>
  <c r="M554" i="4" s="1"/>
  <c r="A555" i="4"/>
  <c r="A560" i="4"/>
  <c r="A598" i="4"/>
  <c r="F598" i="4" s="1"/>
  <c r="H598" i="4" s="1"/>
  <c r="L598" i="4" s="1"/>
  <c r="M598" i="4" s="1"/>
  <c r="H380" i="4"/>
  <c r="F385" i="4"/>
  <c r="H385" i="4" s="1"/>
  <c r="L385" i="4" s="1"/>
  <c r="M385" i="4" s="1"/>
  <c r="A386" i="4"/>
  <c r="L553" i="4"/>
  <c r="M553" i="4" s="1"/>
  <c r="F296" i="4"/>
  <c r="H296" i="4" s="1"/>
  <c r="A297" i="4"/>
  <c r="I296" i="4"/>
  <c r="K296" i="4" s="1"/>
  <c r="I291" i="4"/>
  <c r="K291" i="4" s="1"/>
  <c r="F291" i="4"/>
  <c r="H291" i="4" s="1"/>
  <c r="H292" i="4" s="1"/>
  <c r="L291" i="4" l="1"/>
  <c r="M291" i="4" s="1"/>
  <c r="K292" i="4"/>
  <c r="H383" i="4"/>
  <c r="L380" i="4"/>
  <c r="M380" i="4" s="1"/>
  <c r="I297" i="4"/>
  <c r="K297" i="4" s="1"/>
  <c r="L297" i="4" s="1"/>
  <c r="M297" i="4" s="1"/>
  <c r="A298" i="4"/>
  <c r="F297" i="4"/>
  <c r="H297" i="4" s="1"/>
  <c r="A387" i="4"/>
  <c r="F386" i="4"/>
  <c r="H386" i="4" s="1"/>
  <c r="L386" i="4" s="1"/>
  <c r="M386" i="4" s="1"/>
  <c r="F560" i="4"/>
  <c r="H560" i="4" s="1"/>
  <c r="L560" i="4" s="1"/>
  <c r="M560" i="4" s="1"/>
  <c r="A561" i="4"/>
  <c r="A604" i="4"/>
  <c r="F555" i="4"/>
  <c r="H555" i="4" s="1"/>
  <c r="L555" i="4" s="1"/>
  <c r="M555" i="4" s="1"/>
  <c r="A599" i="4"/>
  <c r="F599" i="4" s="1"/>
  <c r="H599" i="4" s="1"/>
  <c r="L599" i="4" s="1"/>
  <c r="M599" i="4" s="1"/>
  <c r="H295" i="4"/>
  <c r="L296" i="4"/>
  <c r="M296" i="4" s="1"/>
  <c r="F298" i="4" l="1"/>
  <c r="H298" i="4" s="1"/>
  <c r="A299" i="4"/>
  <c r="I298" i="4"/>
  <c r="K298" i="4" s="1"/>
  <c r="L298" i="4" s="1"/>
  <c r="M298" i="4" s="1"/>
  <c r="H556" i="4"/>
  <c r="F604" i="4"/>
  <c r="H604" i="4" s="1"/>
  <c r="L604" i="4" s="1"/>
  <c r="M604" i="4" s="1"/>
  <c r="A648" i="4"/>
  <c r="F648" i="4" s="1"/>
  <c r="H648" i="4" s="1"/>
  <c r="A388" i="4"/>
  <c r="A389" i="4" s="1"/>
  <c r="A390" i="4" s="1"/>
  <c r="A391" i="4" s="1"/>
  <c r="A392" i="4" s="1"/>
  <c r="A393" i="4" s="1"/>
  <c r="F387" i="4"/>
  <c r="H387" i="4" s="1"/>
  <c r="L387" i="4" s="1"/>
  <c r="M387" i="4" s="1"/>
  <c r="L292" i="4"/>
  <c r="M292" i="4" s="1"/>
  <c r="K295" i="4"/>
  <c r="H600" i="4"/>
  <c r="F561" i="4"/>
  <c r="H561" i="4" s="1"/>
  <c r="L561" i="4" s="1"/>
  <c r="M561" i="4" s="1"/>
  <c r="A605" i="4"/>
  <c r="A562" i="4"/>
  <c r="H395" i="4"/>
  <c r="L383" i="4"/>
  <c r="M383" i="4" s="1"/>
  <c r="H396" i="4" l="1"/>
  <c r="H398" i="4" s="1"/>
  <c r="L395" i="4"/>
  <c r="M395" i="4" s="1"/>
  <c r="H603" i="4"/>
  <c r="L600" i="4"/>
  <c r="M600" i="4" s="1"/>
  <c r="F562" i="4"/>
  <c r="H562" i="4" s="1"/>
  <c r="L562" i="4" s="1"/>
  <c r="M562" i="4" s="1"/>
  <c r="A563" i="4"/>
  <c r="A606" i="4"/>
  <c r="L295" i="4"/>
  <c r="M295" i="4" s="1"/>
  <c r="L648" i="4"/>
  <c r="M648" i="4" s="1"/>
  <c r="H559" i="4"/>
  <c r="L556" i="4"/>
  <c r="M556" i="4" s="1"/>
  <c r="F299" i="4"/>
  <c r="H299" i="4" s="1"/>
  <c r="H307" i="4" s="1"/>
  <c r="A300" i="4"/>
  <c r="A301" i="4" s="1"/>
  <c r="A302" i="4" s="1"/>
  <c r="A303" i="4" s="1"/>
  <c r="A304" i="4" s="1"/>
  <c r="A305" i="4" s="1"/>
  <c r="I299" i="4"/>
  <c r="K299" i="4" s="1"/>
  <c r="F605" i="4"/>
  <c r="H605" i="4" s="1"/>
  <c r="L605" i="4" s="1"/>
  <c r="M605" i="4" s="1"/>
  <c r="A649" i="4"/>
  <c r="F649" i="4" s="1"/>
  <c r="H649" i="4" s="1"/>
  <c r="L649" i="4" s="1"/>
  <c r="M649" i="4" s="1"/>
  <c r="L299" i="4" l="1"/>
  <c r="M299" i="4" s="1"/>
  <c r="H308" i="4"/>
  <c r="H310" i="4"/>
  <c r="L559" i="4"/>
  <c r="M559" i="4" s="1"/>
  <c r="K307" i="4"/>
  <c r="F606" i="4"/>
  <c r="H606" i="4" s="1"/>
  <c r="L606" i="4" s="1"/>
  <c r="M606" i="4" s="1"/>
  <c r="A650" i="4"/>
  <c r="F650" i="4" s="1"/>
  <c r="H650" i="4" s="1"/>
  <c r="L650" i="4" s="1"/>
  <c r="M650" i="4" s="1"/>
  <c r="L398" i="4"/>
  <c r="M398" i="4" s="1"/>
  <c r="F563" i="4"/>
  <c r="H563" i="4" s="1"/>
  <c r="L563" i="4" s="1"/>
  <c r="M563" i="4" s="1"/>
  <c r="A564" i="4"/>
  <c r="A607" i="4"/>
  <c r="L603" i="4"/>
  <c r="M603" i="4" s="1"/>
  <c r="L396" i="4"/>
  <c r="M396" i="4" s="1"/>
  <c r="A565" i="4" l="1"/>
  <c r="A608" i="4"/>
  <c r="A652" i="4" s="1"/>
  <c r="F607" i="4"/>
  <c r="H607" i="4" s="1"/>
  <c r="L607" i="4" s="1"/>
  <c r="M607" i="4" s="1"/>
  <c r="A651" i="4"/>
  <c r="F651" i="4" s="1"/>
  <c r="H651" i="4" s="1"/>
  <c r="L651" i="4" s="1"/>
  <c r="M651" i="4" s="1"/>
  <c r="K308" i="4"/>
  <c r="L308" i="4" s="1"/>
  <c r="M308" i="4" s="1"/>
  <c r="L307" i="4"/>
  <c r="M307" i="4" s="1"/>
  <c r="H571" i="4"/>
  <c r="K310" i="4" l="1"/>
  <c r="L310" i="4" s="1"/>
  <c r="M310" i="4" s="1"/>
  <c r="H659" i="4"/>
  <c r="H615" i="4"/>
  <c r="H572" i="4"/>
  <c r="H574" i="4"/>
  <c r="L571" i="4"/>
  <c r="M571" i="4" s="1"/>
  <c r="A566" i="4"/>
  <c r="A609" i="4"/>
  <c r="A653" i="4" s="1"/>
  <c r="A567" i="4" l="1"/>
  <c r="A610" i="4"/>
  <c r="A654" i="4" s="1"/>
  <c r="L572" i="4"/>
  <c r="M572" i="4" s="1"/>
  <c r="H616" i="4"/>
  <c r="L615" i="4"/>
  <c r="M615" i="4" s="1"/>
  <c r="L574" i="4"/>
  <c r="M574" i="4" s="1"/>
  <c r="H660" i="4"/>
  <c r="H662" i="4" s="1"/>
  <c r="L659" i="4"/>
  <c r="M659" i="4" s="1"/>
  <c r="L662" i="4" l="1"/>
  <c r="M662" i="4" s="1"/>
  <c r="A568" i="4"/>
  <c r="A611" i="4"/>
  <c r="A655" i="4" s="1"/>
  <c r="L616" i="4"/>
  <c r="M616" i="4" s="1"/>
  <c r="L660" i="4"/>
  <c r="M660" i="4" s="1"/>
  <c r="H618" i="4"/>
  <c r="L618" i="4" l="1"/>
  <c r="M618" i="4" s="1"/>
  <c r="A569" i="4"/>
  <c r="A613" i="4" s="1"/>
  <c r="A657" i="4" s="1"/>
  <c r="A612" i="4"/>
  <c r="A656" i="4" s="1"/>
  <c r="L79" i="4" l="1"/>
  <c r="K81" i="4"/>
  <c r="N84" i="4"/>
  <c r="I77" i="4"/>
  <c r="O79" i="4"/>
  <c r="H78" i="4"/>
  <c r="K79" i="4"/>
  <c r="I80" i="4"/>
  <c r="K82" i="4"/>
  <c r="M75" i="4"/>
  <c r="O87" i="4"/>
  <c r="L80" i="4"/>
  <c r="N80" i="4"/>
  <c r="L76" i="4"/>
  <c r="M76" i="4"/>
  <c r="I75" i="4"/>
  <c r="H76" i="4"/>
  <c r="E273" i="4" s="1"/>
  <c r="I87" i="4"/>
  <c r="O75" i="4"/>
  <c r="J80" i="4"/>
  <c r="O81" i="4"/>
  <c r="I76" i="4"/>
  <c r="N79" i="4"/>
  <c r="K404" i="4" s="1"/>
  <c r="N86" i="4"/>
  <c r="J87" i="4"/>
  <c r="O77" i="4"/>
  <c r="N83" i="4"/>
  <c r="L84" i="4"/>
  <c r="L75" i="4"/>
  <c r="J81" i="4"/>
  <c r="J86" i="4"/>
  <c r="O83" i="4"/>
  <c r="N82" i="4"/>
  <c r="H75" i="4"/>
  <c r="K86" i="4"/>
  <c r="I83" i="4"/>
  <c r="O78" i="4"/>
  <c r="O82" i="4"/>
  <c r="L86" i="4"/>
  <c r="K87" i="4"/>
  <c r="J75" i="4"/>
  <c r="I82" i="4"/>
  <c r="K76" i="4"/>
  <c r="H82" i="4"/>
  <c r="M78" i="4"/>
  <c r="M82" i="4"/>
  <c r="L87" i="4"/>
  <c r="H81" i="4"/>
  <c r="H79" i="4"/>
  <c r="J82" i="4"/>
  <c r="H77" i="4"/>
  <c r="H83" i="4"/>
  <c r="O80" i="4"/>
  <c r="H86" i="4"/>
  <c r="L83" i="4"/>
  <c r="M87" i="4"/>
  <c r="K83" i="4"/>
  <c r="N77" i="4"/>
  <c r="J83" i="4"/>
  <c r="L77" i="4"/>
  <c r="I84" i="4"/>
  <c r="N75" i="4"/>
  <c r="J77" i="4"/>
  <c r="K84" i="4"/>
  <c r="I78" i="4"/>
  <c r="H87" i="4"/>
  <c r="M81" i="4"/>
  <c r="L78" i="4"/>
  <c r="M84" i="4"/>
  <c r="O86" i="4"/>
  <c r="M83" i="4"/>
  <c r="J84" i="4"/>
  <c r="I81" i="4"/>
  <c r="K78" i="4"/>
  <c r="M86" i="4"/>
  <c r="N76" i="4"/>
  <c r="K272" i="4" s="1"/>
  <c r="K80" i="4"/>
  <c r="M77" i="4"/>
  <c r="N78" i="4"/>
  <c r="M80" i="4"/>
  <c r="I79" i="4"/>
  <c r="I86" i="4"/>
  <c r="N87" i="4"/>
  <c r="J79" i="4"/>
  <c r="J78" i="4"/>
  <c r="L82" i="4"/>
  <c r="M79" i="4"/>
  <c r="K77" i="4"/>
  <c r="H84" i="4"/>
  <c r="O84" i="4"/>
  <c r="K75" i="4"/>
  <c r="N81" i="4"/>
  <c r="L81" i="4"/>
  <c r="J76" i="4"/>
  <c r="H80" i="4"/>
  <c r="O76" i="4"/>
</calcChain>
</file>

<file path=xl/sharedStrings.xml><?xml version="1.0" encoding="utf-8"?>
<sst xmlns="http://schemas.openxmlformats.org/spreadsheetml/2006/main" count="2386" uniqueCount="275">
  <si>
    <t>Total Loss Factor - Primary Metered Customer &lt; 5,000 kW</t>
  </si>
  <si>
    <t>Total Loss Factor - Secondary Metered Customer &lt; 5,000 kW</t>
  </si>
  <si>
    <t>If the distributor is not capable of prorating changed loss factors jointly with distribution rates, the revised loss factors will be implemented upon the first subsequent billing for each billing cycle.</t>
  </si>
  <si>
    <t>LOSS FACTORS</t>
  </si>
  <si>
    <t>$</t>
  </si>
  <si>
    <t>More than twice a year, per request (plus incremental delivery costs)</t>
  </si>
  <si>
    <t>no charge</t>
  </si>
  <si>
    <t>Up to twice a year</t>
  </si>
  <si>
    <t>Electronic Business Transaction (EBT) system, applied to the requesting party</t>
  </si>
  <si>
    <t>Settlement Code directly to retailers and customers, if not delivered electronically through the</t>
  </si>
  <si>
    <t>Request for customer information as outlined in Section 10.6.3 and Chapter 11 of the Retail</t>
  </si>
  <si>
    <t>Processing fee, per request, applied to the requesting party</t>
  </si>
  <si>
    <t>Request fee, per request, applied to the requesting party</t>
  </si>
  <si>
    <t>Service Transaction Requests (STR)</t>
  </si>
  <si>
    <t>$/cust.</t>
  </si>
  <si>
    <t>Retailer-consolidated billing monthly credit, per customer, per retailer</t>
  </si>
  <si>
    <t>Distributor-consolidated billing monthly charge, per customer, per retailer</t>
  </si>
  <si>
    <t>Monthly Variable Charge, per customer, per retailer</t>
  </si>
  <si>
    <t>Monthly Fixed Charge, per retailer</t>
  </si>
  <si>
    <t>One-time charge, per retailer, to establish the service agreement between the distributor and the retailer</t>
  </si>
  <si>
    <t>Retail Service Charges refer to services provided by a distributor to retailers or customers related to the supply of competitive electricity.</t>
  </si>
  <si>
    <t>It should be noted that this schedule does not list any charges, assessments, or credits that are required by law to be invoiced by a distributor and that are not subject to Ontario Energy Board approval, such as the Debt Retirement Charge, the Global Adjustment, the Ontario Clean Energy Benefit and the HST.</t>
  </si>
  <si>
    <t>Unless specifically noted, this schedule does not contain any charges for the electricity commodity, be it under the Regulated Price Plan, a contract with a retailer or the wholesale market price, as applicable.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</si>
  <si>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</si>
  <si>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</si>
  <si>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RETAIL SERVICE CHARGES (if applicable)</t>
  </si>
  <si>
    <t xml:space="preserve"> (with the exception of wireless attachments)</t>
  </si>
  <si>
    <t>Specific charge for access to the power poles - $/pole/year</t>
  </si>
  <si>
    <t>Rural system expansion / line connection fee</t>
  </si>
  <si>
    <t>Temporary service - install &amp; remove - overhead - with transformer</t>
  </si>
  <si>
    <t>Temporary service - install &amp; remove - underground - no transformer</t>
  </si>
  <si>
    <t>Temporary service - install &amp; remove - overhead - no transformer</t>
  </si>
  <si>
    <t>Service call - after regular hours</t>
  </si>
  <si>
    <t>Service call - customer owned equipment</t>
  </si>
  <si>
    <t>Other</t>
  </si>
  <si>
    <t>Disconnect/Reconnect at Pole - after regular hours</t>
  </si>
  <si>
    <t>Disconnect/Reconnect at Pole - during regular hours</t>
  </si>
  <si>
    <t>Disconnect/Reconnect at Meter - after regular hours</t>
  </si>
  <si>
    <t>Disconnect/Reconnect at Meter - during regular hours</t>
  </si>
  <si>
    <t>Collection of account charge - no disconnection - after regular hours</t>
  </si>
  <si>
    <t>Collection of account charge - no disconnection</t>
  </si>
  <si>
    <t>%</t>
  </si>
  <si>
    <t>Late Payment - per annum</t>
  </si>
  <si>
    <t>Late Payment - per month</t>
  </si>
  <si>
    <t>Non-Payment of Account</t>
  </si>
  <si>
    <t>Meter dispute charge plus Measurement Canada fees (if meter found correct)</t>
  </si>
  <si>
    <t>Account set up charge/change of occupancy charge (plus credit agency costs if applicable)</t>
  </si>
  <si>
    <t>Special meter reads</t>
  </si>
  <si>
    <t>Legal letter charge</t>
  </si>
  <si>
    <t>Charge to certify cheque</t>
  </si>
  <si>
    <t>Returned Cheque (plus bank charges)</t>
  </si>
  <si>
    <t>Credit reference/credit check (plus credit agency costs - general service)</t>
  </si>
  <si>
    <t>Account history</t>
  </si>
  <si>
    <t>Notification charge</t>
  </si>
  <si>
    <t>Income tax letter</t>
  </si>
  <si>
    <t>Easement Letter</t>
  </si>
  <si>
    <t>Request for other billing information</t>
  </si>
  <si>
    <t>Duplicate invoices for previous billing</t>
  </si>
  <si>
    <t>Pulling post dated cheques</t>
  </si>
  <si>
    <t>Statement of account</t>
  </si>
  <si>
    <t>Arrears certificate</t>
  </si>
  <si>
    <t>Customer Administration</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</si>
  <si>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</si>
  <si>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</si>
  <si>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SPECIFIC SERVICE CHARGES</t>
  </si>
  <si>
    <t>Primary Metering Allowance for Transformer Losses - applied to measured demand &amp; energy</t>
  </si>
  <si>
    <t>$/kW</t>
  </si>
  <si>
    <t>Transformer Allowance for Ownership - per kW of billing demand/month</t>
  </si>
  <si>
    <t>ALLOWANCES</t>
  </si>
  <si>
    <t>Service Charge</t>
  </si>
  <si>
    <t>MONTHLY RATES AND CHARGES - Delivery Component</t>
  </si>
  <si>
    <t>Unless specifically noted, this schedule does not contain any charges for the electricity commodity, be it under the Regulated Price Plan, a contract with a retailer or the wholesale market prices, as applicable.</t>
  </si>
  <si>
    <t>APPLICATION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</si>
  <si>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</si>
  <si>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microFIT SERVICE CLASSIFICATION</t>
  </si>
  <si>
    <t>STREET LIGHTING SERVICE CLASSIFICATION</t>
  </si>
  <si>
    <t>Standard Supply Service Charge</t>
  </si>
  <si>
    <t>Standard Supply Service - Administrative Charge (if applicable)</t>
  </si>
  <si>
    <t>Rural and Remote Rate Protection (RRRP)</t>
  </si>
  <si>
    <t>$/kWh</t>
  </si>
  <si>
    <t>Rural or Remote Electricity Rate Protection Charge (RRRP)</t>
  </si>
  <si>
    <t>Capacity Based Rcovery (CBR)</t>
  </si>
  <si>
    <t xml:space="preserve">Capacity Based Recovery (CBR) - Applicable for Class B Customers </t>
  </si>
  <si>
    <t>Wholesale Market Service Charge (WMSC)</t>
  </si>
  <si>
    <t>Wholesale Market Service Rate (WMS) - not including CBR</t>
  </si>
  <si>
    <t>MONTHLY RATES AND CHARGES - Regulatory Component</t>
  </si>
  <si>
    <t>RTSR - Connection and/or Line and Transformation Connection</t>
  </si>
  <si>
    <t>Retail Transmission Rate - Line and Transformation Connection Service Rate</t>
  </si>
  <si>
    <t>RTSR - Network</t>
  </si>
  <si>
    <t>Retail Transmission Rate - Network Service Rate</t>
  </si>
  <si>
    <t>Total Deferral/Variance Account Rate Riders</t>
  </si>
  <si>
    <t>Rate Rider for Disposition of Deferral/Variance Accounts (2019) - effective until April 30, 2019</t>
  </si>
  <si>
    <t>GA Rate Riders</t>
  </si>
  <si>
    <t>Rate Rider for Disposition of Global Adjustment Account (2019) - effective until April 30, 2019
      Applicable only for Non-RPP Customers</t>
  </si>
  <si>
    <t>Low Voltage Service Charge</t>
  </si>
  <si>
    <t>Low Voltage Service Rate</t>
  </si>
  <si>
    <t>Distribution Volumetric Rate</t>
  </si>
  <si>
    <t>Monthly Service Charge</t>
  </si>
  <si>
    <t>Service Charge (per connection)</t>
  </si>
  <si>
    <t>Unless specifically noted, this schedule does not contain any charges for the electricity commodity, be it under the Regulated Price Plan, a contract with a retailer or the wholesale market prices, as applicable.  In addition, the charges in the MONTHLY RATES AND CHARGES - Regulatory Component of this schedule do not apply to a customer that is an embedded wholesale market participant.</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</si>
  <si>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that required lighting times established in the approved Ontario Energy Board street lighting load shape template. Class B consumers are defined in accordance with O. Reg. 429/04. Further servicing details are available in the distributor's Conditions of Service.</t>
  </si>
  <si>
    <t>SENTINEL LIGHTING</t>
  </si>
  <si>
    <t>This classification applies to safety/security lighting with a Residential, General Service or Large Use customer. This is typically exterior lighting, and unmetered. Consumption is estimated based on the equipment rating and estimated hours of use. Class B consumers are defined in accordance with O. Reg. 429/04. Further servicing details are available in the distributor's Conditions of Service.</t>
  </si>
  <si>
    <t>SENTINEL LIGHTING SERVICE CLASSIFICATION</t>
  </si>
  <si>
    <t>UNMETERED SCATTERED LOAD SERVICE CLASSIFICATION</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</si>
  <si>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information/documentation with regard to electrical consumption of the unmetered load or periodic monitoring of actual consumption. Class B consumers are defined in accordance with O. Reg. 429/04. Further servicing details are available in the distributor's Conditions of Service.</t>
  </si>
  <si>
    <t>GENERAL SERVICE 50 TO 999 KW SERVICE CLASSIFICATION</t>
  </si>
  <si>
    <t>GENERAL SERVICE 1,000 TO 4,999 KW SERVICE CLASSIFICATION</t>
  </si>
  <si>
    <t>Retail Transmission Rate - Line and Transformation Connection Service Rate - Interval Metered &gt; 1,000 kW</t>
  </si>
  <si>
    <t>Retail Transmission Rate - Network Service Rate - Interval Metered &gt; 1,000 kW</t>
  </si>
  <si>
    <t>GENERAL SERVICE 50 TO 999 KW INTERVAL &lt;1000</t>
  </si>
  <si>
    <t>Retail Transmission Rate - Line and Transformation Connection Service Rate - Interval Metered &lt; 1,000 kW</t>
  </si>
  <si>
    <t>Retail Transmission Rate - Network Service Rate - Interval Metered &lt; 1,000 kW</t>
  </si>
  <si>
    <t>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</si>
  <si>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This classification applies to a non residential account whose average monthly maximum demand used for billing purposes is equal to or greater than, or is forecast to be equal to or greater than, 50 kW but less than 5,000 kW. Note that for the application of the Retail Transmission Rate - Network Service Rate and the Retail Transmission Rate - Line and Transformation Connection Service Rate the following sub-classifications apply:                                                                                                                                                                                                                                                                                     - General Service 50 to 1,000 non-interval metered                                                                                                                                                                                                                                                                - General Service 50 to 1,000 interval metered                                                                                                                                                                                                                                                                        - General Service &gt; 1,000 to 5,000 kW interval metered                                                                                                                                                                                                                                                 Class A and Class B consumers are defined in accordance with O. Reg. 429/04. Further servicing details are available in the distributor's Conditions of Service.</t>
  </si>
  <si>
    <t>GENERAL SERVICE 50 TO 4,999 KW SERVICE CLASSIFICATION</t>
  </si>
  <si>
    <t>Smart Meter Entity Charge (if applicable)</t>
  </si>
  <si>
    <t>Rate Rider for Smart Metering Entity Charge - effective until December 31, 2022</t>
  </si>
  <si>
    <t>Fixed Rate Riders</t>
  </si>
  <si>
    <t>Rate Rider for Recovery of Smart Meter Incremental Revenue Requirement - effective until the date of the next cost of service-based rate order</t>
  </si>
  <si>
    <t>This classification applies to a non residential account taking electricity at 750 volts or less whose average monthly maximum demand is less than, or is forecast to be less than, 50 kW. Class B consumers are defined in accordance with O. Reg. 429/04. Further servicing details are available in the distributor's Conditions of Service.</t>
  </si>
  <si>
    <t>GENERAL SERVICE LESS THAN 50 KW SERVICE CLASSIFICATION</t>
  </si>
  <si>
    <t>RESIDENTIAL SERVICE CLASSIFICATION</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</si>
  <si>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Class B consumers are defined in accordance with O. Reg. 429/04. Further servicing details are available in the distributor’s Conditions of Service.</t>
  </si>
  <si>
    <t>EB-2017-0030</t>
  </si>
  <si>
    <t>approved schedules of Rates, Charges and Loss Factors</t>
  </si>
  <si>
    <t>This schedule supersedes and replaces all previously</t>
  </si>
  <si>
    <t>Effective and Implementation Date May 1, 2018</t>
  </si>
  <si>
    <t>TARIFF OF RATES AND CHARGES</t>
  </si>
  <si>
    <t>For Former Brant County Power Service Area</t>
  </si>
  <si>
    <t>Energy+ Inc.</t>
  </si>
  <si>
    <t>If your utility's DRC differs from the value in Cell D29, please update this value.</t>
  </si>
  <si>
    <t>Debt Retirement Charge (DRC)</t>
  </si>
  <si>
    <t>On-Peak</t>
  </si>
  <si>
    <t>Mid-Peak</t>
  </si>
  <si>
    <t>Off-Peak</t>
  </si>
  <si>
    <t xml:space="preserve">As of </t>
  </si>
  <si>
    <t>Time-of-Use RPP Prices</t>
  </si>
  <si>
    <t>Ontario Electricity Support Program (OESP)</t>
  </si>
  <si>
    <t>Proposed</t>
  </si>
  <si>
    <t>Regulatory Charges</t>
  </si>
  <si>
    <t>Update the following rates if an OEB Decision has been issued at the time of completing this application</t>
  </si>
  <si>
    <t>Total Loss Factor - Primary Metered Customer &gt; 5,000 kW</t>
  </si>
  <si>
    <t>Total Loss Factor - Secondary Metered Customer &gt; 5,000 kW</t>
  </si>
  <si>
    <t>Service call - customer-owned equipment - after regular hours</t>
  </si>
  <si>
    <t>Specific charge for access to the power poles - $/pole/year                                                                                                                                                                                                                                                                                                                                               (with the exception of wireless attachments)</t>
  </si>
  <si>
    <t>Install/Remove Load Control Device - after regular hours</t>
  </si>
  <si>
    <t>Install/Remove Load Control Device - during regular hours</t>
  </si>
  <si>
    <t>Collection of account charge - no disconnection - during regular business hours</t>
  </si>
  <si>
    <t>Credit reference/credit check (plus credit agency costs)</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</si>
  <si>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</si>
  <si>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EMBEDDED DISTRIBUTOR - HONI #2</t>
  </si>
  <si>
    <t>Volumetric Rate Riders</t>
  </si>
  <si>
    <t>Rate Rider for Disposition of Account 1575 and 1576</t>
  </si>
  <si>
    <t>Rate Rider for Gain on Sale of Property</t>
  </si>
  <si>
    <t>Rate Rider for Disposition of Deferral/Variance Group 2 Accounts</t>
  </si>
  <si>
    <t>Rate Rider for Disposition of Capacity Based Recovery Account (2018) - effective until April 30, 2019 
     Applicable only for Class B Customers</t>
  </si>
  <si>
    <t>Rate Rider for Disposition of Deferral/Variance Accounts (2019) - effective until Dec 31, 2019</t>
  </si>
  <si>
    <t>Rate Rider for Disposition of Deferral/Variance Accounts (2018) - effective until April 30, 2019</t>
  </si>
  <si>
    <t>Rate Rider for Disposition of Global Adjustment Account (2019) - effective until Dec 31, 2019
      Applicable only for Non-RPP Customers</t>
  </si>
  <si>
    <t>Rate Rider for Disposition of Global Adjustment Account (2018) - effective until April 30, 2019
      Applicable only for Non-RPP Customers</t>
  </si>
  <si>
    <t>Monthly Distribution Wheeling Service Rate - Waterloo North Hydro</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</si>
  <si>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</si>
  <si>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This classification applies to an electricity distributor licenced by the Ontario Energy Board, that is provided electricity by means of this distributor's facilities. Further servicing details are available in the distributor's Conditions of Service.</t>
  </si>
  <si>
    <t>EMBEDDED DISTRIBUTOR SERVICE CLASSIFICATION - HYDRO ONE #2</t>
  </si>
  <si>
    <t>EMBEDDED DISTRIBUTOR - HONI #1</t>
  </si>
  <si>
    <t>EMBEDDED DISTRIBUTOR SERVICE CLASSIFICATION - HYDRO ONE #1</t>
  </si>
  <si>
    <t>EMBEDDED DISTRIBUTOR - BPI</t>
  </si>
  <si>
    <t>EMBEDDED DISTRIBUTOR SERVICE CLASSIFICATION - BRANTFORD</t>
  </si>
  <si>
    <t>Rate Rider for Calcualtion for Accouunts 1568</t>
  </si>
  <si>
    <t>Rate Rider for Disposition of Capacity Based Recovery Account (2018) - effective until April 30, 2019 Applicable only for Class B Customers</t>
  </si>
  <si>
    <t>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</si>
  <si>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This classification refers to an account for roadway lighting with a Municipality, Regional Municipality, Ministry of Transportation and private roadway lighting operation,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</si>
  <si>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This classification refers to an account taking electricity at 750 volts or less whose average monthly peak demand is less than, or is forecast to be less than, 50kW and the consumption is unmetered.  Such connections include cable TV power packs, bus shelters, telephone booths, traffic lights, railway crossings, etc.  The customer will provide detailed manufacturer information/documentation with regard to electrical demand/consumption of the proposed unmetered load.  Class B consumers are defined in accordance with O. Reg. 429/04. Further servicing details are available in the distributor's Conditions of Service.</t>
  </si>
  <si>
    <t>Rate Rider for Disposition of Deferral/Variance Accounts (2019) - effective until Dec 31, 2019
      Applicable only for Non-Wholesale Market Participants</t>
  </si>
  <si>
    <t>The rate rider for the disposition of Global Adjustment is only applicable to non-RPP Class B customers. It is not applicable to Wholesale Market Participant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</si>
  <si>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General Service refers to the supply of electrical energy to business customers, to bulk-metered residential buildings and to combined residential and business or residential and agricultural buildings.  Apartment buildings that are bulk metered will be billed at the appropriate General Service rate.  This classification refers to a non-residential account whose average monthly peak demand is equal to or greater than, or is forecast to be equal to or greater than, 1,000 kW but less than 5,000 kW.  Class A and Class B consumers are defined in accordance with O. Reg. 429/04. Further servicing details are available in the distributor's Conditions of Service.</t>
  </si>
  <si>
    <t>Retail Transmission Rate - Line and Transformation Connection Service Rate  - Interval &lt;1000 kW</t>
  </si>
  <si>
    <t>Retail Transmission Rate - Network Service Rate - Interval &lt;1000 kW</t>
  </si>
  <si>
    <t>Rate Rider for Smart Meter (MIST Meter)</t>
  </si>
  <si>
    <t>General Service refers to the supply of electrical energy to business customers, to bulk-metered residential buildings and to combined residential and business or residential and agricultural buildings.  Apartment buildings that are bulk metered will be billed at the appropriate General Service rate.  This classification refers to a non-residential account whose average monthly peak demand is equal to or greater than, or is forecast to be equal to or greater than, 50 kW but less than 1,000 kW.  Class B consumers are defined in accordance with O.Reg. 429/04. Further servicing details are available in the distributor's Conditions of Service.</t>
  </si>
  <si>
    <t>Rate Rider for Smart Meter Capital &amp; Stranded Meters</t>
  </si>
  <si>
    <t>Smart Metering Entity Charge - effective until December 31, 2022</t>
  </si>
  <si>
    <t>General Service refers to the supply of electrical energy to business customers, to bulk-metered residential buildings and to combined residential and business or residential and agricultural buildings.  Apartment buildings that are bulk metered will be billed at the appropriate General Service rate.  This classification refers to a non-residential account taking electricity at 750 volts or less whose average monthly peak demand is less than, or is forecast to be less than, 50 kW. Class B consumers are defined in accordance with O. Reg. 429/04. Further servicing details are available in the distributor's Conditions of Service.</t>
  </si>
  <si>
    <t>Residential refers to the supply of electrical energy to detached, semi-detached and row-housing units (freehold or condominium).  This classification typically refers to an account taking electricity at 750 volts or less where electricity is used exclusively in a separate metered living accommodation.  Customers shall be residing in single-dwelling units that consist of a detached house or one unit of a semi-detached, duplex, triplex, or quadruplex house, with a residential zoning.  Separate metered dwellings within a town house complex, condominium, or apartment building also qualify as residential customers.  Class B consumers are defined in accordance with O. Reg. 429/04. Further servicing details are available in the distributor's Conditions of Service.</t>
  </si>
  <si>
    <t>EB-2018-0028</t>
  </si>
  <si>
    <t>Effective and Implementation January 1, 2019</t>
  </si>
  <si>
    <t xml:space="preserve">For Former Cambridge and North Dumfries Hydro Service Area </t>
  </si>
  <si>
    <t>Non-RPP (Other)</t>
  </si>
  <si>
    <t>Total Bill on Average IESO Wholesale Market Price</t>
  </si>
  <si>
    <t>Non-RPP (Other)_TOTAL</t>
  </si>
  <si>
    <t>8% Rebate</t>
  </si>
  <si>
    <t>HST</t>
  </si>
  <si>
    <t>Global Adjustment</t>
  </si>
  <si>
    <t>Commodity</t>
  </si>
  <si>
    <t>Non-RPP (Retailer)</t>
  </si>
  <si>
    <t>TOU - On Peak</t>
  </si>
  <si>
    <t>RPP</t>
  </si>
  <si>
    <t>TOU - Mid Peak</t>
  </si>
  <si>
    <t>TOU - Off Peak</t>
  </si>
  <si>
    <t>Sub-Total C - Delivery (including Sub-Total B)</t>
  </si>
  <si>
    <t>ST_C</t>
  </si>
  <si>
    <t>Sub-Total B - Distribution (includes Sub-Total A)</t>
  </si>
  <si>
    <t>ST_B</t>
  </si>
  <si>
    <t>Line Losses on Cost of Power</t>
  </si>
  <si>
    <t>Sub-Total A (excluding pass through)</t>
  </si>
  <si>
    <t>ST_A</t>
  </si>
  <si>
    <t>($)</t>
  </si>
  <si>
    <t>% Change</t>
  </si>
  <si>
    <t>$ Change</t>
  </si>
  <si>
    <t>Charge</t>
  </si>
  <si>
    <t>Volume</t>
  </si>
  <si>
    <t>Rate</t>
  </si>
  <si>
    <t>Impact</t>
  </si>
  <si>
    <t>Current OEB-Approved</t>
  </si>
  <si>
    <t>Proposed/Approved Loss Factor</t>
  </si>
  <si>
    <t>Current Loss Factor</t>
  </si>
  <si>
    <t>kW</t>
  </si>
  <si>
    <t>Demand</t>
  </si>
  <si>
    <t>kWh</t>
  </si>
  <si>
    <t>Consumption</t>
  </si>
  <si>
    <t>RPP / Non-RPP:</t>
  </si>
  <si>
    <t>X</t>
  </si>
  <si>
    <t>Customer Class:</t>
  </si>
  <si>
    <t>Total Bill on TOU</t>
  </si>
  <si>
    <t>Total Bill on TOU (before Taxes)</t>
  </si>
  <si>
    <t>Total Bill on Non-RPP Avg. Price</t>
  </si>
  <si>
    <t>Non-RPP (Retailer)_TOTAL</t>
  </si>
  <si>
    <t>RPP_TOTAL</t>
  </si>
  <si>
    <t>Average IESO Wholesale Market Price</t>
  </si>
  <si>
    <t>Non-RPP Retailer Avg. Price</t>
  </si>
  <si>
    <t xml:space="preserve">Ontario Electricity Support Program 
(OESP) </t>
  </si>
  <si>
    <t>C</t>
  </si>
  <si>
    <t>B</t>
  </si>
  <si>
    <t>A</t>
  </si>
  <si>
    <t>Total (After Tax)</t>
  </si>
  <si>
    <t>Sub-Total</t>
  </si>
  <si>
    <t>Units</t>
  </si>
  <si>
    <r>
      <t xml:space="preserve">RATE CLASSES / CATEGORIES 
</t>
    </r>
    <r>
      <rPr>
        <b/>
        <i/>
        <sz val="9"/>
        <rFont val="Arial"/>
        <family val="2"/>
      </rPr>
      <t>(eg: Residential TOU, Residential Retailer)</t>
    </r>
  </si>
  <si>
    <t>Table 2</t>
  </si>
  <si>
    <t>Add additional scenarios if required</t>
  </si>
  <si>
    <t xml:space="preserve"> </t>
  </si>
  <si>
    <t>N/A</t>
  </si>
  <si>
    <t>GENERAL SERVICE LESS THAN 50 kW SERVICE CLASSIFICATION</t>
  </si>
  <si>
    <t>Billing Determinant Applied to Fixed Charge for Unmetered Classes (e.g. # of devices/connections).</t>
  </si>
  <si>
    <r>
      <rPr>
        <b/>
        <sz val="10"/>
        <rFont val="Arial Black"/>
        <family val="2"/>
      </rPr>
      <t>RTSR</t>
    </r>
    <r>
      <rPr>
        <b/>
        <sz val="10"/>
        <rFont val="Arial"/>
        <family val="2"/>
      </rPr>
      <t xml:space="preserve">
Demand or 
Demand-Interval?</t>
    </r>
  </si>
  <si>
    <t>Demand kW
(if applicable)</t>
  </si>
  <si>
    <t>Consumption (kWh)</t>
  </si>
  <si>
    <t>Proposed Loss Factor</t>
  </si>
  <si>
    <r>
      <t xml:space="preserve">Current 
Loss Factor 
</t>
    </r>
    <r>
      <rPr>
        <b/>
        <sz val="8"/>
        <rFont val="Arial"/>
        <family val="2"/>
      </rPr>
      <t>(eg: 1.0351)</t>
    </r>
  </si>
  <si>
    <t>RPP?
Non-RPP Retailer?
Non-RPP
Other?</t>
  </si>
  <si>
    <t>Table 1</t>
  </si>
  <si>
    <t>Note that cells with the highlighted color shown to the left indicate quantities that are loss adjusted.</t>
  </si>
  <si>
    <r>
      <t xml:space="preserve">The bill comparisons below must be provided for typical customers and consumption levels. Bill impacts must be provided for residential customers consuming 750 kWh per month and general service customers consuming 2,000 kWh per month and having a monthly demand of less than 50 kW. Include bill comparisons for Non-RPP (retailer) as well. </t>
    </r>
    <r>
      <rPr>
        <b/>
        <sz val="9.3000000000000007"/>
        <rFont val="Arial"/>
        <family val="2"/>
      </rPr>
      <t>The OEB has established that, when assessing the combined effects of the shift to fixed rates and other bill impacts associated with changes in the cost of distribution service, a utility shall evaluate the total bill impact for a low volume residential customer consuming at the distributor’s 10th consumption percentile19, to a minimum of 50 kWh per month. Refer to page 62 of Chapter 2 Filing Requirements For Electricity Distribution Rate Applications issued July 20, 2017.</t>
    </r>
    <r>
      <rPr>
        <sz val="9.3000000000000007"/>
        <rFont val="Arial"/>
        <family val="2"/>
      </rPr>
      <t xml:space="preserve">
For certain classes where one or more customers have unique consumption and demand patterns and which may be significantly impacted by the proposed rate changes, the distributor must show a typical comparison, and provide an explanation.
Note:  
1. For those classes that are not eligible for the RPP price, the weighted average price including Class B GA through end of May 2017 of $0.113/kWh (IESO's Monthly Market Report for May 2017, page 22) has been used to represent the cost of power. For those classes on a retailer contract, applicants should enter the contract price (plus GA) for a more accurate estimate. Changes to the cost of power can be made directly on the bill impact chart for the specific class.
2. Due to the change to energy consumption used in the calculation of GA rate riders for the 2018 rate year, the separate “GA Rate Riders” line is only applicable to the “Proposed” section of the bill impact tables.
3. Please enter the applicable billing determinant (e.g. number of connections or devices) to be applied to the monthly service charge for unmetered rate classes in column N. If the monthly service charge is applied on a per customer basis, enter the number “1”. Distributors should provide the number of connections or devices reflective of a typical customer in each class.</t>
    </r>
  </si>
  <si>
    <t>YES</t>
  </si>
  <si>
    <t>a</t>
  </si>
  <si>
    <t xml:space="preserve">Utility Name   </t>
  </si>
  <si>
    <t>Service Territory</t>
  </si>
  <si>
    <t>Assigned EB Number</t>
  </si>
  <si>
    <t>Name of Contact and Title</t>
  </si>
  <si>
    <t>Sarah Hughes, Chief Financial Officer, Finance</t>
  </si>
  <si>
    <t xml:space="preserve">Phone Number   </t>
  </si>
  <si>
    <t>519-621-8405 ext 2638</t>
  </si>
  <si>
    <t xml:space="preserve">Email Address   </t>
  </si>
  <si>
    <t>shughes@energyplus.ca</t>
  </si>
  <si>
    <t xml:space="preserve">We are applying for rates effective   </t>
  </si>
  <si>
    <t>Rate-Setting Method</t>
  </si>
  <si>
    <t>Cost of Service</t>
  </si>
  <si>
    <r>
      <t>Please indicate in which Rate Year the Group 1 accounts were last cleared</t>
    </r>
    <r>
      <rPr>
        <b/>
        <vertAlign val="superscript"/>
        <sz val="11"/>
        <color theme="1"/>
        <rFont val="Arial"/>
        <family val="2"/>
      </rPr>
      <t>1</t>
    </r>
  </si>
  <si>
    <t>Please indicate the last Cost of Service 
Re-Basing Year</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</si>
  <si>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</si>
  <si>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</si>
  <si>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</si>
  <si>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</si>
  <si>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Note:  
1.  Rate year of application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</si>
</sst>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_(&quot;$&quot;* \(#,##0.00\);_(&quot;$&quot;* &quot;-&quot;??_);_(@_)"/>
    <numFmt numFmtId="43" formatCode="_(* #,##0.00_);_(* \(#,##0.00\);_(* &quot;-&quot;??_);_(@_)"/>
    <numFmt numFmtId="164" formatCode="#,##0.0000;[Red]\(#,##0.0000\)"/>
    <numFmt numFmtId="165" formatCode="#,##0.00;[Red]\(#,##0.00\)"/>
    <numFmt numFmtId="166" formatCode="0.00;\ \(0.00\)"/>
    <numFmt numFmtId="167" formatCode="_(* #,##0.0000_);_(* \(#,##0.0000\);_(* &quot;-&quot;??_);_(@_)"/>
    <numFmt numFmtId="168" formatCode="[$-1009]mmmm\ d\,\ yyyy;@"/>
    <numFmt numFmtId="169" formatCode="_(* #,##0.0000_);_(* \(#,##0.0000\);_(* &quot;-&quot;????_);_(@_)"/>
    <numFmt numFmtId="170" formatCode="_-&quot;$&quot;* #,##0.0000_-;\-&quot;$&quot;* #,##0.0000_-;_-&quot;$&quot;* &quot;-&quot;??_-;_-@_-"/>
    <numFmt numFmtId="171" formatCode="_-* #,##0_-;\-* #,##0_-;_-* &quot;-&quot;??_-;_-@_-"/>
    <numFmt numFmtId="172" formatCode="0.0000"/>
    <numFmt numFmtId="173" formatCode="_-&quot;$&quot;* #,##0.00_-;\-&quot;$&quot;* #,##0.00_-;_-&quot;$&quot;* &quot;-&quot;??_-;_-@_-"/>
    <numFmt numFmtId="174" formatCode="0.0%"/>
    <numFmt numFmtId="175" formatCode="[$-F800]dddd\,\ mmmm\ dd\,\ yyyy"/>
  </numFmts>
  <fonts count="41"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1"/>
      <color theme="0"/>
      <name val="Calibri"/>
      <family val="2"/>
      <scheme val="minor"/>
    </font>
    <font>
      <sz val="8"/>
      <color theme="1"/>
      <name val="Arial"/>
      <family val="2"/>
    </font>
    <font>
      <sz val="14"/>
      <color theme="1"/>
      <name val="Calibri"/>
      <family val="2"/>
      <scheme val="minor"/>
    </font>
    <font>
      <b/>
      <sz val="14"/>
      <color theme="1"/>
      <name val="Arial"/>
      <family val="2"/>
    </font>
    <font>
      <sz val="9"/>
      <color theme="1"/>
      <name val="Arial"/>
      <family val="2"/>
    </font>
    <font>
      <b/>
      <sz val="10"/>
      <color theme="1"/>
      <name val="Arial"/>
      <family val="2"/>
    </font>
    <font>
      <sz val="8"/>
      <name val="Arial"/>
      <family val="2"/>
    </font>
    <font>
      <sz val="10"/>
      <color theme="1"/>
      <name val="Arial"/>
      <family val="2"/>
    </font>
    <font>
      <sz val="14"/>
      <color theme="1"/>
      <name val="Arial"/>
      <family val="2"/>
    </font>
    <font>
      <b/>
      <sz val="8"/>
      <color theme="1"/>
      <name val="Arial"/>
      <family val="2"/>
    </font>
    <font>
      <b/>
      <sz val="12"/>
      <color theme="1"/>
      <name val="Arial"/>
      <family val="2"/>
    </font>
    <font>
      <b/>
      <sz val="18"/>
      <color theme="1"/>
      <name val="Arial"/>
      <family val="2"/>
    </font>
    <font>
      <b/>
      <i/>
      <sz val="10"/>
      <color theme="1"/>
      <name val="Arial"/>
      <family val="2"/>
    </font>
    <font>
      <sz val="10"/>
      <name val="Arial"/>
      <family val="2"/>
    </font>
    <font>
      <sz val="10"/>
      <color theme="0"/>
      <name val="Arial"/>
      <family val="2"/>
    </font>
    <font>
      <b/>
      <sz val="10"/>
      <name val="Arial"/>
      <family val="2"/>
    </font>
    <font>
      <b/>
      <sz val="10"/>
      <color theme="3"/>
      <name val="Arial"/>
      <family val="2"/>
    </font>
    <font>
      <b/>
      <sz val="12"/>
      <name val="Arial"/>
      <family val="2"/>
    </font>
    <font>
      <b/>
      <sz val="9"/>
      <name val="Arial"/>
      <family val="2"/>
    </font>
    <font>
      <b/>
      <sz val="10"/>
      <color rgb="FFFF0000"/>
      <name val="Arial"/>
      <family val="2"/>
    </font>
    <font>
      <b/>
      <sz val="10"/>
      <color theme="3" tint="-0.249977111117893"/>
      <name val="Arial"/>
      <family val="2"/>
    </font>
    <font>
      <b/>
      <i/>
      <sz val="9"/>
      <name val="Arial"/>
      <family val="2"/>
    </font>
    <font>
      <u/>
      <sz val="10"/>
      <color indexed="12"/>
      <name val="Arial"/>
      <family val="2"/>
    </font>
    <font>
      <b/>
      <sz val="10"/>
      <color rgb="FFFF0000"/>
      <name val="Arial Black"/>
      <family val="2"/>
    </font>
    <font>
      <b/>
      <sz val="10"/>
      <name val="Arial Black"/>
      <family val="2"/>
    </font>
    <font>
      <b/>
      <sz val="8"/>
      <name val="Arial"/>
      <family val="2"/>
    </font>
    <font>
      <sz val="9.3000000000000007"/>
      <name val="Arial"/>
      <family val="2"/>
    </font>
    <font>
      <b/>
      <sz val="9.3000000000000007"/>
      <name val="Arial"/>
      <family val="2"/>
    </font>
    <font>
      <b/>
      <sz val="14"/>
      <name val="Arial"/>
      <family val="2"/>
    </font>
    <font>
      <sz val="14"/>
      <name val="Arial"/>
      <family val="2"/>
    </font>
    <font>
      <sz val="14"/>
      <color theme="0"/>
      <name val="Arial"/>
      <family val="2"/>
    </font>
    <font>
      <sz val="16"/>
      <color indexed="12"/>
      <name val="Algerian"/>
      <family val="5"/>
    </font>
    <font>
      <sz val="16"/>
      <color theme="0"/>
      <name val="Algerian"/>
      <family val="5"/>
    </font>
    <font>
      <b/>
      <sz val="11"/>
      <color theme="1"/>
      <name val="Arial"/>
      <family val="2"/>
    </font>
    <font>
      <sz val="11"/>
      <color theme="1"/>
      <name val="Arial"/>
      <family val="2"/>
    </font>
    <font>
      <b/>
      <vertAlign val="superscript"/>
      <sz val="11"/>
      <color theme="1"/>
      <name val="Arial"/>
      <family val="2"/>
    </font>
    <font>
      <b/>
      <u/>
      <sz val="10"/>
      <name val="Arial"/>
      <family val="2"/>
    </font>
  </fonts>
  <fills count="18">
    <fill>
      <patternFill patternType="none"/>
    </fill>
    <fill>
      <patternFill patternType="gray125"/>
    </fill>
    <fill>
      <patternFill patternType="solid">
        <fgColor theme="0"/>
        <bgColor indexed="64"/>
      </patternFill>
    </fill>
    <fill>
      <patternFill patternType="solid">
        <fgColor theme="6" tint="0.7999511703848384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theme="0" tint="-0.14996795556505021"/>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79995117038483843"/>
        <bgColor indexed="64"/>
      </patternFill>
    </fill>
    <fill>
      <patternFill patternType="solid">
        <fgColor rgb="FFFFFF00"/>
        <bgColor indexed="64"/>
      </patternFill>
    </fill>
    <fill>
      <patternFill patternType="solid">
        <fgColor indexed="9"/>
        <bgColor indexed="64"/>
      </patternFill>
    </fill>
  </fills>
  <borders count="30">
    <border>
      <left/>
      <right/>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style="thick">
        <color theme="0" tint="-0.34998626667073579"/>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7">
    <xf numFmtId="0" fontId="0" fillId="0" borderId="0"/>
    <xf numFmtId="43" fontId="1" fillId="0" borderId="0" applyFont="0" applyFill="0" applyBorder="0" applyAlignment="0" applyProtection="0"/>
    <xf numFmtId="0" fontId="17" fillId="0" borderId="0"/>
    <xf numFmtId="9"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0" fontId="26" fillId="0" borderId="0" applyNumberFormat="0" applyFill="0" applyBorder="0" applyAlignment="0" applyProtection="0">
      <alignment vertical="top"/>
      <protection locked="0"/>
    </xf>
  </cellStyleXfs>
  <cellXfs count="296">
    <xf numFmtId="0" fontId="0" fillId="0" borderId="0" xfId="0"/>
    <xf numFmtId="0" fontId="4" fillId="0" borderId="0" xfId="0" applyFont="1"/>
    <xf numFmtId="0" fontId="0" fillId="0" borderId="0" xfId="0" applyAlignment="1">
      <alignment horizontal="left" vertical="center"/>
    </xf>
    <xf numFmtId="164" fontId="5" fillId="2" borderId="0" xfId="0" applyNumberFormat="1" applyFont="1" applyFill="1" applyAlignment="1">
      <alignment horizontal="left" vertical="center"/>
    </xf>
    <xf numFmtId="0" fontId="5" fillId="2" borderId="0" xfId="0" applyFont="1" applyFill="1" applyAlignment="1">
      <alignment horizontal="left" vertical="center"/>
    </xf>
    <xf numFmtId="0" fontId="6" fillId="2" borderId="0" xfId="0" applyFont="1" applyFill="1" applyAlignment="1">
      <alignment horizontal="left" vertical="center"/>
    </xf>
    <xf numFmtId="0" fontId="7" fillId="2" borderId="0" xfId="0" applyFont="1" applyFill="1" applyAlignment="1">
      <alignment horizontal="left" vertical="center" wrapText="1"/>
    </xf>
    <xf numFmtId="165" fontId="5" fillId="2" borderId="0" xfId="0" applyNumberFormat="1" applyFont="1" applyFill="1" applyAlignment="1">
      <alignment horizontal="left" vertical="center"/>
    </xf>
    <xf numFmtId="0" fontId="5" fillId="2" borderId="0" xfId="0" applyFont="1" applyFill="1" applyAlignment="1">
      <alignment horizontal="left" vertical="center" wrapText="1"/>
    </xf>
    <xf numFmtId="166" fontId="5" fillId="2" borderId="0" xfId="0" applyNumberFormat="1" applyFont="1" applyFill="1" applyAlignment="1">
      <alignment horizontal="left" vertical="center"/>
    </xf>
    <xf numFmtId="0" fontId="8" fillId="2" borderId="0" xfId="0" applyFont="1" applyFill="1" applyAlignment="1">
      <alignment horizontal="left" vertical="center" wrapText="1"/>
    </xf>
    <xf numFmtId="167" fontId="4" fillId="0" borderId="0" xfId="1" applyNumberFormat="1" applyFont="1"/>
    <xf numFmtId="0" fontId="0" fillId="2" borderId="0" xfId="0" applyFill="1" applyAlignment="1">
      <alignment horizontal="left" vertical="center"/>
    </xf>
    <xf numFmtId="0" fontId="9" fillId="2" borderId="0" xfId="0" applyFont="1" applyFill="1" applyAlignment="1">
      <alignment horizontal="left" vertical="center" wrapText="1"/>
    </xf>
    <xf numFmtId="165" fontId="10" fillId="2" borderId="0" xfId="0" applyNumberFormat="1" applyFont="1" applyFill="1" applyBorder="1" applyAlignment="1" applyProtection="1">
      <alignment horizontal="left" vertical="center"/>
      <protection locked="0"/>
    </xf>
    <xf numFmtId="0" fontId="11" fillId="2" borderId="0" xfId="0" applyFont="1" applyFill="1" applyAlignment="1">
      <alignment horizontal="left" vertical="center" wrapText="1"/>
    </xf>
    <xf numFmtId="0" fontId="8" fillId="2" borderId="0" xfId="0" applyFont="1" applyFill="1" applyAlignment="1">
      <alignment horizontal="left" vertical="center"/>
    </xf>
    <xf numFmtId="0" fontId="6" fillId="0" borderId="0" xfId="0" applyFont="1" applyAlignment="1">
      <alignment horizontal="left" vertical="center"/>
    </xf>
    <xf numFmtId="164" fontId="0" fillId="3" borderId="1" xfId="0" applyNumberFormat="1" applyFill="1" applyBorder="1" applyProtection="1">
      <protection locked="0"/>
    </xf>
    <xf numFmtId="0" fontId="0" fillId="0" borderId="2" xfId="0" applyBorder="1" applyProtection="1"/>
    <xf numFmtId="0" fontId="0" fillId="0" borderId="3" xfId="0" applyBorder="1" applyAlignment="1" applyProtection="1">
      <alignment wrapText="1"/>
    </xf>
    <xf numFmtId="0" fontId="0" fillId="0" borderId="0" xfId="0" applyProtection="1"/>
    <xf numFmtId="0" fontId="3" fillId="0" borderId="0" xfId="0" applyFont="1" applyBorder="1" applyAlignment="1" applyProtection="1">
      <alignment wrapText="1"/>
    </xf>
    <xf numFmtId="0" fontId="0" fillId="0" borderId="4" xfId="0" applyBorder="1" applyProtection="1"/>
    <xf numFmtId="0" fontId="3" fillId="0" borderId="0" xfId="0" applyFont="1" applyProtection="1"/>
    <xf numFmtId="164" fontId="0" fillId="3" borderId="1" xfId="0" applyNumberFormat="1" applyFill="1" applyBorder="1" applyAlignment="1" applyProtection="1">
      <alignment horizontal="right"/>
      <protection locked="0"/>
    </xf>
    <xf numFmtId="165" fontId="0" fillId="3" borderId="1" xfId="0" applyNumberFormat="1" applyFill="1" applyBorder="1" applyProtection="1">
      <protection locked="0"/>
    </xf>
    <xf numFmtId="0" fontId="4" fillId="0" borderId="0" xfId="1" applyNumberFormat="1" applyFont="1"/>
    <xf numFmtId="0" fontId="4" fillId="0" borderId="0" xfId="0" applyNumberFormat="1" applyFont="1"/>
    <xf numFmtId="0" fontId="0" fillId="2" borderId="0" xfId="0" applyFill="1" applyAlignment="1" applyProtection="1">
      <alignment horizontal="left" vertical="center"/>
      <protection locked="0"/>
    </xf>
    <xf numFmtId="0" fontId="0" fillId="2" borderId="0" xfId="0" applyFill="1" applyProtection="1">
      <protection locked="0"/>
    </xf>
    <xf numFmtId="164" fontId="5" fillId="5" borderId="0" xfId="0" applyNumberFormat="1" applyFont="1" applyFill="1" applyAlignment="1">
      <alignment horizontal="right"/>
    </xf>
    <xf numFmtId="165" fontId="5" fillId="5" borderId="0" xfId="0" applyNumberFormat="1" applyFont="1" applyFill="1" applyAlignment="1">
      <alignment horizontal="left" vertical="center"/>
    </xf>
    <xf numFmtId="0" fontId="5" fillId="6" borderId="0" xfId="0" applyFont="1" applyFill="1" applyAlignment="1">
      <alignment horizontal="left" vertical="center"/>
    </xf>
    <xf numFmtId="166" fontId="5" fillId="5" borderId="0" xfId="0" applyNumberFormat="1" applyFont="1" applyFill="1" applyAlignment="1">
      <alignment horizontal="left" vertical="center"/>
    </xf>
    <xf numFmtId="165" fontId="10" fillId="5" borderId="0" xfId="0" applyNumberFormat="1" applyFont="1" applyFill="1" applyBorder="1" applyAlignment="1" applyProtection="1">
      <alignment horizontal="left" vertical="center"/>
      <protection locked="0"/>
    </xf>
    <xf numFmtId="0" fontId="6" fillId="0" borderId="0" xfId="0" applyFont="1"/>
    <xf numFmtId="164" fontId="5" fillId="5" borderId="0" xfId="0" applyNumberFormat="1" applyFont="1" applyFill="1" applyAlignment="1">
      <alignment horizontal="left" vertical="center"/>
    </xf>
    <xf numFmtId="0" fontId="5" fillId="5" borderId="0" xfId="0" applyFont="1" applyFill="1" applyAlignment="1">
      <alignment horizontal="left" vertical="center" wrapText="1"/>
    </xf>
    <xf numFmtId="169" fontId="0" fillId="0" borderId="0" xfId="0" applyNumberFormat="1"/>
    <xf numFmtId="0" fontId="17" fillId="0" borderId="0" xfId="2" applyProtection="1">
      <protection locked="0"/>
    </xf>
    <xf numFmtId="0" fontId="18" fillId="0" borderId="0" xfId="2" applyFont="1" applyProtection="1">
      <protection locked="0"/>
    </xf>
    <xf numFmtId="10" fontId="17" fillId="7" borderId="5" xfId="3" applyNumberFormat="1" applyFill="1" applyBorder="1" applyAlignment="1" applyProtection="1">
      <alignment vertical="center"/>
      <protection locked="0"/>
    </xf>
    <xf numFmtId="44" fontId="17" fillId="7" borderId="4" xfId="2" applyNumberFormat="1" applyFill="1" applyBorder="1" applyAlignment="1" applyProtection="1">
      <alignment vertical="center"/>
      <protection locked="0"/>
    </xf>
    <xf numFmtId="44" fontId="17" fillId="7" borderId="2" xfId="4" applyFill="1" applyBorder="1" applyAlignment="1" applyProtection="1">
      <alignment vertical="center"/>
      <protection locked="0"/>
    </xf>
    <xf numFmtId="0" fontId="17" fillId="7" borderId="4" xfId="2" applyFill="1" applyBorder="1" applyAlignment="1" applyProtection="1">
      <alignment vertical="center"/>
      <protection locked="0"/>
    </xf>
    <xf numFmtId="170" fontId="17" fillId="7" borderId="4" xfId="4" applyNumberFormat="1" applyFill="1" applyBorder="1" applyAlignment="1" applyProtection="1">
      <alignment vertical="top"/>
      <protection locked="0"/>
    </xf>
    <xf numFmtId="0" fontId="17" fillId="7" borderId="6" xfId="2" applyFill="1" applyBorder="1" applyAlignment="1" applyProtection="1">
      <alignment vertical="center"/>
      <protection locked="0"/>
    </xf>
    <xf numFmtId="0" fontId="17" fillId="7" borderId="6" xfId="2" applyFill="1" applyBorder="1" applyAlignment="1" applyProtection="1">
      <alignment vertical="top"/>
      <protection locked="0"/>
    </xf>
    <xf numFmtId="0" fontId="17" fillId="7" borderId="7" xfId="2" applyFont="1" applyFill="1" applyBorder="1" applyProtection="1">
      <protection locked="0"/>
    </xf>
    <xf numFmtId="0" fontId="18" fillId="2" borderId="0" xfId="2" applyFont="1" applyFill="1" applyProtection="1">
      <protection locked="0"/>
    </xf>
    <xf numFmtId="10" fontId="19" fillId="5" borderId="8" xfId="3" applyNumberFormat="1" applyFont="1" applyFill="1" applyBorder="1" applyAlignment="1" applyProtection="1">
      <alignment vertical="center"/>
      <protection locked="0"/>
    </xf>
    <xf numFmtId="44" fontId="19" fillId="5" borderId="9" xfId="2" applyNumberFormat="1" applyFont="1" applyFill="1" applyBorder="1" applyAlignment="1" applyProtection="1">
      <alignment vertical="center"/>
      <protection locked="0"/>
    </xf>
    <xf numFmtId="44" fontId="19" fillId="5" borderId="10" xfId="2" applyNumberFormat="1" applyFont="1" applyFill="1" applyBorder="1" applyAlignment="1" applyProtection="1">
      <alignment vertical="center"/>
      <protection locked="0"/>
    </xf>
    <xf numFmtId="0" fontId="19" fillId="5" borderId="9" xfId="2" applyFont="1" applyFill="1" applyBorder="1" applyAlignment="1" applyProtection="1">
      <alignment vertical="center"/>
      <protection locked="0"/>
    </xf>
    <xf numFmtId="0" fontId="17" fillId="5" borderId="0" xfId="2" applyFont="1" applyFill="1" applyBorder="1" applyAlignment="1" applyProtection="1">
      <alignment vertical="center"/>
      <protection locked="0"/>
    </xf>
    <xf numFmtId="0" fontId="17" fillId="5" borderId="9" xfId="2" applyFont="1" applyFill="1" applyBorder="1" applyAlignment="1" applyProtection="1">
      <alignment vertical="top"/>
      <protection locked="0"/>
    </xf>
    <xf numFmtId="10" fontId="17" fillId="0" borderId="8" xfId="3" applyNumberFormat="1" applyFont="1" applyFill="1" applyBorder="1" applyAlignment="1" applyProtection="1">
      <alignment vertical="center"/>
      <protection locked="0"/>
    </xf>
    <xf numFmtId="44" fontId="17" fillId="0" borderId="9" xfId="2" applyNumberFormat="1" applyFont="1" applyFill="1" applyBorder="1" applyAlignment="1" applyProtection="1">
      <alignment vertical="center"/>
      <protection locked="0"/>
    </xf>
    <xf numFmtId="44" fontId="17" fillId="0" borderId="10" xfId="2" applyNumberFormat="1" applyFont="1" applyFill="1" applyBorder="1" applyAlignment="1" applyProtection="1">
      <alignment vertical="center"/>
      <protection locked="0"/>
    </xf>
    <xf numFmtId="9" fontId="17" fillId="0" borderId="9" xfId="2" applyNumberFormat="1" applyFont="1" applyFill="1" applyBorder="1" applyAlignment="1" applyProtection="1">
      <alignment vertical="center"/>
      <protection locked="0"/>
    </xf>
    <xf numFmtId="9" fontId="17" fillId="0" borderId="9" xfId="2" applyNumberFormat="1" applyFont="1" applyFill="1" applyBorder="1" applyAlignment="1" applyProtection="1">
      <alignment vertical="top"/>
      <protection locked="0"/>
    </xf>
    <xf numFmtId="9" fontId="17" fillId="0" borderId="0" xfId="2" applyNumberFormat="1" applyFont="1" applyFill="1" applyBorder="1" applyAlignment="1" applyProtection="1">
      <alignment vertical="center"/>
      <protection locked="0"/>
    </xf>
    <xf numFmtId="0" fontId="17" fillId="0" borderId="0" xfId="2" applyAlignment="1" applyProtection="1">
      <alignment vertical="top"/>
      <protection locked="0"/>
    </xf>
    <xf numFmtId="0" fontId="17" fillId="0" borderId="0" xfId="2" applyFont="1" applyFill="1" applyAlignment="1" applyProtection="1">
      <alignment horizontal="left" vertical="top" indent="1"/>
      <protection locked="0"/>
    </xf>
    <xf numFmtId="10" fontId="19" fillId="0" borderId="8" xfId="3" applyNumberFormat="1" applyFont="1" applyFill="1" applyBorder="1" applyAlignment="1" applyProtection="1">
      <alignment vertical="center"/>
      <protection locked="0"/>
    </xf>
    <xf numFmtId="44" fontId="19" fillId="0" borderId="9" xfId="2" applyNumberFormat="1" applyFont="1" applyFill="1" applyBorder="1" applyAlignment="1" applyProtection="1">
      <alignment vertical="center"/>
      <protection locked="0"/>
    </xf>
    <xf numFmtId="44" fontId="19" fillId="0" borderId="10" xfId="2" applyNumberFormat="1" applyFont="1" applyFill="1" applyBorder="1" applyAlignment="1" applyProtection="1">
      <alignment vertical="center"/>
      <protection locked="0"/>
    </xf>
    <xf numFmtId="9" fontId="19" fillId="0" borderId="9" xfId="2" applyNumberFormat="1" applyFont="1" applyFill="1" applyBorder="1" applyAlignment="1" applyProtection="1">
      <alignment vertical="center"/>
      <protection locked="0"/>
    </xf>
    <xf numFmtId="0" fontId="19" fillId="0" borderId="0" xfId="2" applyFont="1" applyFill="1" applyAlignment="1" applyProtection="1">
      <alignment vertical="top"/>
      <protection locked="0"/>
    </xf>
    <xf numFmtId="10" fontId="17" fillId="7" borderId="5" xfId="3" applyNumberFormat="1" applyFont="1" applyFill="1" applyBorder="1" applyAlignment="1" applyProtection="1">
      <alignment vertical="center"/>
      <protection locked="0"/>
    </xf>
    <xf numFmtId="44" fontId="17" fillId="7" borderId="11" xfId="2" applyNumberFormat="1" applyFont="1" applyFill="1" applyBorder="1" applyAlignment="1" applyProtection="1">
      <alignment vertical="center"/>
      <protection locked="0"/>
    </xf>
    <xf numFmtId="44" fontId="17" fillId="7" borderId="6" xfId="4" applyFont="1" applyFill="1" applyBorder="1" applyAlignment="1" applyProtection="1">
      <alignment vertical="center"/>
      <protection locked="0"/>
    </xf>
    <xf numFmtId="0" fontId="17" fillId="7" borderId="11" xfId="2" applyFont="1" applyFill="1" applyBorder="1" applyAlignment="1" applyProtection="1">
      <alignment vertical="center"/>
      <protection locked="0"/>
    </xf>
    <xf numFmtId="170" fontId="17" fillId="7" borderId="11" xfId="4" applyNumberFormat="1" applyFont="1" applyFill="1" applyBorder="1" applyAlignment="1" applyProtection="1">
      <alignment vertical="top"/>
      <protection locked="0"/>
    </xf>
    <xf numFmtId="0" fontId="17" fillId="7" borderId="4" xfId="2" applyFont="1" applyFill="1" applyBorder="1" applyAlignment="1" applyProtection="1">
      <alignment vertical="center"/>
      <protection locked="0"/>
    </xf>
    <xf numFmtId="0" fontId="17" fillId="0" borderId="0" xfId="2" applyFont="1" applyProtection="1">
      <protection locked="0"/>
    </xf>
    <xf numFmtId="10" fontId="11" fillId="0" borderId="8" xfId="3" applyNumberFormat="1" applyFont="1" applyBorder="1" applyAlignment="1" applyProtection="1">
      <alignment vertical="center"/>
      <protection locked="0"/>
    </xf>
    <xf numFmtId="44" fontId="17" fillId="0" borderId="9" xfId="2" applyNumberFormat="1" applyFont="1" applyBorder="1" applyAlignment="1" applyProtection="1">
      <alignment vertical="center"/>
      <protection locked="0"/>
    </xf>
    <xf numFmtId="44" fontId="17" fillId="0" borderId="8" xfId="4" applyFont="1" applyBorder="1" applyAlignment="1" applyProtection="1">
      <alignment vertical="center"/>
      <protection locked="0"/>
    </xf>
    <xf numFmtId="171" fontId="17" fillId="2" borderId="9" xfId="5" applyNumberFormat="1" applyFont="1" applyFill="1" applyBorder="1" applyAlignment="1" applyProtection="1">
      <alignment vertical="center"/>
      <protection locked="0"/>
    </xf>
    <xf numFmtId="170" fontId="20" fillId="8" borderId="9" xfId="4" applyNumberFormat="1" applyFont="1" applyFill="1" applyBorder="1" applyAlignment="1" applyProtection="1">
      <alignment horizontal="left" vertical="center"/>
      <protection locked="0"/>
    </xf>
    <xf numFmtId="0" fontId="17" fillId="2" borderId="0" xfId="2" applyFill="1" applyAlignment="1" applyProtection="1">
      <alignment vertical="top"/>
      <protection locked="0"/>
    </xf>
    <xf numFmtId="0" fontId="17" fillId="0" borderId="0" xfId="2" applyFont="1" applyAlignment="1" applyProtection="1">
      <alignment vertical="top"/>
      <protection locked="0"/>
    </xf>
    <xf numFmtId="10" fontId="11" fillId="9" borderId="8" xfId="3" applyNumberFormat="1" applyFont="1" applyFill="1" applyBorder="1" applyAlignment="1" applyProtection="1">
      <alignment vertical="center"/>
      <protection locked="0"/>
    </xf>
    <xf numFmtId="44" fontId="17" fillId="9" borderId="9" xfId="2" applyNumberFormat="1" applyFont="1" applyFill="1" applyBorder="1" applyAlignment="1" applyProtection="1">
      <alignment vertical="center"/>
      <protection locked="0"/>
    </xf>
    <xf numFmtId="44" fontId="17" fillId="9" borderId="8" xfId="4" applyFont="1" applyFill="1" applyBorder="1" applyAlignment="1" applyProtection="1">
      <alignment vertical="center"/>
      <protection locked="0"/>
    </xf>
    <xf numFmtId="0" fontId="17" fillId="9" borderId="8" xfId="2" applyFont="1" applyFill="1" applyBorder="1" applyAlignment="1" applyProtection="1">
      <alignment vertical="center"/>
      <protection locked="0"/>
    </xf>
    <xf numFmtId="170" fontId="20" fillId="9" borderId="9" xfId="4" applyNumberFormat="1" applyFont="1" applyFill="1" applyBorder="1" applyAlignment="1" applyProtection="1">
      <alignment horizontal="left" vertical="center"/>
      <protection locked="0"/>
    </xf>
    <xf numFmtId="0" fontId="17" fillId="9" borderId="9" xfId="2" applyFont="1" applyFill="1" applyBorder="1" applyAlignment="1" applyProtection="1">
      <alignment vertical="center"/>
      <protection locked="0"/>
    </xf>
    <xf numFmtId="170" fontId="19" fillId="9" borderId="9" xfId="4" applyNumberFormat="1" applyFont="1" applyFill="1" applyBorder="1" applyAlignment="1" applyProtection="1">
      <alignment horizontal="left" vertical="center"/>
      <protection locked="0"/>
    </xf>
    <xf numFmtId="171" fontId="17" fillId="10" borderId="9" xfId="5" applyNumberFormat="1" applyFont="1" applyFill="1" applyBorder="1" applyAlignment="1" applyProtection="1">
      <alignment vertical="center"/>
      <protection locked="0"/>
    </xf>
    <xf numFmtId="170" fontId="19" fillId="2" borderId="9" xfId="4" applyNumberFormat="1" applyFont="1" applyFill="1" applyBorder="1" applyAlignment="1" applyProtection="1">
      <alignment horizontal="left" vertical="center"/>
      <protection locked="0"/>
    </xf>
    <xf numFmtId="170" fontId="20" fillId="2" borderId="9" xfId="4" applyNumberFormat="1" applyFont="1" applyFill="1" applyBorder="1" applyAlignment="1" applyProtection="1">
      <alignment horizontal="left" vertical="center"/>
      <protection locked="0"/>
    </xf>
    <xf numFmtId="0" fontId="17" fillId="0" borderId="9" xfId="2" applyFont="1" applyFill="1" applyBorder="1" applyAlignment="1" applyProtection="1">
      <alignment vertical="center"/>
      <protection locked="0"/>
    </xf>
    <xf numFmtId="0" fontId="17" fillId="0" borderId="0" xfId="2" applyAlignment="1" applyProtection="1">
      <alignment vertical="top" wrapText="1"/>
      <protection locked="0"/>
    </xf>
    <xf numFmtId="10" fontId="19" fillId="11" borderId="12" xfId="3" applyNumberFormat="1" applyFont="1" applyFill="1" applyBorder="1" applyAlignment="1" applyProtection="1">
      <alignment vertical="center"/>
      <protection locked="0"/>
    </xf>
    <xf numFmtId="44" fontId="19" fillId="11" borderId="13" xfId="2" applyNumberFormat="1" applyFont="1" applyFill="1" applyBorder="1" applyAlignment="1" applyProtection="1">
      <alignment vertical="center"/>
      <protection locked="0"/>
    </xf>
    <xf numFmtId="0" fontId="19" fillId="11" borderId="12" xfId="2" applyFont="1" applyFill="1" applyBorder="1" applyAlignment="1" applyProtection="1">
      <alignment vertical="center"/>
      <protection locked="0"/>
    </xf>
    <xf numFmtId="0" fontId="20" fillId="11" borderId="13" xfId="2" applyFont="1" applyFill="1" applyBorder="1" applyAlignment="1" applyProtection="1">
      <alignment horizontal="left" vertical="center"/>
      <protection locked="0"/>
    </xf>
    <xf numFmtId="0" fontId="17" fillId="11" borderId="13" xfId="2" applyFont="1" applyFill="1" applyBorder="1" applyAlignment="1" applyProtection="1">
      <alignment vertical="center"/>
      <protection locked="0"/>
    </xf>
    <xf numFmtId="0" fontId="19" fillId="11" borderId="13" xfId="2" applyFont="1" applyFill="1" applyBorder="1" applyAlignment="1" applyProtection="1">
      <alignment horizontal="left" vertical="center"/>
      <protection locked="0"/>
    </xf>
    <xf numFmtId="0" fontId="17" fillId="11" borderId="14" xfId="2" applyFill="1" applyBorder="1" applyAlignment="1" applyProtection="1">
      <alignment vertical="top"/>
      <protection locked="0"/>
    </xf>
    <xf numFmtId="0" fontId="19" fillId="11" borderId="15" xfId="2" applyFont="1" applyFill="1" applyBorder="1" applyAlignment="1" applyProtection="1">
      <alignment vertical="top" wrapText="1"/>
      <protection locked="0"/>
    </xf>
    <xf numFmtId="0" fontId="17" fillId="0" borderId="16" xfId="2" applyBorder="1" applyAlignment="1" applyProtection="1">
      <alignment vertical="center" wrapText="1"/>
    </xf>
    <xf numFmtId="0" fontId="17" fillId="0" borderId="0" xfId="2" applyAlignment="1" applyProtection="1">
      <alignment vertical="center"/>
    </xf>
    <xf numFmtId="0" fontId="17" fillId="11" borderId="12" xfId="2" applyFont="1" applyFill="1" applyBorder="1" applyAlignment="1" applyProtection="1">
      <alignment vertical="center"/>
      <protection locked="0"/>
    </xf>
    <xf numFmtId="0" fontId="17" fillId="11" borderId="14" xfId="2" applyFill="1" applyBorder="1" applyProtection="1">
      <protection locked="0"/>
    </xf>
    <xf numFmtId="0" fontId="17" fillId="0" borderId="0" xfId="2" applyFont="1" applyAlignment="1" applyProtection="1">
      <alignment vertical="top"/>
    </xf>
    <xf numFmtId="171" fontId="17" fillId="0" borderId="9" xfId="5" applyNumberFormat="1" applyFont="1" applyFill="1" applyBorder="1" applyAlignment="1" applyProtection="1">
      <alignment vertical="center"/>
      <protection locked="0"/>
    </xf>
    <xf numFmtId="0" fontId="17" fillId="0" borderId="0" xfId="2" applyFont="1" applyFill="1" applyAlignment="1" applyProtection="1">
      <alignment vertical="top" wrapText="1"/>
    </xf>
    <xf numFmtId="170" fontId="20" fillId="11" borderId="13" xfId="4" applyNumberFormat="1" applyFont="1" applyFill="1" applyBorder="1" applyAlignment="1" applyProtection="1">
      <alignment horizontal="left" vertical="center"/>
      <protection locked="0"/>
    </xf>
    <xf numFmtId="170" fontId="19" fillId="11" borderId="13" xfId="4" applyNumberFormat="1" applyFont="1" applyFill="1" applyBorder="1" applyAlignment="1" applyProtection="1">
      <alignment horizontal="left" vertical="center"/>
      <protection locked="0"/>
    </xf>
    <xf numFmtId="0" fontId="19" fillId="11" borderId="15" xfId="2" applyFont="1" applyFill="1" applyBorder="1" applyAlignment="1" applyProtection="1">
      <alignment vertical="top"/>
      <protection locked="0"/>
    </xf>
    <xf numFmtId="0" fontId="17" fillId="0" borderId="0" xfId="2" applyFont="1" applyFill="1" applyProtection="1">
      <protection locked="0"/>
    </xf>
    <xf numFmtId="0" fontId="17" fillId="0" borderId="8" xfId="2" applyFont="1" applyFill="1" applyBorder="1" applyAlignment="1" applyProtection="1">
      <alignment vertical="center"/>
      <protection locked="0"/>
    </xf>
    <xf numFmtId="0" fontId="17" fillId="0" borderId="16" xfId="2" applyBorder="1" applyAlignment="1" applyProtection="1">
      <alignment vertical="top"/>
    </xf>
    <xf numFmtId="44" fontId="20" fillId="2" borderId="9" xfId="4" applyNumberFormat="1" applyFont="1" applyFill="1" applyBorder="1" applyAlignment="1" applyProtection="1">
      <alignment horizontal="left" vertical="center"/>
      <protection locked="0"/>
    </xf>
    <xf numFmtId="44" fontId="19" fillId="2" borderId="9" xfId="4" applyNumberFormat="1" applyFont="1" applyFill="1" applyBorder="1" applyAlignment="1" applyProtection="1">
      <alignment horizontal="left" vertical="center"/>
      <protection locked="0"/>
    </xf>
    <xf numFmtId="0" fontId="17" fillId="0" borderId="0" xfId="2" applyFill="1" applyBorder="1" applyAlignment="1" applyProtection="1">
      <alignment vertical="top"/>
    </xf>
    <xf numFmtId="0" fontId="17" fillId="0" borderId="0" xfId="2" applyBorder="1" applyAlignment="1" applyProtection="1">
      <alignment vertical="top"/>
    </xf>
    <xf numFmtId="0" fontId="19" fillId="0" borderId="17" xfId="2" quotePrefix="1" applyFont="1" applyBorder="1" applyAlignment="1" applyProtection="1">
      <alignment horizontal="center"/>
      <protection locked="0"/>
    </xf>
    <xf numFmtId="0" fontId="19" fillId="0" borderId="18" xfId="2" quotePrefix="1" applyFont="1" applyBorder="1" applyAlignment="1" applyProtection="1">
      <alignment horizontal="center"/>
      <protection locked="0"/>
    </xf>
    <xf numFmtId="0" fontId="19" fillId="0" borderId="8" xfId="2" applyFont="1" applyBorder="1" applyAlignment="1" applyProtection="1">
      <alignment horizontal="center"/>
      <protection locked="0"/>
    </xf>
    <xf numFmtId="0" fontId="19" fillId="0" borderId="19" xfId="2" applyFont="1" applyBorder="1" applyAlignment="1" applyProtection="1">
      <alignment horizontal="center"/>
      <protection locked="0"/>
    </xf>
    <xf numFmtId="0" fontId="19" fillId="0" borderId="20" xfId="2" applyFont="1" applyBorder="1" applyAlignment="1" applyProtection="1">
      <alignment horizontal="center"/>
      <protection locked="0"/>
    </xf>
    <xf numFmtId="0" fontId="19" fillId="0" borderId="0" xfId="2" applyFont="1" applyAlignment="1" applyProtection="1">
      <protection locked="0"/>
    </xf>
    <xf numFmtId="172" fontId="19" fillId="2" borderId="13" xfId="3" applyNumberFormat="1" applyFont="1" applyFill="1" applyBorder="1" applyProtection="1">
      <protection locked="0"/>
    </xf>
    <xf numFmtId="0" fontId="19" fillId="0" borderId="0" xfId="2" applyFont="1" applyAlignment="1" applyProtection="1">
      <alignment horizontal="right" vertical="center"/>
      <protection locked="0"/>
    </xf>
    <xf numFmtId="0" fontId="21" fillId="0" borderId="0" xfId="2" applyFont="1" applyAlignment="1" applyProtection="1">
      <alignment horizontal="center"/>
      <protection locked="0"/>
    </xf>
    <xf numFmtId="0" fontId="19" fillId="0" borderId="0" xfId="2" applyFont="1" applyAlignment="1" applyProtection="1">
      <alignment horizontal="center"/>
      <protection locked="0"/>
    </xf>
    <xf numFmtId="0" fontId="19" fillId="0" borderId="0" xfId="2" applyFont="1" applyAlignment="1" applyProtection="1">
      <alignment horizontal="left"/>
      <protection locked="0"/>
    </xf>
    <xf numFmtId="171" fontId="19" fillId="2" borderId="13" xfId="5" applyNumberFormat="1" applyFont="1" applyFill="1" applyBorder="1" applyAlignment="1" applyProtection="1">
      <alignment horizontal="center" vertical="center"/>
      <protection locked="0"/>
    </xf>
    <xf numFmtId="0" fontId="21" fillId="2" borderId="0" xfId="2" applyFont="1" applyFill="1" applyAlignment="1" applyProtection="1">
      <alignment vertical="center"/>
      <protection locked="0"/>
    </xf>
    <xf numFmtId="0" fontId="19" fillId="0" borderId="0" xfId="2" applyFont="1" applyProtection="1">
      <protection locked="0"/>
    </xf>
    <xf numFmtId="0" fontId="22" fillId="2" borderId="0" xfId="2" applyFont="1" applyFill="1" applyBorder="1" applyAlignment="1" applyProtection="1">
      <alignment vertical="top"/>
      <protection locked="0"/>
    </xf>
    <xf numFmtId="1" fontId="17" fillId="2" borderId="9" xfId="0" applyNumberFormat="1" applyFont="1" applyFill="1" applyBorder="1" applyAlignment="1" applyProtection="1">
      <alignment vertical="center"/>
    </xf>
    <xf numFmtId="170" fontId="20" fillId="0" borderId="9" xfId="4" applyNumberFormat="1" applyFont="1" applyFill="1" applyBorder="1" applyAlignment="1" applyProtection="1">
      <alignment horizontal="left" vertical="center"/>
      <protection locked="0"/>
    </xf>
    <xf numFmtId="170" fontId="19" fillId="0" borderId="9" xfId="4" applyNumberFormat="1" applyFont="1" applyFill="1" applyBorder="1" applyAlignment="1" applyProtection="1">
      <alignment horizontal="left" vertical="center"/>
      <protection locked="0"/>
    </xf>
    <xf numFmtId="10" fontId="11" fillId="11" borderId="8" xfId="3" applyNumberFormat="1" applyFont="1" applyFill="1" applyBorder="1" applyAlignment="1" applyProtection="1">
      <alignment vertical="center"/>
      <protection locked="0"/>
    </xf>
    <xf numFmtId="44" fontId="17" fillId="11" borderId="9" xfId="2" applyNumberFormat="1" applyFont="1" applyFill="1" applyBorder="1" applyAlignment="1" applyProtection="1">
      <alignment vertical="center"/>
      <protection locked="0"/>
    </xf>
    <xf numFmtId="44" fontId="17" fillId="11" borderId="8" xfId="4" applyFont="1" applyFill="1" applyBorder="1" applyAlignment="1" applyProtection="1">
      <alignment vertical="center"/>
      <protection locked="0"/>
    </xf>
    <xf numFmtId="171" fontId="17" fillId="11" borderId="9" xfId="5" applyNumberFormat="1" applyFont="1" applyFill="1" applyBorder="1" applyAlignment="1" applyProtection="1">
      <alignment vertical="center"/>
      <protection locked="0"/>
    </xf>
    <xf numFmtId="170" fontId="20" fillId="11" borderId="9" xfId="4" applyNumberFormat="1" applyFont="1" applyFill="1" applyBorder="1" applyAlignment="1" applyProtection="1">
      <alignment horizontal="left" vertical="center"/>
      <protection locked="0"/>
    </xf>
    <xf numFmtId="44" fontId="17" fillId="7" borderId="4" xfId="2" applyNumberFormat="1" applyFont="1" applyFill="1" applyBorder="1" applyAlignment="1" applyProtection="1">
      <alignment vertical="center"/>
      <protection locked="0"/>
    </xf>
    <xf numFmtId="44" fontId="17" fillId="7" borderId="2" xfId="4" applyFont="1" applyFill="1" applyBorder="1" applyAlignment="1" applyProtection="1">
      <alignment vertical="center"/>
      <protection locked="0"/>
    </xf>
    <xf numFmtId="170" fontId="17" fillId="7" borderId="4" xfId="4" applyNumberFormat="1" applyFont="1" applyFill="1" applyBorder="1" applyAlignment="1" applyProtection="1">
      <alignment vertical="top"/>
      <protection locked="0"/>
    </xf>
    <xf numFmtId="0" fontId="17" fillId="7" borderId="6" xfId="2" applyFont="1" applyFill="1" applyBorder="1" applyAlignment="1" applyProtection="1">
      <alignment vertical="center"/>
      <protection locked="0"/>
    </xf>
    <xf numFmtId="10" fontId="19" fillId="5" borderId="17" xfId="3" applyNumberFormat="1" applyFont="1" applyFill="1" applyBorder="1" applyAlignment="1" applyProtection="1">
      <alignment vertical="center"/>
      <protection locked="0"/>
    </xf>
    <xf numFmtId="44" fontId="19" fillId="5" borderId="18" xfId="2" applyNumberFormat="1" applyFont="1" applyFill="1" applyBorder="1" applyAlignment="1" applyProtection="1">
      <alignment vertical="center"/>
      <protection locked="0"/>
    </xf>
    <xf numFmtId="0" fontId="19" fillId="5" borderId="18" xfId="2" applyFont="1" applyFill="1" applyBorder="1" applyAlignment="1" applyProtection="1">
      <alignment vertical="center"/>
      <protection locked="0"/>
    </xf>
    <xf numFmtId="0" fontId="17" fillId="5" borderId="16" xfId="2" applyFont="1" applyFill="1" applyBorder="1" applyAlignment="1" applyProtection="1">
      <alignment vertical="center"/>
      <protection locked="0"/>
    </xf>
    <xf numFmtId="0" fontId="17" fillId="5" borderId="18" xfId="2" applyFont="1" applyFill="1" applyBorder="1" applyAlignment="1" applyProtection="1">
      <alignment vertical="top"/>
      <protection locked="0"/>
    </xf>
    <xf numFmtId="0" fontId="17" fillId="0" borderId="0" xfId="2" applyFont="1" applyFill="1" applyBorder="1" applyAlignment="1" applyProtection="1">
      <alignment vertical="center"/>
      <protection locked="0"/>
    </xf>
    <xf numFmtId="170" fontId="19" fillId="8" borderId="9" xfId="4" applyNumberFormat="1" applyFont="1" applyFill="1" applyBorder="1" applyAlignment="1" applyProtection="1">
      <alignment horizontal="left" vertical="center"/>
      <protection locked="0"/>
    </xf>
    <xf numFmtId="171" fontId="17" fillId="9" borderId="9" xfId="5" applyNumberFormat="1" applyFont="1" applyFill="1" applyBorder="1" applyAlignment="1" applyProtection="1">
      <alignment vertical="center"/>
      <protection locked="0"/>
    </xf>
    <xf numFmtId="170" fontId="24" fillId="9" borderId="9" xfId="4" applyNumberFormat="1" applyFont="1" applyFill="1" applyBorder="1" applyAlignment="1" applyProtection="1">
      <alignment horizontal="left" vertical="center"/>
      <protection locked="0"/>
    </xf>
    <xf numFmtId="44" fontId="19" fillId="11" borderId="12" xfId="2" applyNumberFormat="1" applyFont="1" applyFill="1" applyBorder="1" applyAlignment="1" applyProtection="1">
      <alignment vertical="center"/>
      <protection locked="0"/>
    </xf>
    <xf numFmtId="44" fontId="11" fillId="0" borderId="8" xfId="4" applyFont="1" applyBorder="1" applyAlignment="1" applyProtection="1">
      <alignment vertical="center"/>
      <protection locked="0"/>
    </xf>
    <xf numFmtId="44" fontId="11" fillId="11" borderId="12" xfId="4" applyFont="1" applyFill="1" applyBorder="1" applyAlignment="1" applyProtection="1">
      <alignment vertical="center"/>
      <protection locked="0"/>
    </xf>
    <xf numFmtId="173" fontId="19" fillId="2" borderId="9" xfId="4" applyNumberFormat="1" applyFont="1" applyFill="1" applyBorder="1" applyAlignment="1" applyProtection="1">
      <alignment horizontal="left" vertical="center"/>
      <protection locked="0"/>
    </xf>
    <xf numFmtId="0" fontId="17" fillId="12" borderId="0" xfId="2" applyFill="1" applyProtection="1">
      <protection locked="0"/>
    </xf>
    <xf numFmtId="0" fontId="18" fillId="12" borderId="0" xfId="2" applyFont="1" applyFill="1" applyProtection="1">
      <protection locked="0"/>
    </xf>
    <xf numFmtId="0" fontId="17" fillId="0" borderId="0" xfId="2" applyProtection="1"/>
    <xf numFmtId="0" fontId="18" fillId="0" borderId="0" xfId="2" applyFont="1" applyProtection="1"/>
    <xf numFmtId="174" fontId="0" fillId="0" borderId="13" xfId="3" applyNumberFormat="1" applyFont="1" applyBorder="1" applyAlignment="1" applyProtection="1">
      <alignment horizontal="center" vertical="center"/>
    </xf>
    <xf numFmtId="44" fontId="0" fillId="0" borderId="13" xfId="4" applyFont="1" applyBorder="1" applyAlignment="1" applyProtection="1">
      <alignment horizontal="center" vertical="center"/>
    </xf>
    <xf numFmtId="0" fontId="17" fillId="0" borderId="13" xfId="2" applyBorder="1" applyAlignment="1" applyProtection="1">
      <alignment horizontal="center" vertical="center"/>
    </xf>
    <xf numFmtId="0" fontId="19" fillId="11" borderId="13" xfId="2" applyFont="1" applyFill="1" applyBorder="1" applyAlignment="1" applyProtection="1">
      <alignment horizontal="center" vertical="center"/>
    </xf>
    <xf numFmtId="0" fontId="21" fillId="0" borderId="0" xfId="2" applyFont="1" applyProtection="1"/>
    <xf numFmtId="3" fontId="0" fillId="0" borderId="13" xfId="0" applyNumberFormat="1" applyFill="1" applyBorder="1" applyProtection="1">
      <protection locked="0"/>
    </xf>
    <xf numFmtId="0" fontId="27" fillId="0" borderId="13" xfId="6" applyFont="1" applyFill="1" applyBorder="1" applyAlignment="1" applyProtection="1">
      <alignment horizontal="center" vertical="center"/>
      <protection locked="0"/>
    </xf>
    <xf numFmtId="171" fontId="0" fillId="0" borderId="13" xfId="5" applyNumberFormat="1" applyFont="1" applyBorder="1" applyAlignment="1" applyProtection="1">
      <alignment horizontal="center" vertical="center"/>
      <protection locked="0"/>
    </xf>
    <xf numFmtId="0" fontId="17" fillId="3" borderId="13" xfId="2" applyFill="1" applyBorder="1" applyAlignment="1" applyProtection="1">
      <alignment horizontal="center" vertical="center"/>
      <protection locked="0"/>
    </xf>
    <xf numFmtId="0" fontId="17" fillId="14" borderId="13" xfId="2" applyFill="1" applyBorder="1" applyAlignment="1" applyProtection="1">
      <alignment horizontal="center" vertical="center"/>
      <protection locked="0"/>
    </xf>
    <xf numFmtId="0" fontId="3" fillId="15" borderId="13" xfId="0" applyFont="1" applyFill="1" applyBorder="1" applyAlignment="1" applyProtection="1">
      <alignment horizontal="center" vertical="center"/>
      <protection locked="0"/>
    </xf>
    <xf numFmtId="0" fontId="17" fillId="15" borderId="12" xfId="2" applyFont="1" applyFill="1" applyBorder="1" applyAlignment="1" applyProtection="1">
      <alignment vertical="top"/>
      <protection locked="0"/>
    </xf>
    <xf numFmtId="0" fontId="17" fillId="15" borderId="14" xfId="2" applyFont="1" applyFill="1" applyBorder="1" applyAlignment="1" applyProtection="1">
      <alignment vertical="top"/>
      <protection locked="0"/>
    </xf>
    <xf numFmtId="0" fontId="17" fillId="15" borderId="15" xfId="2" applyFont="1" applyFill="1" applyBorder="1" applyAlignment="1" applyProtection="1">
      <alignment vertical="top"/>
      <protection locked="0"/>
    </xf>
    <xf numFmtId="0" fontId="18" fillId="2" borderId="0" xfId="2" applyFont="1" applyFill="1" applyProtection="1"/>
    <xf numFmtId="171" fontId="0" fillId="3" borderId="13" xfId="5" applyNumberFormat="1" applyFont="1" applyFill="1" applyBorder="1" applyAlignment="1" applyProtection="1">
      <alignment horizontal="center" vertical="center"/>
      <protection locked="0"/>
    </xf>
    <xf numFmtId="172" fontId="17" fillId="3" borderId="13" xfId="2" applyNumberFormat="1" applyFill="1" applyBorder="1" applyAlignment="1" applyProtection="1">
      <alignment horizontal="center" vertical="center"/>
      <protection locked="0"/>
    </xf>
    <xf numFmtId="0" fontId="17" fillId="15" borderId="15" xfId="2" applyFont="1" applyFill="1" applyBorder="1" applyAlignment="1" applyProtection="1">
      <alignment vertical="top"/>
    </xf>
    <xf numFmtId="171" fontId="0" fillId="2" borderId="13" xfId="5" applyNumberFormat="1" applyFont="1" applyFill="1" applyBorder="1" applyAlignment="1" applyProtection="1">
      <alignment horizontal="center" vertical="center"/>
      <protection locked="0"/>
    </xf>
    <xf numFmtId="0" fontId="19" fillId="0" borderId="13" xfId="2" applyFont="1" applyBorder="1" applyAlignment="1" applyProtection="1">
      <alignment horizontal="center" wrapText="1"/>
    </xf>
    <xf numFmtId="0" fontId="19" fillId="16" borderId="13" xfId="2" applyFont="1" applyFill="1" applyBorder="1" applyAlignment="1" applyProtection="1">
      <alignment horizontal="center" vertical="center" wrapText="1"/>
    </xf>
    <xf numFmtId="0" fontId="19" fillId="0" borderId="13" xfId="2" applyFont="1" applyBorder="1" applyAlignment="1" applyProtection="1">
      <alignment horizontal="center" vertical="center" wrapText="1"/>
    </xf>
    <xf numFmtId="0" fontId="19" fillId="0" borderId="13" xfId="2" applyFont="1" applyBorder="1" applyAlignment="1" applyProtection="1">
      <alignment horizontal="center" vertical="center"/>
    </xf>
    <xf numFmtId="0" fontId="18" fillId="10" borderId="13" xfId="2" applyFont="1" applyFill="1" applyBorder="1" applyProtection="1"/>
    <xf numFmtId="0" fontId="32" fillId="0" borderId="0" xfId="2" applyFont="1" applyAlignment="1" applyProtection="1"/>
    <xf numFmtId="0" fontId="17" fillId="17" borderId="0" xfId="2" applyFill="1" applyBorder="1" applyProtection="1"/>
    <xf numFmtId="0" fontId="10" fillId="0" borderId="0" xfId="2" applyFont="1" applyAlignment="1" applyProtection="1">
      <alignment horizontal="right" vertical="top"/>
    </xf>
    <xf numFmtId="0" fontId="18" fillId="17" borderId="0" xfId="2" applyFont="1" applyFill="1" applyBorder="1" applyProtection="1"/>
    <xf numFmtId="0" fontId="19" fillId="0" borderId="0" xfId="2" applyFont="1" applyProtection="1"/>
    <xf numFmtId="0" fontId="21" fillId="17" borderId="0" xfId="2" applyFont="1" applyFill="1" applyBorder="1" applyAlignment="1" applyProtection="1"/>
    <xf numFmtId="0" fontId="17" fillId="17" borderId="0" xfId="2" applyFill="1" applyBorder="1" applyAlignment="1" applyProtection="1">
      <alignment horizontal="left" indent="1"/>
    </xf>
    <xf numFmtId="0" fontId="33" fillId="17" borderId="0" xfId="2" applyFont="1" applyFill="1" applyBorder="1" applyAlignment="1" applyProtection="1"/>
    <xf numFmtId="0" fontId="34" fillId="17" borderId="0" xfId="2" applyFont="1" applyFill="1" applyBorder="1" applyAlignment="1" applyProtection="1"/>
    <xf numFmtId="0" fontId="35" fillId="17" borderId="0" xfId="2" applyFont="1" applyFill="1" applyAlignment="1" applyProtection="1">
      <alignment vertical="top" wrapText="1"/>
    </xf>
    <xf numFmtId="0" fontId="36" fillId="17" borderId="0" xfId="2" applyFont="1" applyFill="1" applyAlignment="1" applyProtection="1">
      <alignment vertical="top" wrapText="1"/>
    </xf>
    <xf numFmtId="0" fontId="4" fillId="0" borderId="0" xfId="0" applyFont="1" applyAlignment="1" applyProtection="1">
      <alignment horizontal="center" vertical="center"/>
    </xf>
    <xf numFmtId="0" fontId="0" fillId="0" borderId="0" xfId="0" applyFill="1" applyProtection="1"/>
    <xf numFmtId="0" fontId="0" fillId="2" borderId="0" xfId="0" applyFill="1" applyAlignment="1" applyProtection="1">
      <alignment horizontal="left"/>
    </xf>
    <xf numFmtId="2" fontId="2" fillId="0" borderId="0" xfId="0" applyNumberFormat="1" applyFont="1" applyAlignment="1" applyProtection="1">
      <alignment horizontal="left"/>
    </xf>
    <xf numFmtId="0" fontId="37" fillId="0" borderId="0" xfId="0" applyFont="1" applyAlignment="1" applyProtection="1">
      <alignment horizontal="right" vertical="center"/>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37" fillId="0" borderId="0" xfId="0" applyFont="1" applyAlignment="1" applyProtection="1">
      <alignment horizontal="right" vertical="center" indent="1"/>
    </xf>
    <xf numFmtId="0" fontId="38" fillId="0" borderId="0" xfId="0" applyFont="1" applyProtection="1"/>
    <xf numFmtId="175" fontId="0" fillId="0" borderId="0" xfId="0" applyNumberFormat="1" applyProtection="1"/>
    <xf numFmtId="0" fontId="38" fillId="0" borderId="0" xfId="0" applyFont="1" applyAlignment="1" applyProtection="1">
      <alignment horizontal="right" vertical="center"/>
    </xf>
    <xf numFmtId="0" fontId="37" fillId="0" borderId="0" xfId="0" applyFont="1" applyAlignment="1" applyProtection="1">
      <alignment horizontal="right" vertical="center" indent="2"/>
    </xf>
    <xf numFmtId="0" fontId="40" fillId="0" borderId="0" xfId="0" applyFont="1" applyProtection="1"/>
    <xf numFmtId="0" fontId="0" fillId="8" borderId="28" xfId="0" applyFill="1" applyBorder="1" applyProtection="1"/>
    <xf numFmtId="0" fontId="0" fillId="14" borderId="28" xfId="0" applyFill="1" applyBorder="1" applyProtection="1"/>
    <xf numFmtId="0" fontId="0" fillId="0" borderId="0" xfId="0" applyFill="1" applyBorder="1" applyProtection="1"/>
    <xf numFmtId="0" fontId="17" fillId="0" borderId="0" xfId="0" applyFont="1" applyBorder="1" applyAlignment="1" applyProtection="1">
      <alignment horizontal="left" vertical="top" wrapText="1"/>
    </xf>
    <xf numFmtId="0" fontId="0" fillId="0" borderId="28" xfId="0" applyBorder="1" applyProtection="1"/>
    <xf numFmtId="0" fontId="38" fillId="8" borderId="24" xfId="0" applyNumberFormat="1" applyFont="1" applyFill="1" applyBorder="1" applyAlignment="1" applyProtection="1">
      <alignment horizontal="left" vertical="center"/>
      <protection locked="0"/>
    </xf>
    <xf numFmtId="0" fontId="38" fillId="8" borderId="25" xfId="0" applyNumberFormat="1" applyFont="1" applyFill="1" applyBorder="1" applyAlignment="1" applyProtection="1">
      <alignment horizontal="left" vertical="center"/>
      <protection locked="0"/>
    </xf>
    <xf numFmtId="0" fontId="38" fillId="8" borderId="26" xfId="0" applyNumberFormat="1" applyFont="1" applyFill="1" applyBorder="1" applyAlignment="1" applyProtection="1">
      <alignment horizontal="left" vertical="center"/>
      <protection locked="0"/>
    </xf>
    <xf numFmtId="0" fontId="38" fillId="14" borderId="24" xfId="0" applyFont="1" applyFill="1" applyBorder="1" applyAlignment="1" applyProtection="1">
      <alignment horizontal="left" vertical="center" wrapText="1"/>
    </xf>
    <xf numFmtId="0" fontId="38" fillId="14" borderId="25" xfId="0" applyFont="1" applyFill="1" applyBorder="1" applyAlignment="1" applyProtection="1">
      <alignment horizontal="left" vertical="center" wrapText="1"/>
    </xf>
    <xf numFmtId="0" fontId="38" fillId="14" borderId="26" xfId="0" applyFont="1" applyFill="1" applyBorder="1" applyAlignment="1" applyProtection="1">
      <alignment horizontal="left" vertical="center" wrapText="1"/>
    </xf>
    <xf numFmtId="0" fontId="38" fillId="14" borderId="24" xfId="0" applyFont="1" applyFill="1" applyBorder="1" applyAlignment="1" applyProtection="1">
      <alignment horizontal="left" vertical="center"/>
      <protection locked="0"/>
    </xf>
    <xf numFmtId="0" fontId="38" fillId="14" borderId="25" xfId="0" applyFont="1" applyFill="1" applyBorder="1" applyAlignment="1" applyProtection="1">
      <alignment horizontal="left" vertical="center"/>
      <protection locked="0"/>
    </xf>
    <xf numFmtId="0" fontId="38" fillId="14" borderId="26" xfId="0" applyFont="1" applyFill="1" applyBorder="1" applyAlignment="1" applyProtection="1">
      <alignment horizontal="left" vertical="center"/>
      <protection locked="0"/>
    </xf>
    <xf numFmtId="0" fontId="38" fillId="8" borderId="24" xfId="0" applyFont="1" applyFill="1" applyBorder="1" applyAlignment="1" applyProtection="1">
      <alignment horizontal="left" vertical="center"/>
      <protection locked="0"/>
    </xf>
    <xf numFmtId="0" fontId="38" fillId="8" borderId="25" xfId="0" applyFont="1" applyFill="1" applyBorder="1" applyAlignment="1" applyProtection="1">
      <alignment horizontal="left" vertical="center"/>
      <protection locked="0"/>
    </xf>
    <xf numFmtId="0" fontId="0" fillId="0" borderId="0" xfId="0" applyAlignment="1" applyProtection="1">
      <alignment horizontal="left"/>
    </xf>
    <xf numFmtId="0" fontId="17" fillId="0" borderId="29" xfId="0" applyFont="1" applyBorder="1" applyAlignment="1" applyProtection="1">
      <alignment horizontal="left" vertical="top" wrapText="1"/>
    </xf>
    <xf numFmtId="0" fontId="17" fillId="0" borderId="0" xfId="0" applyFont="1" applyBorder="1" applyAlignment="1" applyProtection="1">
      <alignment horizontal="left" vertical="top" wrapText="1"/>
    </xf>
    <xf numFmtId="0" fontId="17" fillId="0" borderId="0" xfId="0" applyFont="1" applyAlignment="1" applyProtection="1">
      <alignment horizontal="left" wrapText="1"/>
    </xf>
    <xf numFmtId="0" fontId="0" fillId="0" borderId="0" xfId="0" applyAlignment="1" applyProtection="1">
      <alignment horizontal="left" wrapText="1"/>
    </xf>
    <xf numFmtId="0" fontId="0" fillId="0" borderId="0" xfId="0" applyAlignment="1" applyProtection="1">
      <alignment horizontal="left" vertical="center" wrapText="1"/>
    </xf>
    <xf numFmtId="175" fontId="38" fillId="8" borderId="24" xfId="0" applyNumberFormat="1" applyFont="1" applyFill="1" applyBorder="1" applyAlignment="1" applyProtection="1">
      <alignment horizontal="left" vertical="center"/>
      <protection locked="0"/>
    </xf>
    <xf numFmtId="175" fontId="38" fillId="8" borderId="25" xfId="0" applyNumberFormat="1" applyFont="1" applyFill="1" applyBorder="1" applyAlignment="1" applyProtection="1">
      <alignment horizontal="left" vertical="center"/>
      <protection locked="0"/>
    </xf>
    <xf numFmtId="0" fontId="37" fillId="14" borderId="24" xfId="0" applyNumberFormat="1" applyFont="1" applyFill="1" applyBorder="1" applyAlignment="1" applyProtection="1">
      <alignment horizontal="center" vertical="center"/>
      <protection locked="0"/>
    </xf>
    <xf numFmtId="0" fontId="37" fillId="14" borderId="25" xfId="0" applyNumberFormat="1" applyFont="1" applyFill="1" applyBorder="1" applyAlignment="1" applyProtection="1">
      <alignment horizontal="center" vertical="center"/>
      <protection locked="0"/>
    </xf>
    <xf numFmtId="0" fontId="37" fillId="14" borderId="26" xfId="0" applyNumberFormat="1" applyFont="1" applyFill="1" applyBorder="1" applyAlignment="1" applyProtection="1">
      <alignment horizontal="center" vertical="center"/>
      <protection locked="0"/>
    </xf>
    <xf numFmtId="0" fontId="37" fillId="0" borderId="0" xfId="0" applyFont="1" applyAlignment="1" applyProtection="1">
      <alignment horizontal="right" vertical="center" wrapText="1" indent="2"/>
    </xf>
    <xf numFmtId="0" fontId="37" fillId="0" borderId="27" xfId="0" applyFont="1" applyBorder="1" applyAlignment="1" applyProtection="1">
      <alignment horizontal="right" vertical="center" wrapText="1" indent="2"/>
    </xf>
    <xf numFmtId="0" fontId="5" fillId="2" borderId="0" xfId="0" applyFont="1" applyFill="1" applyAlignment="1">
      <alignment horizontal="left" vertical="center" wrapText="1"/>
    </xf>
    <xf numFmtId="0" fontId="15" fillId="2" borderId="0" xfId="0" applyFont="1" applyFill="1" applyAlignment="1">
      <alignment horizontal="center" vertical="top" wrapText="1"/>
    </xf>
    <xf numFmtId="0" fontId="7" fillId="2" borderId="0" xfId="0" applyFont="1" applyFill="1" applyAlignment="1">
      <alignment horizontal="center" vertical="top" wrapText="1"/>
    </xf>
    <xf numFmtId="0" fontId="14" fillId="2" borderId="0" xfId="0" applyFont="1" applyFill="1" applyAlignment="1">
      <alignment horizontal="center" vertical="top" wrapText="1"/>
    </xf>
    <xf numFmtId="0" fontId="9" fillId="2" borderId="0" xfId="0" applyFont="1" applyFill="1" applyAlignment="1">
      <alignment horizontal="center" vertical="top" wrapText="1"/>
    </xf>
    <xf numFmtId="0" fontId="13" fillId="2" borderId="0" xfId="0" applyFont="1" applyFill="1" applyAlignment="1">
      <alignment horizontal="right" vertical="top" wrapText="1"/>
    </xf>
    <xf numFmtId="0" fontId="7" fillId="2" borderId="0" xfId="0" applyFont="1" applyFill="1" applyAlignment="1">
      <alignment horizontal="left" vertical="center" wrapText="1"/>
    </xf>
    <xf numFmtId="0" fontId="8" fillId="2" borderId="0" xfId="0" applyFont="1" applyFill="1" applyAlignment="1">
      <alignment horizontal="left" vertical="center"/>
    </xf>
    <xf numFmtId="0" fontId="8" fillId="2" borderId="0" xfId="0" applyFont="1" applyFill="1" applyAlignment="1">
      <alignment horizontal="left" vertical="center" wrapText="1"/>
    </xf>
    <xf numFmtId="0" fontId="9" fillId="2" borderId="0" xfId="0" applyFont="1" applyFill="1" applyAlignment="1">
      <alignment horizontal="left" vertical="center" wrapText="1"/>
    </xf>
    <xf numFmtId="0" fontId="12" fillId="2" borderId="0" xfId="0" applyFont="1" applyFill="1" applyAlignment="1">
      <alignment horizontal="left" vertical="center"/>
    </xf>
    <xf numFmtId="0" fontId="16" fillId="4" borderId="0" xfId="0" applyFont="1" applyFill="1" applyAlignment="1" applyProtection="1">
      <alignment horizontal="center" vertical="center" wrapText="1"/>
    </xf>
    <xf numFmtId="168" fontId="0" fillId="3" borderId="2" xfId="0" applyNumberFormat="1" applyFill="1" applyBorder="1" applyAlignment="1" applyProtection="1">
      <protection locked="0"/>
    </xf>
    <xf numFmtId="168" fontId="0" fillId="0" borderId="5" xfId="0" applyNumberFormat="1" applyBorder="1" applyAlignment="1"/>
    <xf numFmtId="0" fontId="3" fillId="0" borderId="0" xfId="0" applyFont="1" applyBorder="1" applyAlignment="1">
      <alignment vertical="top" wrapText="1"/>
    </xf>
    <xf numFmtId="0" fontId="5" fillId="5" borderId="0" xfId="0" applyFont="1" applyFill="1" applyAlignment="1">
      <alignment horizontal="left" vertical="center" wrapText="1"/>
    </xf>
    <xf numFmtId="0" fontId="15" fillId="2" borderId="0" xfId="0" applyFont="1" applyFill="1" applyAlignment="1">
      <alignment horizontal="center" vertical="center" wrapText="1"/>
    </xf>
    <xf numFmtId="0" fontId="7" fillId="2" borderId="0" xfId="0" applyFont="1" applyFill="1" applyAlignment="1">
      <alignment horizontal="center" vertical="center" wrapText="1"/>
    </xf>
    <xf numFmtId="0" fontId="14" fillId="2" borderId="0" xfId="0" applyFont="1" applyFill="1" applyAlignment="1">
      <alignment horizontal="center" vertical="center" wrapText="1"/>
    </xf>
    <xf numFmtId="0" fontId="9" fillId="2" borderId="0" xfId="0" applyFont="1" applyFill="1" applyAlignment="1">
      <alignment horizontal="center" vertical="center" wrapText="1"/>
    </xf>
    <xf numFmtId="0" fontId="13" fillId="2" borderId="0" xfId="0" applyFont="1" applyFill="1" applyAlignment="1">
      <alignment horizontal="right" vertical="center" wrapText="1"/>
    </xf>
    <xf numFmtId="0" fontId="19" fillId="5" borderId="0" xfId="2" applyFont="1" applyFill="1" applyAlignment="1" applyProtection="1">
      <alignment horizontal="left" vertical="top" wrapText="1"/>
      <protection locked="0"/>
    </xf>
    <xf numFmtId="0" fontId="23" fillId="2" borderId="13" xfId="2" applyFont="1" applyFill="1" applyBorder="1" applyAlignment="1" applyProtection="1">
      <alignment horizontal="left" vertical="top"/>
      <protection locked="0"/>
    </xf>
    <xf numFmtId="0" fontId="19" fillId="2" borderId="18" xfId="2" applyFont="1" applyFill="1" applyBorder="1" applyAlignment="1" applyProtection="1">
      <alignment horizontal="left" vertical="top"/>
      <protection locked="0"/>
    </xf>
    <xf numFmtId="0" fontId="19" fillId="0" borderId="15" xfId="2" applyFont="1" applyBorder="1" applyAlignment="1" applyProtection="1">
      <alignment horizontal="center"/>
      <protection locked="0"/>
    </xf>
    <xf numFmtId="0" fontId="19" fillId="0" borderId="14" xfId="2" applyFont="1" applyBorder="1" applyAlignment="1" applyProtection="1">
      <alignment horizontal="center"/>
      <protection locked="0"/>
    </xf>
    <xf numFmtId="0" fontId="19" fillId="0" borderId="12" xfId="2" applyFont="1" applyBorder="1" applyAlignment="1" applyProtection="1">
      <alignment horizontal="center"/>
      <protection locked="0"/>
    </xf>
    <xf numFmtId="0" fontId="19" fillId="2" borderId="0" xfId="2" applyFont="1" applyFill="1" applyAlignment="1" applyProtection="1">
      <alignment horizontal="center" wrapText="1"/>
      <protection locked="0"/>
    </xf>
    <xf numFmtId="0" fontId="17" fillId="2" borderId="0" xfId="2" applyFill="1" applyAlignment="1" applyProtection="1">
      <alignment horizontal="center" wrapText="1"/>
      <protection locked="0"/>
    </xf>
    <xf numFmtId="0" fontId="19" fillId="0" borderId="9" xfId="2" applyFont="1" applyFill="1" applyBorder="1" applyAlignment="1" applyProtection="1">
      <alignment horizontal="center" wrapText="1"/>
      <protection locked="0"/>
    </xf>
    <xf numFmtId="0" fontId="17" fillId="0" borderId="18" xfId="2" applyBorder="1" applyAlignment="1" applyProtection="1">
      <alignment wrapText="1"/>
      <protection locked="0"/>
    </xf>
    <xf numFmtId="0" fontId="19" fillId="0" borderId="8" xfId="2" applyFont="1" applyFill="1" applyBorder="1" applyAlignment="1" applyProtection="1">
      <alignment horizontal="center" wrapText="1"/>
      <protection locked="0"/>
    </xf>
    <xf numFmtId="0" fontId="17" fillId="0" borderId="17" xfId="2" applyBorder="1" applyAlignment="1" applyProtection="1">
      <alignment wrapText="1"/>
      <protection locked="0"/>
    </xf>
    <xf numFmtId="0" fontId="17" fillId="2" borderId="13" xfId="2" applyFont="1" applyFill="1" applyBorder="1" applyAlignment="1" applyProtection="1">
      <alignment horizontal="left" vertical="top"/>
    </xf>
    <xf numFmtId="0" fontId="17" fillId="2" borderId="13" xfId="2" applyFill="1" applyBorder="1" applyAlignment="1" applyProtection="1">
      <alignment horizontal="left" vertical="top"/>
    </xf>
    <xf numFmtId="0" fontId="33" fillId="17" borderId="0" xfId="2" applyFont="1" applyFill="1" applyBorder="1" applyAlignment="1" applyProtection="1">
      <alignment horizontal="left" indent="7"/>
    </xf>
    <xf numFmtId="0" fontId="32" fillId="0" borderId="0" xfId="2" applyFont="1" applyAlignment="1" applyProtection="1">
      <alignment horizontal="center"/>
    </xf>
    <xf numFmtId="0" fontId="30" fillId="0" borderId="0" xfId="2" applyFont="1" applyAlignment="1" applyProtection="1">
      <alignment horizontal="left" vertical="top" wrapText="1"/>
    </xf>
    <xf numFmtId="0" fontId="19" fillId="0" borderId="15" xfId="2" applyFont="1" applyBorder="1" applyAlignment="1" applyProtection="1">
      <alignment horizontal="left" vertical="center" wrapText="1"/>
    </xf>
    <xf numFmtId="0" fontId="19" fillId="0" borderId="14" xfId="2" applyFont="1" applyBorder="1" applyAlignment="1" applyProtection="1">
      <alignment horizontal="left" vertical="center"/>
    </xf>
    <xf numFmtId="0" fontId="19" fillId="0" borderId="12" xfId="2" applyFont="1" applyBorder="1" applyAlignment="1" applyProtection="1">
      <alignment horizontal="left" vertical="center"/>
    </xf>
    <xf numFmtId="0" fontId="19" fillId="0" borderId="23" xfId="2" applyFont="1" applyBorder="1" applyAlignment="1" applyProtection="1">
      <alignment horizontal="left" vertical="center" wrapText="1"/>
    </xf>
    <xf numFmtId="0" fontId="19" fillId="0" borderId="22" xfId="2" applyFont="1" applyBorder="1" applyAlignment="1" applyProtection="1">
      <alignment horizontal="left" vertical="center"/>
    </xf>
    <xf numFmtId="0" fontId="19" fillId="0" borderId="19" xfId="2" applyFont="1" applyBorder="1" applyAlignment="1" applyProtection="1">
      <alignment horizontal="left" vertical="center"/>
    </xf>
    <xf numFmtId="0" fontId="19" fillId="0" borderId="10" xfId="2" applyFont="1" applyBorder="1" applyAlignment="1" applyProtection="1">
      <alignment horizontal="left" vertical="center"/>
    </xf>
    <xf numFmtId="0" fontId="19" fillId="0" borderId="0" xfId="2" applyFont="1" applyBorder="1" applyAlignment="1" applyProtection="1">
      <alignment horizontal="left" vertical="center"/>
    </xf>
    <xf numFmtId="0" fontId="19" fillId="0" borderId="8" xfId="2" applyFont="1" applyBorder="1" applyAlignment="1" applyProtection="1">
      <alignment horizontal="left" vertical="center"/>
    </xf>
    <xf numFmtId="0" fontId="19" fillId="0" borderId="21" xfId="2" applyFont="1" applyBorder="1" applyAlignment="1" applyProtection="1">
      <alignment horizontal="left" vertical="center"/>
    </xf>
    <xf numFmtId="0" fontId="19" fillId="0" borderId="16" xfId="2" applyFont="1" applyBorder="1" applyAlignment="1" applyProtection="1">
      <alignment horizontal="left" vertical="center"/>
    </xf>
    <xf numFmtId="0" fontId="19" fillId="0" borderId="17" xfId="2" applyFont="1" applyBorder="1" applyAlignment="1" applyProtection="1">
      <alignment horizontal="left" vertical="center"/>
    </xf>
    <xf numFmtId="0" fontId="19" fillId="0" borderId="13" xfId="2" applyFont="1" applyBorder="1" applyAlignment="1" applyProtection="1">
      <alignment horizontal="center" vertical="center"/>
    </xf>
    <xf numFmtId="0" fontId="19" fillId="13" borderId="13" xfId="2" applyFont="1" applyFill="1" applyBorder="1" applyAlignment="1" applyProtection="1">
      <alignment horizontal="center" vertical="center"/>
    </xf>
    <xf numFmtId="0" fontId="19" fillId="4" borderId="13" xfId="2" applyFont="1" applyFill="1" applyBorder="1" applyAlignment="1" applyProtection="1">
      <alignment horizontal="center" vertical="center"/>
    </xf>
  </cellXfs>
  <cellStyles count="7">
    <cellStyle name="Comma" xfId="1" builtinId="3"/>
    <cellStyle name="Comma 4" xfId="5"/>
    <cellStyle name="Currency 2" xfId="4"/>
    <cellStyle name="Hyperlink" xfId="6" builtinId="8"/>
    <cellStyle name="Normal" xfId="0" builtinId="0"/>
    <cellStyle name="Normal 2" xfId="2"/>
    <cellStyle name="Percent 2" xfId="3"/>
  </cellStyles>
  <dxfs count="79">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9526</xdr:colOff>
      <xdr:row>0</xdr:row>
      <xdr:rowOff>19051</xdr:rowOff>
    </xdr:from>
    <xdr:to>
      <xdr:col>13</xdr:col>
      <xdr:colOff>369094</xdr:colOff>
      <xdr:row>11</xdr:row>
      <xdr:rowOff>35719</xdr:rowOff>
    </xdr:to>
    <xdr:pic>
      <xdr:nvPicPr>
        <xdr:cNvPr id="3" name="Picture 2">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6" y="19051"/>
          <a:ext cx="8680608" cy="2028348"/>
        </a:xfrm>
        <a:prstGeom prst="rect">
          <a:avLst/>
        </a:prstGeom>
        <a:ln>
          <a:noFill/>
        </a:ln>
        <a:effectLst>
          <a:softEdge rad="112500"/>
        </a:effectLst>
      </xdr:spPr>
    </xdr:pic>
    <xdr:clientData/>
  </xdr:twoCellAnchor>
  <xdr:twoCellAnchor>
    <xdr:from>
      <xdr:col>0</xdr:col>
      <xdr:colOff>107156</xdr:colOff>
      <xdr:row>4</xdr:row>
      <xdr:rowOff>30535</xdr:rowOff>
    </xdr:from>
    <xdr:to>
      <xdr:col>13</xdr:col>
      <xdr:colOff>250031</xdr:colOff>
      <xdr:row>7</xdr:row>
      <xdr:rowOff>61704</xdr:rowOff>
    </xdr:to>
    <xdr:sp macro="" textlink="">
      <xdr:nvSpPr>
        <xdr:cNvPr id="4" name="Rectangle 3">
          <a:extLst>
            <a:ext uri="{FF2B5EF4-FFF2-40B4-BE49-F238E27FC236}">
              <a16:creationId xmlns:a16="http://schemas.microsoft.com/office/drawing/2014/main" xmlns="" id="{00000000-0008-0000-0000-00000A000000}"/>
            </a:ext>
          </a:extLst>
        </xdr:cNvPr>
        <xdr:cNvSpPr/>
      </xdr:nvSpPr>
      <xdr:spPr>
        <a:xfrm>
          <a:off x="107156" y="762055"/>
          <a:ext cx="8463915" cy="57980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a:effectLst/>
              <a:latin typeface="+mn-lt"/>
              <a:ea typeface="+mn-ea"/>
              <a:cs typeface="+mn-cs"/>
            </a:rPr>
            <a:t>Tariff Schedule and Bill Impacts Model </a:t>
          </a:r>
        </a:p>
        <a:p>
          <a:pPr algn="ctr" rtl="0"/>
          <a:r>
            <a:rPr lang="en-CA" sz="3600" b="1">
              <a:effectLst/>
              <a:latin typeface="+mn-lt"/>
              <a:ea typeface="+mn-ea"/>
              <a:cs typeface="+mn-cs"/>
            </a:rPr>
            <a:t>(2019 Cost of Service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316962</xdr:colOff>
      <xdr:row>1</xdr:row>
      <xdr:rowOff>36348</xdr:rowOff>
    </xdr:from>
    <xdr:to>
      <xdr:col>1</xdr:col>
      <xdr:colOff>17365</xdr:colOff>
      <xdr:row>4</xdr:row>
      <xdr:rowOff>0</xdr:rowOff>
    </xdr:to>
    <xdr:pic>
      <xdr:nvPicPr>
        <xdr:cNvPr id="5" name="Picture 4">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316962" y="219228"/>
          <a:ext cx="614803" cy="512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825633</xdr:colOff>
      <xdr:row>1</xdr:row>
      <xdr:rowOff>62524</xdr:rowOff>
    </xdr:from>
    <xdr:to>
      <xdr:col>7</xdr:col>
      <xdr:colOff>540775</xdr:colOff>
      <xdr:row>3</xdr:row>
      <xdr:rowOff>52246</xdr:rowOff>
    </xdr:to>
    <xdr:sp macro="" textlink="">
      <xdr:nvSpPr>
        <xdr:cNvPr id="6" name="Rectangle 5">
          <a:extLst>
            <a:ext uri="{FF2B5EF4-FFF2-40B4-BE49-F238E27FC236}">
              <a16:creationId xmlns:a16="http://schemas.microsoft.com/office/drawing/2014/main" xmlns="" id="{00000000-0008-0000-0000-000014000000}"/>
            </a:ext>
          </a:extLst>
        </xdr:cNvPr>
        <xdr:cNvSpPr/>
      </xdr:nvSpPr>
      <xdr:spPr>
        <a:xfrm>
          <a:off x="825633" y="245404"/>
          <a:ext cx="3989962" cy="355482"/>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219075</xdr:colOff>
      <xdr:row>8</xdr:row>
      <xdr:rowOff>142874</xdr:rowOff>
    </xdr:to>
    <xdr:pic>
      <xdr:nvPicPr>
        <xdr:cNvPr id="2" name="Picture 1">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3876675" cy="1605914"/>
        </a:xfrm>
        <a:prstGeom prst="rect">
          <a:avLst/>
        </a:prstGeom>
        <a:ln>
          <a:noFill/>
        </a:ln>
        <a:effectLst>
          <a:softEdge rad="112500"/>
        </a:effectLst>
      </xdr:spPr>
    </xdr:pic>
    <xdr:clientData/>
  </xdr:twoCellAnchor>
  <xdr:twoCellAnchor>
    <xdr:from>
      <xdr:col>0</xdr:col>
      <xdr:colOff>85137</xdr:colOff>
      <xdr:row>2</xdr:row>
      <xdr:rowOff>129205</xdr:rowOff>
    </xdr:from>
    <xdr:to>
      <xdr:col>6</xdr:col>
      <xdr:colOff>79017</xdr:colOff>
      <xdr:row>5</xdr:row>
      <xdr:rowOff>155618</xdr:rowOff>
    </xdr:to>
    <xdr:sp macro="" textlink="">
      <xdr:nvSpPr>
        <xdr:cNvPr id="3" name="Rectangle 2">
          <a:extLst>
            <a:ext uri="{FF2B5EF4-FFF2-40B4-BE49-F238E27FC236}">
              <a16:creationId xmlns:a16="http://schemas.microsoft.com/office/drawing/2014/main" xmlns="" id="{00000000-0008-0000-0400-000005000000}"/>
            </a:ext>
          </a:extLst>
        </xdr:cNvPr>
        <xdr:cNvSpPr/>
      </xdr:nvSpPr>
      <xdr:spPr>
        <a:xfrm>
          <a:off x="85137" y="494965"/>
          <a:ext cx="3651480" cy="575053"/>
        </a:xfrm>
        <a:prstGeom prst="rect">
          <a:avLst/>
        </a:prstGeom>
        <a:noFill/>
      </xdr:spPr>
      <xdr:txBody>
        <a:bodyPr wrap="none" lIns="91440" tIns="45720" rIns="91440" bIns="45720" anchor="t">
          <a:noAutofit/>
          <a:scene3d>
            <a:camera prst="orthographicFront"/>
            <a:lightRig rig="flat" dir="tl">
              <a:rot lat="0" lon="0" rev="6600000"/>
            </a:lightRig>
          </a:scene3d>
          <a:sp3d extrusionH="25400" contourW="8890">
            <a:bevelT w="38100" h="31750"/>
            <a:contourClr>
              <a:schemeClr val="tx1"/>
            </a:contourClr>
          </a:sp3d>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2800" b="1">
              <a:effectLst/>
              <a:latin typeface="+mn-lt"/>
              <a:ea typeface="+mn-ea"/>
              <a:cs typeface="+mn-cs"/>
            </a:rPr>
            <a:t>Tariff Schedule and Bill Impacts Model </a:t>
          </a:r>
        </a:p>
        <a:p>
          <a:pPr marL="0" marR="0" indent="0" algn="ctr" defTabSz="914400" rtl="0" eaLnBrk="1" fontAlgn="auto" latinLnBrk="0" hangingPunct="1">
            <a:lnSpc>
              <a:spcPct val="100000"/>
            </a:lnSpc>
            <a:spcBef>
              <a:spcPts val="0"/>
            </a:spcBef>
            <a:spcAft>
              <a:spcPts val="0"/>
            </a:spcAft>
            <a:buClrTx/>
            <a:buSzTx/>
            <a:buFontTx/>
            <a:buNone/>
            <a:tabLst/>
            <a:defRPr/>
          </a:pPr>
          <a:r>
            <a:rPr lang="en-CA" sz="2800" b="1">
              <a:effectLst/>
              <a:latin typeface="+mn-lt"/>
              <a:ea typeface="+mn-ea"/>
              <a:cs typeface="+mn-cs"/>
            </a:rPr>
            <a:t>(2019 Cost of Service Filers)</a:t>
          </a:r>
          <a:endParaRPr lang="en-CA" sz="2800">
            <a:effectLst/>
          </a:endParaRP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137236</xdr:colOff>
      <xdr:row>1</xdr:row>
      <xdr:rowOff>15657</xdr:rowOff>
    </xdr:from>
    <xdr:to>
      <xdr:col>0</xdr:col>
      <xdr:colOff>514350</xdr:colOff>
      <xdr:row>3</xdr:row>
      <xdr:rowOff>48279</xdr:rowOff>
    </xdr:to>
    <xdr:pic>
      <xdr:nvPicPr>
        <xdr:cNvPr id="4" name="Picture 3">
          <a:extLst>
            <a:ext uri="{FF2B5EF4-FFF2-40B4-BE49-F238E27FC236}">
              <a16:creationId xmlns:a16="http://schemas.microsoft.com/office/drawing/2014/main" xmlns=""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37236" y="198537"/>
          <a:ext cx="377114" cy="398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148517</xdr:colOff>
      <xdr:row>0</xdr:row>
      <xdr:rowOff>182590</xdr:rowOff>
    </xdr:from>
    <xdr:to>
      <xdr:col>1</xdr:col>
      <xdr:colOff>1751371</xdr:colOff>
      <xdr:row>2</xdr:row>
      <xdr:rowOff>169386</xdr:rowOff>
    </xdr:to>
    <xdr:sp macro="" textlink="">
      <xdr:nvSpPr>
        <xdr:cNvPr id="5" name="Rectangle 4">
          <a:extLst>
            <a:ext uri="{FF2B5EF4-FFF2-40B4-BE49-F238E27FC236}">
              <a16:creationId xmlns:a16="http://schemas.microsoft.com/office/drawing/2014/main" xmlns="" id="{00000000-0008-0000-0400-000007000000}"/>
            </a:ext>
          </a:extLst>
        </xdr:cNvPr>
        <xdr:cNvSpPr/>
      </xdr:nvSpPr>
      <xdr:spPr>
        <a:xfrm>
          <a:off x="758117" y="182590"/>
          <a:ext cx="459854" cy="352556"/>
        </a:xfrm>
        <a:prstGeom prst="rect">
          <a:avLst/>
        </a:prstGeom>
        <a:noFill/>
      </xdr:spPr>
      <xdr:txBody>
        <a:bodyPr wrap="none" lIns="91440" tIns="45720" rIns="91440" bIns="45720" anchor="t">
          <a:noAutofit/>
        </a:bodyPr>
        <a:lstStyle/>
        <a:p>
          <a:pPr algn="ctr"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28575</xdr:colOff>
      <xdr:row>0</xdr:row>
      <xdr:rowOff>57151</xdr:rowOff>
    </xdr:from>
    <xdr:to>
      <xdr:col>11</xdr:col>
      <xdr:colOff>105833</xdr:colOff>
      <xdr:row>7</xdr:row>
      <xdr:rowOff>28575</xdr:rowOff>
    </xdr:to>
    <xdr:pic>
      <xdr:nvPicPr>
        <xdr:cNvPr id="2" name="Picture 1">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278255" y="57151"/>
          <a:ext cx="5700818" cy="1251584"/>
        </a:xfrm>
        <a:prstGeom prst="rect">
          <a:avLst/>
        </a:prstGeom>
        <a:ln>
          <a:noFill/>
        </a:ln>
        <a:effectLst>
          <a:softEdge rad="112500"/>
        </a:effectLst>
      </xdr:spPr>
    </xdr:pic>
    <xdr:clientData/>
  </xdr:twoCellAnchor>
  <xdr:twoCellAnchor>
    <xdr:from>
      <xdr:col>3</xdr:col>
      <xdr:colOff>16357</xdr:colOff>
      <xdr:row>1</xdr:row>
      <xdr:rowOff>6409</xdr:rowOff>
    </xdr:from>
    <xdr:to>
      <xdr:col>3</xdr:col>
      <xdr:colOff>407593</xdr:colOff>
      <xdr:row>3</xdr:row>
      <xdr:rowOff>20475</xdr:rowOff>
    </xdr:to>
    <xdr:pic>
      <xdr:nvPicPr>
        <xdr:cNvPr id="3" name="Picture 2">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890877" y="189289"/>
          <a:ext cx="391236" cy="379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475030</xdr:colOff>
      <xdr:row>0</xdr:row>
      <xdr:rowOff>260551</xdr:rowOff>
    </xdr:from>
    <xdr:to>
      <xdr:col>4</xdr:col>
      <xdr:colOff>756633</xdr:colOff>
      <xdr:row>2</xdr:row>
      <xdr:rowOff>31750</xdr:rowOff>
    </xdr:to>
    <xdr:sp macro="" textlink="">
      <xdr:nvSpPr>
        <xdr:cNvPr id="4" name="Rectangle 3">
          <a:extLst>
            <a:ext uri="{FF2B5EF4-FFF2-40B4-BE49-F238E27FC236}">
              <a16:creationId xmlns:a16="http://schemas.microsoft.com/office/drawing/2014/main" xmlns="" id="{00000000-0008-0000-0600-000006000000}"/>
            </a:ext>
          </a:extLst>
        </xdr:cNvPr>
        <xdr:cNvSpPr/>
      </xdr:nvSpPr>
      <xdr:spPr>
        <a:xfrm>
          <a:off x="2349550" y="184351"/>
          <a:ext cx="776903" cy="213159"/>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5</xdr:col>
      <xdr:colOff>169318</xdr:colOff>
      <xdr:row>0</xdr:row>
      <xdr:rowOff>116420</xdr:rowOff>
    </xdr:from>
    <xdr:to>
      <xdr:col>10</xdr:col>
      <xdr:colOff>822540</xdr:colOff>
      <xdr:row>4</xdr:row>
      <xdr:rowOff>116420</xdr:rowOff>
    </xdr:to>
    <xdr:sp macro="" textlink="">
      <xdr:nvSpPr>
        <xdr:cNvPr id="5" name="Rectangle 4">
          <a:extLst>
            <a:ext uri="{FF2B5EF4-FFF2-40B4-BE49-F238E27FC236}">
              <a16:creationId xmlns:a16="http://schemas.microsoft.com/office/drawing/2014/main" xmlns="" id="{00000000-0008-0000-0600-00000A000000}"/>
            </a:ext>
          </a:extLst>
        </xdr:cNvPr>
        <xdr:cNvSpPr/>
      </xdr:nvSpPr>
      <xdr:spPr>
        <a:xfrm>
          <a:off x="3293518" y="116420"/>
          <a:ext cx="3579302" cy="731520"/>
        </a:xfrm>
        <a:prstGeom prst="rect">
          <a:avLst/>
        </a:prstGeom>
        <a:noFill/>
      </xdr:spPr>
      <xdr:txBody>
        <a:bodyPr wrap="none" lIns="91440" tIns="45720" rIns="91440" bIns="45720" anchor="t">
          <a:noAutofit/>
          <a:scene3d>
            <a:camera prst="orthographicFront"/>
            <a:lightRig rig="flat" dir="tl">
              <a:rot lat="0" lon="0" rev="6600000"/>
            </a:lightRig>
          </a:scene3d>
          <a:sp3d extrusionH="25400" contourW="8890">
            <a:bevelT w="38100" h="31750"/>
            <a:contourClr>
              <a:schemeClr val="tx1"/>
            </a:contourClr>
          </a:sp3d>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a:effectLst/>
              <a:latin typeface="+mn-lt"/>
              <a:ea typeface="+mn-ea"/>
              <a:cs typeface="+mn-cs"/>
            </a:rPr>
            <a:t>Tariff Schedule and Bill Impacts Model </a:t>
          </a:r>
        </a:p>
        <a:p>
          <a:pPr marL="0" marR="0" indent="0" algn="ctr" defTabSz="914400" rtl="0" eaLnBrk="1" fontAlgn="auto" latinLnBrk="0" hangingPunct="1">
            <a:lnSpc>
              <a:spcPct val="100000"/>
            </a:lnSpc>
            <a:spcBef>
              <a:spcPts val="0"/>
            </a:spcBef>
            <a:spcAft>
              <a:spcPts val="0"/>
            </a:spcAft>
            <a:buClrTx/>
            <a:buSzTx/>
            <a:buFontTx/>
            <a:buNone/>
            <a:tabLst/>
            <a:defRPr/>
          </a:pPr>
          <a:r>
            <a:rPr lang="en-CA" sz="3600" b="1">
              <a:effectLst/>
              <a:latin typeface="+mn-lt"/>
              <a:ea typeface="+mn-ea"/>
              <a:cs typeface="+mn-cs"/>
            </a:rPr>
            <a:t>(2019 Cost of Service Filers)</a:t>
          </a:r>
          <a:endParaRPr lang="en-CA" sz="3600">
            <a:effectLst/>
          </a:endParaRPr>
        </a:p>
        <a:p>
          <a:pPr algn="ctr" rtl="0"/>
          <a:endParaRPr lang="en-CA" sz="44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EB%20Rate%20Applications/2019%20COS%20Rate%20Rebasing/Submitted%20to%20OEB%20April%2030%202018/Energy+2019%20CoS%20Models%20-%20Models%20to%20File_Links%20Broken/2019_EnergyPlus_Tariff_Schedule_Model-CN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EB%20Rate%20Applications/2019%20COS%20Rate%20Rebasing/Energy+2019%20CoS%20Models%20-%20V5%20-%20March%201,%202018/2018_Tariff_Schedule_and_Bill_Impact_Model-BCP.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sheetData sheetId="1"/>
      <sheetData sheetId="2"/>
      <sheetData sheetId="3"/>
      <sheetData sheetId="4">
        <row r="23">
          <cell r="D23">
            <v>6.5000000000000002E-2</v>
          </cell>
        </row>
        <row r="24">
          <cell r="D24">
            <v>9.5000000000000001E-2</v>
          </cell>
        </row>
        <row r="25">
          <cell r="D25">
            <v>0.13200000000000001</v>
          </cell>
        </row>
        <row r="29">
          <cell r="D29">
            <v>7.0000000000000001E-3</v>
          </cell>
        </row>
      </sheetData>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sheetData sheetId="1"/>
      <sheetData sheetId="2"/>
      <sheetData sheetId="3">
        <row r="16">
          <cell r="C16" t="str">
            <v>For Former Brant County Power Service Area</v>
          </cell>
        </row>
        <row r="17">
          <cell r="C17" t="str">
            <v>For Former Cambridge and North Dumfries Hydro Service Area</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showGridLines="0" tabSelected="1" workbookViewId="0">
      <selection activeCell="A17" sqref="A1:XFD1048576"/>
    </sheetView>
  </sheetViews>
  <sheetFormatPr defaultColWidth="9.109375" defaultRowHeight="14.4" x14ac:dyDescent="0.3"/>
  <cols>
    <col min="1" max="1" width="13.33203125" style="21" customWidth="1"/>
    <col min="2" max="2" width="3.44140625" style="21" customWidth="1"/>
    <col min="3" max="4" width="9.109375" style="21"/>
    <col min="5" max="5" width="9.109375" style="21" customWidth="1"/>
    <col min="6" max="12" width="9.109375" style="21"/>
    <col min="13" max="13" width="13.44140625" style="21" customWidth="1"/>
    <col min="14" max="26" width="9.109375" style="21"/>
    <col min="27" max="27" width="9.109375" style="21" customWidth="1"/>
    <col min="28" max="16384" width="9.109375" style="21"/>
  </cols>
  <sheetData>
    <row r="1" spans="2:21" x14ac:dyDescent="0.3">
      <c r="U1" s="200" t="s">
        <v>255</v>
      </c>
    </row>
    <row r="11" spans="2:21" x14ac:dyDescent="0.3">
      <c r="G11" s="201"/>
    </row>
    <row r="12" spans="2:21" x14ac:dyDescent="0.3">
      <c r="B12" s="202"/>
      <c r="C12" s="202"/>
      <c r="D12" s="202"/>
      <c r="E12" s="202"/>
      <c r="F12" s="202"/>
      <c r="G12" s="201"/>
      <c r="M12" s="24"/>
      <c r="N12" s="203"/>
    </row>
    <row r="13" spans="2:21" ht="15" thickBot="1" x14ac:dyDescent="0.35">
      <c r="G13" s="201"/>
    </row>
    <row r="14" spans="2:21" ht="16.5" customHeight="1" thickTop="1" thickBot="1" x14ac:dyDescent="0.35">
      <c r="E14" s="204" t="s">
        <v>256</v>
      </c>
      <c r="F14" s="222" t="s">
        <v>130</v>
      </c>
      <c r="G14" s="223"/>
      <c r="H14" s="223"/>
      <c r="I14" s="223"/>
      <c r="J14" s="223"/>
      <c r="K14" s="223"/>
      <c r="L14" s="224"/>
      <c r="Q14" s="24"/>
    </row>
    <row r="15" spans="2:21" ht="15" thickBot="1" x14ac:dyDescent="0.35">
      <c r="E15" s="205"/>
      <c r="F15" s="206"/>
      <c r="G15" s="207"/>
      <c r="H15" s="206"/>
      <c r="I15" s="206"/>
      <c r="J15" s="206"/>
    </row>
    <row r="16" spans="2:21" ht="15.6" thickTop="1" thickBot="1" x14ac:dyDescent="0.35">
      <c r="E16" s="208" t="s">
        <v>257</v>
      </c>
      <c r="F16" s="225" t="s">
        <v>129</v>
      </c>
      <c r="G16" s="226"/>
      <c r="H16" s="226"/>
      <c r="I16" s="226"/>
      <c r="J16" s="227"/>
    </row>
    <row r="17" spans="1:13" ht="15" thickBot="1" x14ac:dyDescent="0.35">
      <c r="E17" s="209"/>
    </row>
    <row r="18" spans="1:13" ht="15.6" thickTop="1" thickBot="1" x14ac:dyDescent="0.35">
      <c r="E18" s="208" t="s">
        <v>258</v>
      </c>
      <c r="F18" s="228" t="s">
        <v>185</v>
      </c>
      <c r="G18" s="229"/>
      <c r="H18" s="229"/>
    </row>
    <row r="19" spans="1:13" ht="15" thickBot="1" x14ac:dyDescent="0.35">
      <c r="E19" s="209"/>
    </row>
    <row r="20" spans="1:13" ht="15.6" thickTop="1" thickBot="1" x14ac:dyDescent="0.35">
      <c r="E20" s="208" t="s">
        <v>259</v>
      </c>
      <c r="F20" s="228" t="s">
        <v>260</v>
      </c>
      <c r="G20" s="229"/>
      <c r="H20" s="229"/>
      <c r="I20" s="229"/>
      <c r="J20" s="229"/>
      <c r="K20" s="229"/>
      <c r="M20" s="210"/>
    </row>
    <row r="21" spans="1:13" ht="15" thickBot="1" x14ac:dyDescent="0.35">
      <c r="E21" s="211"/>
      <c r="F21" s="206"/>
      <c r="G21" s="207"/>
      <c r="H21" s="206"/>
      <c r="I21" s="206"/>
      <c r="J21" s="206"/>
    </row>
    <row r="22" spans="1:13" ht="15.6" thickTop="1" thickBot="1" x14ac:dyDescent="0.35">
      <c r="E22" s="204" t="s">
        <v>261</v>
      </c>
      <c r="F22" s="228" t="s">
        <v>262</v>
      </c>
      <c r="G22" s="229"/>
      <c r="H22" s="229"/>
    </row>
    <row r="23" spans="1:13" ht="15" thickBot="1" x14ac:dyDescent="0.35">
      <c r="E23" s="211"/>
      <c r="F23" s="206"/>
      <c r="G23" s="207"/>
      <c r="H23" s="206"/>
      <c r="I23" s="206"/>
      <c r="J23" s="206"/>
    </row>
    <row r="24" spans="1:13" ht="15.6" thickTop="1" thickBot="1" x14ac:dyDescent="0.35">
      <c r="E24" s="204" t="s">
        <v>263</v>
      </c>
      <c r="F24" s="219" t="s">
        <v>264</v>
      </c>
      <c r="G24" s="220"/>
      <c r="H24" s="220"/>
      <c r="I24" s="220"/>
      <c r="J24" s="221"/>
    </row>
    <row r="25" spans="1:13" ht="15" thickBot="1" x14ac:dyDescent="0.35">
      <c r="E25" s="211"/>
      <c r="F25" s="206"/>
      <c r="G25" s="207"/>
      <c r="H25" s="206"/>
      <c r="I25" s="206"/>
      <c r="J25" s="206"/>
    </row>
    <row r="26" spans="1:13" ht="15.6" thickTop="1" thickBot="1" x14ac:dyDescent="0.35">
      <c r="E26" s="204" t="s">
        <v>265</v>
      </c>
      <c r="F26" s="236">
        <v>43466</v>
      </c>
      <c r="G26" s="237"/>
      <c r="H26" s="237"/>
    </row>
    <row r="27" spans="1:13" ht="15" thickBot="1" x14ac:dyDescent="0.35"/>
    <row r="28" spans="1:13" ht="15.6" thickTop="1" thickBot="1" x14ac:dyDescent="0.35">
      <c r="E28" s="212" t="s">
        <v>266</v>
      </c>
      <c r="F28" s="238" t="s">
        <v>267</v>
      </c>
      <c r="G28" s="239"/>
      <c r="H28" s="240"/>
    </row>
    <row r="29" spans="1:13" ht="15" thickBot="1" x14ac:dyDescent="0.35"/>
    <row r="30" spans="1:13" ht="28.5" customHeight="1" thickTop="1" thickBot="1" x14ac:dyDescent="0.35">
      <c r="A30" s="241" t="s">
        <v>268</v>
      </c>
      <c r="B30" s="241"/>
      <c r="C30" s="241"/>
      <c r="D30" s="241"/>
      <c r="E30" s="242"/>
      <c r="F30" s="238">
        <v>2016</v>
      </c>
      <c r="G30" s="239"/>
      <c r="H30" s="240"/>
    </row>
    <row r="31" spans="1:13" ht="9.75" customHeight="1" thickBot="1" x14ac:dyDescent="0.35"/>
    <row r="32" spans="1:13" ht="28.5" customHeight="1" thickTop="1" thickBot="1" x14ac:dyDescent="0.35">
      <c r="A32" s="241" t="s">
        <v>269</v>
      </c>
      <c r="B32" s="241"/>
      <c r="C32" s="241"/>
      <c r="D32" s="241"/>
      <c r="E32" s="242"/>
      <c r="F32" s="238">
        <v>2014</v>
      </c>
      <c r="G32" s="239"/>
      <c r="H32" s="240"/>
    </row>
    <row r="33" spans="1:14" ht="9.75" customHeight="1" x14ac:dyDescent="0.3"/>
    <row r="34" spans="1:14" ht="9.75" customHeight="1" x14ac:dyDescent="0.3"/>
    <row r="35" spans="1:14" x14ac:dyDescent="0.3">
      <c r="B35" s="213" t="s">
        <v>270</v>
      </c>
    </row>
    <row r="36" spans="1:14" ht="15" thickBot="1" x14ac:dyDescent="0.35"/>
    <row r="37" spans="1:14" ht="15" thickBot="1" x14ac:dyDescent="0.35">
      <c r="B37" s="214"/>
      <c r="C37" s="230" t="s">
        <v>271</v>
      </c>
      <c r="D37" s="230"/>
      <c r="E37" s="230"/>
      <c r="F37" s="230"/>
      <c r="G37" s="230"/>
      <c r="H37" s="230"/>
      <c r="I37" s="230"/>
      <c r="J37" s="230"/>
      <c r="K37" s="230"/>
      <c r="L37" s="230"/>
    </row>
    <row r="38" spans="1:14" ht="15" thickBot="1" x14ac:dyDescent="0.35"/>
    <row r="39" spans="1:14" ht="15" thickBot="1" x14ac:dyDescent="0.35">
      <c r="B39" s="215"/>
      <c r="C39" s="231" t="s">
        <v>272</v>
      </c>
      <c r="D39" s="232"/>
      <c r="E39" s="232"/>
      <c r="F39" s="232"/>
      <c r="G39" s="232"/>
      <c r="H39" s="232"/>
      <c r="I39" s="232"/>
      <c r="J39" s="232"/>
      <c r="K39" s="232"/>
      <c r="L39" s="232"/>
      <c r="M39" s="232"/>
      <c r="N39" s="232"/>
    </row>
    <row r="40" spans="1:14" ht="15" thickBot="1" x14ac:dyDescent="0.35">
      <c r="B40" s="216"/>
      <c r="C40" s="217"/>
      <c r="D40" s="217"/>
      <c r="E40" s="217"/>
      <c r="F40" s="217"/>
      <c r="G40" s="217"/>
      <c r="H40" s="217"/>
      <c r="I40" s="217"/>
      <c r="J40" s="217"/>
      <c r="K40" s="217"/>
      <c r="L40" s="217"/>
      <c r="M40" s="217"/>
      <c r="N40" s="217"/>
    </row>
    <row r="41" spans="1:14" ht="15.75" customHeight="1" thickBot="1" x14ac:dyDescent="0.35">
      <c r="B41" s="218"/>
      <c r="C41" s="233" t="s">
        <v>273</v>
      </c>
      <c r="D41" s="234"/>
      <c r="E41" s="234"/>
      <c r="F41" s="234"/>
      <c r="G41" s="234"/>
      <c r="H41" s="234"/>
      <c r="I41" s="234"/>
      <c r="J41" s="234"/>
      <c r="K41" s="234"/>
      <c r="L41" s="234"/>
      <c r="M41" s="234"/>
    </row>
    <row r="42" spans="1:14" ht="4.5" customHeight="1" x14ac:dyDescent="0.3"/>
    <row r="44" spans="1:14" ht="30.75" customHeight="1" x14ac:dyDescent="0.3">
      <c r="A44" s="235" t="s">
        <v>274</v>
      </c>
      <c r="B44" s="235"/>
      <c r="C44" s="235"/>
      <c r="D44" s="235"/>
      <c r="E44" s="235"/>
      <c r="F44" s="235"/>
      <c r="G44" s="235"/>
    </row>
  </sheetData>
  <mergeCells count="16">
    <mergeCell ref="C37:L37"/>
    <mergeCell ref="C39:N39"/>
    <mergeCell ref="C41:M41"/>
    <mergeCell ref="A44:G44"/>
    <mergeCell ref="F26:H26"/>
    <mergeCell ref="F28:H28"/>
    <mergeCell ref="A30:E30"/>
    <mergeCell ref="F30:H30"/>
    <mergeCell ref="A32:E32"/>
    <mergeCell ref="F32:H32"/>
    <mergeCell ref="F24:J24"/>
    <mergeCell ref="F14:L14"/>
    <mergeCell ref="F16:J16"/>
    <mergeCell ref="F18:H18"/>
    <mergeCell ref="F20:K20"/>
    <mergeCell ref="F22:H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H471"/>
  <sheetViews>
    <sheetView showGridLines="0" workbookViewId="0">
      <selection sqref="A1:E10"/>
    </sheetView>
  </sheetViews>
  <sheetFormatPr defaultRowHeight="14.4" x14ac:dyDescent="0.3"/>
  <cols>
    <col min="1" max="1" width="3" customWidth="1"/>
    <col min="2" max="2" width="63.88671875" customWidth="1"/>
    <col min="3" max="3" width="29.21875" customWidth="1"/>
    <col min="4" max="4" width="5.21875" bestFit="1" customWidth="1"/>
    <col min="5" max="5" width="7.109375" bestFit="1" customWidth="1"/>
    <col min="7" max="7" width="28.77734375" style="1" customWidth="1"/>
    <col min="8" max="8" width="8.88671875" style="1"/>
  </cols>
  <sheetData>
    <row r="2" spans="2:8" ht="22.8" x14ac:dyDescent="0.3">
      <c r="B2" s="244" t="s">
        <v>130</v>
      </c>
      <c r="C2" s="244"/>
      <c r="D2" s="244"/>
      <c r="E2" s="244"/>
    </row>
    <row r="3" spans="2:8" ht="22.8" x14ac:dyDescent="0.3">
      <c r="B3" s="244" t="s">
        <v>129</v>
      </c>
      <c r="C3" s="244"/>
      <c r="D3" s="244"/>
      <c r="E3" s="244"/>
    </row>
    <row r="4" spans="2:8" ht="17.399999999999999" x14ac:dyDescent="0.3">
      <c r="B4" s="245" t="s">
        <v>128</v>
      </c>
      <c r="C4" s="245"/>
      <c r="D4" s="245"/>
      <c r="E4" s="245"/>
    </row>
    <row r="5" spans="2:8" ht="15.6" x14ac:dyDescent="0.3">
      <c r="B5" s="246" t="s">
        <v>127</v>
      </c>
      <c r="C5" s="246"/>
      <c r="D5" s="246"/>
      <c r="E5" s="246"/>
    </row>
    <row r="6" spans="2:8" x14ac:dyDescent="0.3">
      <c r="B6" s="247" t="s">
        <v>126</v>
      </c>
      <c r="C6" s="247"/>
      <c r="D6" s="247"/>
      <c r="E6" s="247"/>
    </row>
    <row r="7" spans="2:8" x14ac:dyDescent="0.3">
      <c r="B7" s="247" t="s">
        <v>125</v>
      </c>
      <c r="C7" s="247"/>
      <c r="D7" s="247"/>
      <c r="E7" s="247"/>
    </row>
    <row r="8" spans="2:8" x14ac:dyDescent="0.3">
      <c r="B8" s="248" t="s">
        <v>124</v>
      </c>
      <c r="C8" s="248"/>
      <c r="D8" s="248"/>
      <c r="E8" s="248"/>
    </row>
    <row r="9" spans="2:8" s="2" customFormat="1" ht="23.4" customHeight="1" x14ac:dyDescent="0.3">
      <c r="B9" s="249" t="s">
        <v>122</v>
      </c>
      <c r="C9" s="250"/>
      <c r="D9" s="250"/>
      <c r="E9" s="250"/>
      <c r="G9" s="1"/>
      <c r="H9" s="1"/>
    </row>
    <row r="10" spans="2:8" s="2" customFormat="1" ht="68.400000000000006" customHeight="1" x14ac:dyDescent="0.3">
      <c r="B10" s="251" t="s">
        <v>123</v>
      </c>
      <c r="C10" s="251"/>
      <c r="D10" s="251"/>
      <c r="E10" s="251"/>
      <c r="G10" s="1"/>
      <c r="H10" s="1"/>
    </row>
    <row r="11" spans="2:8" s="2" customFormat="1" x14ac:dyDescent="0.3">
      <c r="B11" s="10"/>
      <c r="C11" s="10"/>
      <c r="D11" s="10"/>
      <c r="E11" s="10"/>
      <c r="G11" s="1"/>
      <c r="H11" s="1"/>
    </row>
    <row r="12" spans="2:8" s="2" customFormat="1" x14ac:dyDescent="0.3">
      <c r="B12" s="252" t="s">
        <v>72</v>
      </c>
      <c r="C12" s="250"/>
      <c r="D12" s="250"/>
      <c r="E12" s="250"/>
      <c r="G12" s="1"/>
      <c r="H12" s="1"/>
    </row>
    <row r="13" spans="2:8" s="2" customFormat="1" x14ac:dyDescent="0.3">
      <c r="B13" s="13"/>
      <c r="C13" s="16"/>
      <c r="D13" s="16"/>
      <c r="E13" s="16"/>
      <c r="G13" s="1"/>
      <c r="H13" s="1"/>
    </row>
    <row r="14" spans="2:8" s="2" customFormat="1" ht="23.4" customHeight="1" x14ac:dyDescent="0.3">
      <c r="B14" s="251" t="s">
        <v>24</v>
      </c>
      <c r="C14" s="251"/>
      <c r="D14" s="251"/>
      <c r="E14" s="251"/>
      <c r="G14" s="1"/>
      <c r="H14" s="1"/>
    </row>
    <row r="15" spans="2:8" s="2" customFormat="1" x14ac:dyDescent="0.3">
      <c r="B15" s="10"/>
      <c r="C15" s="10"/>
      <c r="D15" s="10"/>
      <c r="E15" s="10"/>
      <c r="G15" s="1"/>
      <c r="H15" s="1"/>
    </row>
    <row r="16" spans="2:8" s="2" customFormat="1" ht="42.6" customHeight="1" x14ac:dyDescent="0.3">
      <c r="B16" s="251" t="s">
        <v>23</v>
      </c>
      <c r="C16" s="251"/>
      <c r="D16" s="251"/>
      <c r="E16" s="251"/>
      <c r="G16" s="1"/>
      <c r="H16" s="1"/>
    </row>
    <row r="17" spans="2:8" s="2" customFormat="1" x14ac:dyDescent="0.3">
      <c r="B17" s="10"/>
      <c r="C17" s="10"/>
      <c r="D17" s="10"/>
      <c r="E17" s="10"/>
      <c r="G17" s="1"/>
      <c r="H17" s="1"/>
    </row>
    <row r="18" spans="2:8" s="2" customFormat="1" ht="44.4" customHeight="1" x14ac:dyDescent="0.3">
      <c r="B18" s="251" t="s">
        <v>99</v>
      </c>
      <c r="C18" s="251"/>
      <c r="D18" s="251"/>
      <c r="E18" s="251"/>
      <c r="G18" s="1"/>
      <c r="H18" s="1"/>
    </row>
    <row r="19" spans="2:8" s="2" customFormat="1" x14ac:dyDescent="0.3">
      <c r="B19" s="10"/>
      <c r="C19" s="10"/>
      <c r="D19" s="10"/>
      <c r="E19" s="10"/>
      <c r="G19" s="1"/>
      <c r="H19" s="1"/>
    </row>
    <row r="20" spans="2:8" s="2" customFormat="1" ht="30" customHeight="1" x14ac:dyDescent="0.3">
      <c r="B20" s="251" t="s">
        <v>62</v>
      </c>
      <c r="C20" s="251"/>
      <c r="D20" s="251"/>
      <c r="E20" s="251"/>
      <c r="G20" s="1"/>
      <c r="H20" s="1"/>
    </row>
    <row r="21" spans="2:8" s="2" customFormat="1" x14ac:dyDescent="0.3">
      <c r="B21" s="10"/>
      <c r="C21" s="10"/>
      <c r="D21" s="10"/>
      <c r="E21" s="10"/>
      <c r="G21" s="1"/>
      <c r="H21" s="1"/>
    </row>
    <row r="22" spans="2:8" s="2" customFormat="1" x14ac:dyDescent="0.3">
      <c r="B22" s="252" t="s">
        <v>70</v>
      </c>
      <c r="C22" s="251"/>
      <c r="D22" s="251"/>
      <c r="E22" s="251"/>
      <c r="G22" s="1"/>
      <c r="H22" s="1"/>
    </row>
    <row r="23" spans="2:8" s="2" customFormat="1" x14ac:dyDescent="0.3">
      <c r="B23" s="13"/>
      <c r="C23" s="10"/>
      <c r="D23" s="10"/>
      <c r="E23" s="10"/>
      <c r="G23" s="1"/>
      <c r="H23" s="1"/>
    </row>
    <row r="24" spans="2:8" s="2" customFormat="1" ht="17.399999999999999" customHeight="1" x14ac:dyDescent="0.3">
      <c r="B24" s="243" t="s">
        <v>69</v>
      </c>
      <c r="C24" s="243"/>
      <c r="D24" s="4" t="s">
        <v>4</v>
      </c>
      <c r="E24" s="7">
        <v>24.3</v>
      </c>
      <c r="G24" s="1" t="s">
        <v>97</v>
      </c>
      <c r="H24" s="11" t="s">
        <v>122</v>
      </c>
    </row>
    <row r="25" spans="2:8" s="2" customFormat="1" ht="25.2" customHeight="1" x14ac:dyDescent="0.3">
      <c r="B25" s="243" t="s">
        <v>119</v>
      </c>
      <c r="C25" s="243"/>
      <c r="D25" s="4" t="s">
        <v>4</v>
      </c>
      <c r="E25" s="7">
        <v>1.75</v>
      </c>
      <c r="G25" s="1" t="s">
        <v>118</v>
      </c>
      <c r="H25" s="11" t="s">
        <v>122</v>
      </c>
    </row>
    <row r="26" spans="2:8" s="2" customFormat="1" ht="25.2" customHeight="1" x14ac:dyDescent="0.3">
      <c r="B26" s="243" t="s">
        <v>117</v>
      </c>
      <c r="C26" s="243"/>
      <c r="D26" s="4" t="s">
        <v>4</v>
      </c>
      <c r="E26" s="7">
        <v>0.56999999999999995</v>
      </c>
      <c r="G26" s="1" t="s">
        <v>116</v>
      </c>
      <c r="H26" s="11" t="s">
        <v>122</v>
      </c>
    </row>
    <row r="27" spans="2:8" s="2" customFormat="1" x14ac:dyDescent="0.3">
      <c r="B27" s="243" t="s">
        <v>96</v>
      </c>
      <c r="C27" s="243"/>
      <c r="D27" s="4" t="s">
        <v>79</v>
      </c>
      <c r="E27" s="3">
        <v>5.3E-3</v>
      </c>
      <c r="G27" s="1" t="s">
        <v>96</v>
      </c>
      <c r="H27" s="11" t="s">
        <v>122</v>
      </c>
    </row>
    <row r="28" spans="2:8" s="2" customFormat="1" x14ac:dyDescent="0.3">
      <c r="B28" s="243" t="s">
        <v>95</v>
      </c>
      <c r="C28" s="243"/>
      <c r="D28" s="4" t="s">
        <v>79</v>
      </c>
      <c r="E28" s="3">
        <v>2.3999999999999998E-3</v>
      </c>
      <c r="G28" s="1" t="s">
        <v>94</v>
      </c>
      <c r="H28" s="11" t="s">
        <v>122</v>
      </c>
    </row>
    <row r="29" spans="2:8" s="2" customFormat="1" ht="25.8" customHeight="1" x14ac:dyDescent="0.3">
      <c r="B29" s="243" t="s">
        <v>93</v>
      </c>
      <c r="C29" s="243"/>
      <c r="D29" s="4" t="s">
        <v>79</v>
      </c>
      <c r="E29" s="3">
        <v>1.4200000000000001E-2</v>
      </c>
      <c r="G29" s="1" t="s">
        <v>92</v>
      </c>
      <c r="H29" s="11" t="s">
        <v>122</v>
      </c>
    </row>
    <row r="30" spans="2:8" s="2" customFormat="1" x14ac:dyDescent="0.3">
      <c r="B30" s="243" t="s">
        <v>91</v>
      </c>
      <c r="C30" s="243"/>
      <c r="D30" s="4" t="s">
        <v>79</v>
      </c>
      <c r="E30" s="3">
        <v>-6.4739169462600422E-3</v>
      </c>
      <c r="G30" s="1" t="s">
        <v>90</v>
      </c>
      <c r="H30" s="11" t="s">
        <v>122</v>
      </c>
    </row>
    <row r="31" spans="2:8" s="2" customFormat="1" x14ac:dyDescent="0.3">
      <c r="B31" s="243" t="s">
        <v>89</v>
      </c>
      <c r="C31" s="243"/>
      <c r="D31" s="4" t="s">
        <v>79</v>
      </c>
      <c r="E31" s="3">
        <v>6.1000000000000004E-3</v>
      </c>
      <c r="G31" s="1" t="s">
        <v>88</v>
      </c>
      <c r="H31" s="11" t="s">
        <v>122</v>
      </c>
    </row>
    <row r="32" spans="2:8" s="2" customFormat="1" x14ac:dyDescent="0.3">
      <c r="B32" s="243" t="s">
        <v>87</v>
      </c>
      <c r="C32" s="243"/>
      <c r="D32" s="4" t="s">
        <v>79</v>
      </c>
      <c r="E32" s="3">
        <v>3.3E-3</v>
      </c>
      <c r="G32" s="1" t="s">
        <v>86</v>
      </c>
      <c r="H32" s="11" t="s">
        <v>122</v>
      </c>
    </row>
    <row r="33" spans="1:8" s="2" customFormat="1" x14ac:dyDescent="0.3">
      <c r="B33" s="8"/>
      <c r="C33" s="8"/>
      <c r="D33" s="4"/>
      <c r="E33" s="3"/>
      <c r="G33" s="1"/>
      <c r="H33" s="11" t="s">
        <v>122</v>
      </c>
    </row>
    <row r="34" spans="1:8" s="2" customFormat="1" x14ac:dyDescent="0.3">
      <c r="B34" s="252" t="s">
        <v>85</v>
      </c>
      <c r="C34" s="243"/>
      <c r="D34" s="4"/>
      <c r="E34" s="4"/>
      <c r="G34" s="1"/>
      <c r="H34" s="11" t="s">
        <v>122</v>
      </c>
    </row>
    <row r="35" spans="1:8" s="2" customFormat="1" x14ac:dyDescent="0.3">
      <c r="B35" s="13"/>
      <c r="C35" s="8"/>
      <c r="D35" s="4"/>
      <c r="E35" s="4"/>
      <c r="G35" s="1"/>
      <c r="H35" s="11" t="s">
        <v>122</v>
      </c>
    </row>
    <row r="36" spans="1:8" s="2" customFormat="1" x14ac:dyDescent="0.3">
      <c r="B36" s="243" t="s">
        <v>84</v>
      </c>
      <c r="C36" s="243"/>
      <c r="D36" s="4" t="s">
        <v>79</v>
      </c>
      <c r="E36" s="3">
        <v>3.2000000000000002E-3</v>
      </c>
      <c r="G36" s="1" t="s">
        <v>83</v>
      </c>
      <c r="H36" s="11" t="s">
        <v>122</v>
      </c>
    </row>
    <row r="37" spans="1:8" s="2" customFormat="1" x14ac:dyDescent="0.3">
      <c r="B37" s="243" t="s">
        <v>82</v>
      </c>
      <c r="C37" s="243"/>
      <c r="D37" s="4" t="s">
        <v>79</v>
      </c>
      <c r="E37" s="3">
        <v>4.0000000000000002E-4</v>
      </c>
      <c r="G37" s="1" t="s">
        <v>81</v>
      </c>
      <c r="H37" s="11" t="s">
        <v>122</v>
      </c>
    </row>
    <row r="38" spans="1:8" s="2" customFormat="1" x14ac:dyDescent="0.3">
      <c r="B38" s="243" t="s">
        <v>80</v>
      </c>
      <c r="C38" s="243"/>
      <c r="D38" s="4" t="s">
        <v>79</v>
      </c>
      <c r="E38" s="3">
        <v>2.9999999999999997E-4</v>
      </c>
      <c r="G38" s="1" t="s">
        <v>78</v>
      </c>
      <c r="H38" s="11" t="s">
        <v>122</v>
      </c>
    </row>
    <row r="39" spans="1:8" s="2" customFormat="1" x14ac:dyDescent="0.3">
      <c r="B39" s="243" t="s">
        <v>77</v>
      </c>
      <c r="C39" s="243"/>
      <c r="D39" s="4" t="s">
        <v>4</v>
      </c>
      <c r="E39" s="7">
        <v>0.25</v>
      </c>
      <c r="G39" s="1" t="s">
        <v>76</v>
      </c>
      <c r="H39" s="11" t="s">
        <v>122</v>
      </c>
    </row>
    <row r="40" spans="1:8" s="2" customFormat="1" ht="18" x14ac:dyDescent="0.3">
      <c r="A40" s="17"/>
      <c r="B40" s="249" t="s">
        <v>121</v>
      </c>
      <c r="C40" s="253"/>
      <c r="D40" s="253"/>
      <c r="E40" s="253"/>
      <c r="G40" s="1"/>
      <c r="H40" s="11"/>
    </row>
    <row r="41" spans="1:8" s="2" customFormat="1" ht="43.8" customHeight="1" x14ac:dyDescent="0.3">
      <c r="B41" s="251" t="s">
        <v>120</v>
      </c>
      <c r="C41" s="251"/>
      <c r="D41" s="251"/>
      <c r="E41" s="251"/>
      <c r="G41" s="1"/>
      <c r="H41" s="11"/>
    </row>
    <row r="42" spans="1:8" s="2" customFormat="1" x14ac:dyDescent="0.3">
      <c r="B42" s="10"/>
      <c r="C42" s="10"/>
      <c r="D42" s="10"/>
      <c r="E42" s="10"/>
      <c r="G42" s="1"/>
      <c r="H42" s="11"/>
    </row>
    <row r="43" spans="1:8" s="2" customFormat="1" x14ac:dyDescent="0.3">
      <c r="B43" s="252" t="s">
        <v>72</v>
      </c>
      <c r="C43" s="250"/>
      <c r="D43" s="250"/>
      <c r="E43" s="250"/>
      <c r="G43" s="1"/>
      <c r="H43" s="11"/>
    </row>
    <row r="44" spans="1:8" s="2" customFormat="1" x14ac:dyDescent="0.3">
      <c r="B44" s="13"/>
      <c r="C44" s="16"/>
      <c r="D44" s="16"/>
      <c r="E44" s="16"/>
      <c r="G44" s="1"/>
      <c r="H44" s="11"/>
    </row>
    <row r="45" spans="1:8" s="2" customFormat="1" ht="33.6" customHeight="1" x14ac:dyDescent="0.3">
      <c r="B45" s="251" t="s">
        <v>24</v>
      </c>
      <c r="C45" s="251"/>
      <c r="D45" s="251"/>
      <c r="E45" s="251"/>
      <c r="G45" s="1"/>
      <c r="H45" s="11"/>
    </row>
    <row r="46" spans="1:8" s="2" customFormat="1" x14ac:dyDescent="0.3">
      <c r="B46" s="10"/>
      <c r="C46" s="10"/>
      <c r="D46" s="10"/>
      <c r="E46" s="10"/>
      <c r="G46" s="1"/>
      <c r="H46" s="11"/>
    </row>
    <row r="47" spans="1:8" s="2" customFormat="1" ht="36.6" customHeight="1" x14ac:dyDescent="0.3">
      <c r="B47" s="251" t="s">
        <v>23</v>
      </c>
      <c r="C47" s="251"/>
      <c r="D47" s="251"/>
      <c r="E47" s="251"/>
      <c r="G47" s="1"/>
      <c r="H47" s="1"/>
    </row>
    <row r="48" spans="1:8" s="2" customFormat="1" x14ac:dyDescent="0.3">
      <c r="B48" s="10"/>
      <c r="C48" s="10"/>
      <c r="D48" s="10"/>
      <c r="E48" s="10"/>
      <c r="G48" s="1"/>
      <c r="H48" s="1"/>
    </row>
    <row r="49" spans="2:8" s="2" customFormat="1" ht="36.6" customHeight="1" x14ac:dyDescent="0.3">
      <c r="B49" s="251" t="s">
        <v>99</v>
      </c>
      <c r="C49" s="251"/>
      <c r="D49" s="251"/>
      <c r="E49" s="251"/>
      <c r="G49" s="1"/>
      <c r="H49" s="1"/>
    </row>
    <row r="50" spans="2:8" s="2" customFormat="1" x14ac:dyDescent="0.3">
      <c r="B50" s="10"/>
      <c r="C50" s="10"/>
      <c r="D50" s="10"/>
      <c r="E50" s="10"/>
      <c r="G50" s="1"/>
      <c r="H50" s="1"/>
    </row>
    <row r="51" spans="2:8" s="2" customFormat="1" ht="33.6" customHeight="1" x14ac:dyDescent="0.3">
      <c r="B51" s="251" t="s">
        <v>62</v>
      </c>
      <c r="C51" s="251"/>
      <c r="D51" s="251"/>
      <c r="E51" s="251"/>
      <c r="G51" s="1"/>
      <c r="H51" s="1"/>
    </row>
    <row r="52" spans="2:8" s="2" customFormat="1" x14ac:dyDescent="0.3">
      <c r="B52" s="10"/>
      <c r="C52" s="10"/>
      <c r="D52" s="10"/>
      <c r="E52" s="10"/>
      <c r="G52" s="1"/>
      <c r="H52" s="1"/>
    </row>
    <row r="53" spans="2:8" s="2" customFormat="1" x14ac:dyDescent="0.3">
      <c r="B53" s="252" t="s">
        <v>70</v>
      </c>
      <c r="C53" s="251"/>
      <c r="D53" s="251"/>
      <c r="E53" s="251"/>
      <c r="G53" s="1"/>
      <c r="H53" s="1"/>
    </row>
    <row r="54" spans="2:8" s="2" customFormat="1" x14ac:dyDescent="0.3">
      <c r="B54" s="13"/>
      <c r="C54" s="10"/>
      <c r="D54" s="10"/>
      <c r="E54" s="10"/>
      <c r="G54" s="1"/>
      <c r="H54" s="1"/>
    </row>
    <row r="55" spans="2:8" s="2" customFormat="1" ht="23.4" customHeight="1" x14ac:dyDescent="0.3">
      <c r="B55" s="243" t="s">
        <v>69</v>
      </c>
      <c r="C55" s="243"/>
      <c r="D55" s="4" t="s">
        <v>4</v>
      </c>
      <c r="E55" s="7">
        <v>17.36</v>
      </c>
      <c r="G55" s="1" t="s">
        <v>97</v>
      </c>
      <c r="H55" s="11" t="s">
        <v>121</v>
      </c>
    </row>
    <row r="56" spans="2:8" s="2" customFormat="1" ht="28.2" customHeight="1" x14ac:dyDescent="0.3">
      <c r="B56" s="243" t="s">
        <v>119</v>
      </c>
      <c r="C56" s="243"/>
      <c r="D56" s="4" t="s">
        <v>4</v>
      </c>
      <c r="E56" s="7">
        <v>4.33</v>
      </c>
      <c r="G56" s="1" t="s">
        <v>118</v>
      </c>
      <c r="H56" s="11" t="s">
        <v>121</v>
      </c>
    </row>
    <row r="57" spans="2:8" s="2" customFormat="1" x14ac:dyDescent="0.3">
      <c r="B57" s="243" t="s">
        <v>117</v>
      </c>
      <c r="C57" s="243"/>
      <c r="D57" s="4" t="s">
        <v>4</v>
      </c>
      <c r="E57" s="7">
        <v>0.56999999999999995</v>
      </c>
      <c r="G57" s="1" t="s">
        <v>116</v>
      </c>
      <c r="H57" s="11" t="s">
        <v>121</v>
      </c>
    </row>
    <row r="58" spans="2:8" s="2" customFormat="1" x14ac:dyDescent="0.3">
      <c r="B58" s="243" t="s">
        <v>96</v>
      </c>
      <c r="C58" s="243"/>
      <c r="D58" s="4" t="s">
        <v>79</v>
      </c>
      <c r="E58" s="3">
        <v>1.7999999999999999E-2</v>
      </c>
      <c r="G58" s="1" t="s">
        <v>96</v>
      </c>
      <c r="H58" s="11" t="s">
        <v>121</v>
      </c>
    </row>
    <row r="59" spans="2:8" s="2" customFormat="1" x14ac:dyDescent="0.3">
      <c r="B59" s="243" t="s">
        <v>95</v>
      </c>
      <c r="C59" s="243"/>
      <c r="D59" s="4" t="s">
        <v>79</v>
      </c>
      <c r="E59" s="3">
        <v>2.3999999999999998E-3</v>
      </c>
      <c r="G59" s="1" t="s">
        <v>94</v>
      </c>
      <c r="H59" s="11" t="s">
        <v>121</v>
      </c>
    </row>
    <row r="60" spans="2:8" s="2" customFormat="1" ht="29.4" customHeight="1" x14ac:dyDescent="0.3">
      <c r="B60" s="243" t="s">
        <v>93</v>
      </c>
      <c r="C60" s="243"/>
      <c r="D60" s="4" t="s">
        <v>79</v>
      </c>
      <c r="E60" s="3">
        <v>1.4200000000000001E-2</v>
      </c>
      <c r="G60" s="1" t="s">
        <v>92</v>
      </c>
      <c r="H60" s="11" t="s">
        <v>121</v>
      </c>
    </row>
    <row r="61" spans="2:8" s="2" customFormat="1" x14ac:dyDescent="0.3">
      <c r="B61" s="243" t="s">
        <v>91</v>
      </c>
      <c r="C61" s="243"/>
      <c r="D61" s="4" t="s">
        <v>79</v>
      </c>
      <c r="E61" s="3">
        <v>-6.3844404687474557E-3</v>
      </c>
      <c r="G61" s="1" t="s">
        <v>90</v>
      </c>
      <c r="H61" s="11" t="s">
        <v>121</v>
      </c>
    </row>
    <row r="62" spans="2:8" s="2" customFormat="1" x14ac:dyDescent="0.3">
      <c r="B62" s="243" t="s">
        <v>89</v>
      </c>
      <c r="C62" s="243"/>
      <c r="D62" s="4" t="s">
        <v>79</v>
      </c>
      <c r="E62" s="3">
        <v>5.5999999999999999E-3</v>
      </c>
      <c r="G62" s="1" t="s">
        <v>88</v>
      </c>
      <c r="H62" s="11" t="s">
        <v>121</v>
      </c>
    </row>
    <row r="63" spans="2:8" s="2" customFormat="1" x14ac:dyDescent="0.3">
      <c r="B63" s="243" t="s">
        <v>87</v>
      </c>
      <c r="C63" s="243"/>
      <c r="D63" s="4" t="s">
        <v>79</v>
      </c>
      <c r="E63" s="3">
        <v>2.8E-3</v>
      </c>
      <c r="G63" s="1" t="s">
        <v>86</v>
      </c>
      <c r="H63" s="11" t="s">
        <v>121</v>
      </c>
    </row>
    <row r="64" spans="2:8" s="2" customFormat="1" x14ac:dyDescent="0.3">
      <c r="B64" s="8"/>
      <c r="C64" s="8"/>
      <c r="D64" s="4"/>
      <c r="E64" s="3"/>
      <c r="G64" s="1"/>
      <c r="H64" s="11" t="s">
        <v>121</v>
      </c>
    </row>
    <row r="65" spans="1:8" s="2" customFormat="1" x14ac:dyDescent="0.3">
      <c r="B65" s="252" t="s">
        <v>85</v>
      </c>
      <c r="C65" s="243"/>
      <c r="D65" s="4"/>
      <c r="E65" s="4"/>
      <c r="G65" s="1"/>
      <c r="H65" s="11" t="s">
        <v>121</v>
      </c>
    </row>
    <row r="66" spans="1:8" s="2" customFormat="1" x14ac:dyDescent="0.3">
      <c r="B66" s="13"/>
      <c r="C66" s="8"/>
      <c r="D66" s="4"/>
      <c r="E66" s="4"/>
      <c r="G66" s="1"/>
      <c r="H66" s="11" t="s">
        <v>121</v>
      </c>
    </row>
    <row r="67" spans="1:8" s="2" customFormat="1" x14ac:dyDescent="0.3">
      <c r="B67" s="243" t="s">
        <v>84</v>
      </c>
      <c r="C67" s="243"/>
      <c r="D67" s="4" t="s">
        <v>79</v>
      </c>
      <c r="E67" s="3">
        <v>3.2000000000000002E-3</v>
      </c>
      <c r="G67" s="1" t="s">
        <v>83</v>
      </c>
      <c r="H67" s="11" t="s">
        <v>121</v>
      </c>
    </row>
    <row r="68" spans="1:8" s="2" customFormat="1" x14ac:dyDescent="0.3">
      <c r="B68" s="243" t="s">
        <v>82</v>
      </c>
      <c r="C68" s="243"/>
      <c r="D68" s="4" t="s">
        <v>79</v>
      </c>
      <c r="E68" s="3">
        <v>4.0000000000000002E-4</v>
      </c>
      <c r="G68" s="1" t="s">
        <v>81</v>
      </c>
      <c r="H68" s="11" t="s">
        <v>121</v>
      </c>
    </row>
    <row r="69" spans="1:8" s="2" customFormat="1" x14ac:dyDescent="0.3">
      <c r="B69" s="243" t="s">
        <v>80</v>
      </c>
      <c r="C69" s="243"/>
      <c r="D69" s="4" t="s">
        <v>79</v>
      </c>
      <c r="E69" s="3">
        <v>2.9999999999999997E-4</v>
      </c>
      <c r="G69" s="1" t="s">
        <v>78</v>
      </c>
      <c r="H69" s="11" t="s">
        <v>121</v>
      </c>
    </row>
    <row r="70" spans="1:8" s="2" customFormat="1" x14ac:dyDescent="0.3">
      <c r="B70" s="243" t="s">
        <v>77</v>
      </c>
      <c r="C70" s="243"/>
      <c r="D70" s="4" t="s">
        <v>4</v>
      </c>
      <c r="E70" s="7">
        <v>0.25</v>
      </c>
      <c r="G70" s="1" t="s">
        <v>76</v>
      </c>
      <c r="H70" s="11" t="s">
        <v>121</v>
      </c>
    </row>
    <row r="71" spans="1:8" s="2" customFormat="1" ht="18" x14ac:dyDescent="0.3">
      <c r="A71" s="17"/>
      <c r="B71" s="249" t="s">
        <v>115</v>
      </c>
      <c r="C71" s="253"/>
      <c r="D71" s="253"/>
      <c r="E71" s="253"/>
      <c r="G71" s="1"/>
      <c r="H71" s="1"/>
    </row>
    <row r="72" spans="1:8" s="2" customFormat="1" ht="120" customHeight="1" x14ac:dyDescent="0.3">
      <c r="B72" s="251" t="s">
        <v>114</v>
      </c>
      <c r="C72" s="251"/>
      <c r="D72" s="251"/>
      <c r="E72" s="251"/>
      <c r="G72" s="1"/>
      <c r="H72" s="1"/>
    </row>
    <row r="73" spans="1:8" s="2" customFormat="1" x14ac:dyDescent="0.3">
      <c r="B73" s="10"/>
      <c r="C73" s="10"/>
      <c r="D73" s="10"/>
      <c r="E73" s="10"/>
      <c r="G73" s="1"/>
      <c r="H73" s="1"/>
    </row>
    <row r="74" spans="1:8" s="2" customFormat="1" x14ac:dyDescent="0.3">
      <c r="B74" s="252" t="s">
        <v>72</v>
      </c>
      <c r="C74" s="250"/>
      <c r="D74" s="250"/>
      <c r="E74" s="250"/>
      <c r="G74" s="1"/>
      <c r="H74" s="1"/>
    </row>
    <row r="75" spans="1:8" s="2" customFormat="1" x14ac:dyDescent="0.3">
      <c r="B75" s="13"/>
      <c r="C75" s="16"/>
      <c r="D75" s="16"/>
      <c r="E75" s="16"/>
      <c r="G75" s="1"/>
      <c r="H75" s="1"/>
    </row>
    <row r="76" spans="1:8" s="2" customFormat="1" ht="29.4" customHeight="1" x14ac:dyDescent="0.3">
      <c r="B76" s="251" t="s">
        <v>24</v>
      </c>
      <c r="C76" s="251"/>
      <c r="D76" s="251"/>
      <c r="E76" s="251"/>
      <c r="G76" s="1"/>
      <c r="H76" s="1"/>
    </row>
    <row r="77" spans="1:8" s="2" customFormat="1" x14ac:dyDescent="0.3">
      <c r="B77" s="10"/>
      <c r="C77" s="10"/>
      <c r="D77" s="10"/>
      <c r="E77" s="10"/>
      <c r="G77" s="1"/>
      <c r="H77" s="1"/>
    </row>
    <row r="78" spans="1:8" s="2" customFormat="1" ht="36.6" customHeight="1" x14ac:dyDescent="0.3">
      <c r="B78" s="251" t="s">
        <v>23</v>
      </c>
      <c r="C78" s="251"/>
      <c r="D78" s="251"/>
      <c r="E78" s="251"/>
      <c r="G78" s="1"/>
      <c r="H78" s="1"/>
    </row>
    <row r="79" spans="1:8" s="2" customFormat="1" x14ac:dyDescent="0.3">
      <c r="B79" s="10"/>
      <c r="C79" s="10"/>
      <c r="D79" s="10"/>
      <c r="E79" s="10"/>
      <c r="G79" s="1"/>
      <c r="H79" s="1"/>
    </row>
    <row r="80" spans="1:8" s="2" customFormat="1" ht="34.799999999999997" customHeight="1" x14ac:dyDescent="0.3">
      <c r="B80" s="251" t="s">
        <v>99</v>
      </c>
      <c r="C80" s="251"/>
      <c r="D80" s="251"/>
      <c r="E80" s="251"/>
      <c r="G80" s="1"/>
      <c r="H80" s="1"/>
    </row>
    <row r="81" spans="2:8" s="2" customFormat="1" x14ac:dyDescent="0.3">
      <c r="B81" s="10"/>
      <c r="C81" s="10"/>
      <c r="D81" s="10"/>
      <c r="E81" s="10"/>
      <c r="G81" s="1"/>
      <c r="H81" s="1"/>
    </row>
    <row r="82" spans="2:8" s="2" customFormat="1" ht="67.8" customHeight="1" x14ac:dyDescent="0.3">
      <c r="B82" s="251" t="s">
        <v>113</v>
      </c>
      <c r="C82" s="251"/>
      <c r="D82" s="251"/>
      <c r="E82" s="251"/>
      <c r="G82" s="1"/>
      <c r="H82" s="1"/>
    </row>
    <row r="83" spans="2:8" s="2" customFormat="1" ht="38.4" customHeight="1" x14ac:dyDescent="0.3">
      <c r="B83" s="251" t="s">
        <v>62</v>
      </c>
      <c r="C83" s="251"/>
      <c r="D83" s="251"/>
      <c r="E83" s="251"/>
      <c r="G83" s="1"/>
      <c r="H83" s="1"/>
    </row>
    <row r="84" spans="2:8" s="2" customFormat="1" x14ac:dyDescent="0.3">
      <c r="B84" s="10"/>
      <c r="C84" s="10"/>
      <c r="D84" s="10"/>
      <c r="E84" s="10"/>
      <c r="G84" s="1"/>
      <c r="H84" s="1"/>
    </row>
    <row r="85" spans="2:8" s="2" customFormat="1" x14ac:dyDescent="0.3">
      <c r="B85" s="252" t="s">
        <v>70</v>
      </c>
      <c r="C85" s="251"/>
      <c r="D85" s="251"/>
      <c r="E85" s="251"/>
      <c r="G85" s="1"/>
      <c r="H85" s="1"/>
    </row>
    <row r="86" spans="2:8" s="2" customFormat="1" x14ac:dyDescent="0.3">
      <c r="B86" s="13"/>
      <c r="C86" s="10"/>
      <c r="D86" s="10"/>
      <c r="E86" s="10"/>
      <c r="G86" s="1"/>
      <c r="H86" s="1"/>
    </row>
    <row r="87" spans="2:8" s="2" customFormat="1" x14ac:dyDescent="0.3">
      <c r="B87" s="243" t="s">
        <v>69</v>
      </c>
      <c r="C87" s="243"/>
      <c r="D87" s="4" t="s">
        <v>4</v>
      </c>
      <c r="E87" s="7">
        <v>96.98</v>
      </c>
      <c r="G87" s="1" t="s">
        <v>97</v>
      </c>
      <c r="H87" s="11" t="s">
        <v>106</v>
      </c>
    </row>
    <row r="88" spans="2:8" s="2" customFormat="1" x14ac:dyDescent="0.3">
      <c r="B88" s="243" t="s">
        <v>96</v>
      </c>
      <c r="C88" s="243"/>
      <c r="D88" s="4" t="s">
        <v>66</v>
      </c>
      <c r="E88" s="3">
        <v>3.9297</v>
      </c>
      <c r="G88" s="1" t="s">
        <v>96</v>
      </c>
      <c r="H88" s="11" t="s">
        <v>106</v>
      </c>
    </row>
    <row r="89" spans="2:8" s="2" customFormat="1" x14ac:dyDescent="0.3">
      <c r="B89" s="243" t="s">
        <v>95</v>
      </c>
      <c r="C89" s="243"/>
      <c r="D89" s="4" t="s">
        <v>66</v>
      </c>
      <c r="E89" s="3">
        <v>1.1222000000000001</v>
      </c>
      <c r="G89" s="1" t="s">
        <v>94</v>
      </c>
      <c r="H89" s="11" t="s">
        <v>106</v>
      </c>
    </row>
    <row r="90" spans="2:8" s="2" customFormat="1" ht="30" customHeight="1" x14ac:dyDescent="0.3">
      <c r="B90" s="243" t="s">
        <v>93</v>
      </c>
      <c r="C90" s="243"/>
      <c r="D90" s="4" t="s">
        <v>79</v>
      </c>
      <c r="E90" s="3">
        <v>1.4200000000000001E-2</v>
      </c>
      <c r="G90" s="1" t="s">
        <v>92</v>
      </c>
      <c r="H90" s="11" t="s">
        <v>106</v>
      </c>
    </row>
    <row r="91" spans="2:8" s="2" customFormat="1" x14ac:dyDescent="0.3">
      <c r="B91" s="243" t="s">
        <v>91</v>
      </c>
      <c r="C91" s="243"/>
      <c r="D91" s="4" t="s">
        <v>66</v>
      </c>
      <c r="E91" s="3">
        <v>-2.8760694640552322</v>
      </c>
      <c r="G91" s="1" t="s">
        <v>90</v>
      </c>
      <c r="H91" s="11" t="s">
        <v>106</v>
      </c>
    </row>
    <row r="92" spans="2:8" s="2" customFormat="1" x14ac:dyDescent="0.3">
      <c r="B92" s="243" t="s">
        <v>89</v>
      </c>
      <c r="C92" s="243"/>
      <c r="D92" s="4" t="s">
        <v>66</v>
      </c>
      <c r="E92" s="3">
        <v>2.2263999999999999</v>
      </c>
      <c r="G92" s="1" t="s">
        <v>88</v>
      </c>
      <c r="H92" s="11" t="s">
        <v>106</v>
      </c>
    </row>
    <row r="93" spans="2:8" s="2" customFormat="1" x14ac:dyDescent="0.3">
      <c r="B93" s="243" t="s">
        <v>87</v>
      </c>
      <c r="C93" s="243"/>
      <c r="D93" s="4" t="s">
        <v>66</v>
      </c>
      <c r="E93" s="3">
        <v>1.1812</v>
      </c>
      <c r="G93" s="1" t="s">
        <v>86</v>
      </c>
      <c r="H93" s="11" t="s">
        <v>106</v>
      </c>
    </row>
    <row r="94" spans="2:8" s="2" customFormat="1" x14ac:dyDescent="0.3">
      <c r="B94" s="243" t="s">
        <v>112</v>
      </c>
      <c r="C94" s="243"/>
      <c r="D94" s="4" t="s">
        <v>66</v>
      </c>
      <c r="E94" s="3">
        <v>2.3616999999999999</v>
      </c>
      <c r="G94" s="1" t="s">
        <v>88</v>
      </c>
      <c r="H94" s="11" t="s">
        <v>110</v>
      </c>
    </row>
    <row r="95" spans="2:8" s="2" customFormat="1" x14ac:dyDescent="0.3">
      <c r="B95" s="243" t="s">
        <v>111</v>
      </c>
      <c r="C95" s="243"/>
      <c r="D95" s="4" t="s">
        <v>66</v>
      </c>
      <c r="E95" s="3">
        <v>1.3052999999999999</v>
      </c>
      <c r="G95" s="1" t="s">
        <v>86</v>
      </c>
      <c r="H95" s="11" t="s">
        <v>110</v>
      </c>
    </row>
    <row r="96" spans="2:8" s="2" customFormat="1" x14ac:dyDescent="0.3">
      <c r="B96" s="243" t="s">
        <v>109</v>
      </c>
      <c r="C96" s="243"/>
      <c r="D96" s="4" t="s">
        <v>66</v>
      </c>
      <c r="E96" s="3">
        <v>2.3643999999999998</v>
      </c>
      <c r="G96" s="1" t="s">
        <v>88</v>
      </c>
      <c r="H96" s="11" t="s">
        <v>107</v>
      </c>
    </row>
    <row r="97" spans="1:8" s="2" customFormat="1" x14ac:dyDescent="0.3">
      <c r="B97" s="243" t="s">
        <v>108</v>
      </c>
      <c r="C97" s="243"/>
      <c r="D97" s="4" t="s">
        <v>66</v>
      </c>
      <c r="E97" s="3">
        <v>1.2948999999999999</v>
      </c>
      <c r="G97" s="1" t="s">
        <v>86</v>
      </c>
      <c r="H97" s="11" t="s">
        <v>107</v>
      </c>
    </row>
    <row r="98" spans="1:8" s="2" customFormat="1" x14ac:dyDescent="0.3">
      <c r="B98" s="8"/>
      <c r="C98" s="8"/>
      <c r="D98" s="4"/>
      <c r="E98" s="3"/>
      <c r="G98" s="1"/>
      <c r="H98" s="11" t="s">
        <v>106</v>
      </c>
    </row>
    <row r="99" spans="1:8" s="2" customFormat="1" x14ac:dyDescent="0.3">
      <c r="B99" s="252" t="s">
        <v>85</v>
      </c>
      <c r="C99" s="243"/>
      <c r="D99" s="4"/>
      <c r="E99" s="4"/>
      <c r="G99" s="1"/>
      <c r="H99" s="11" t="s">
        <v>106</v>
      </c>
    </row>
    <row r="100" spans="1:8" s="2" customFormat="1" x14ac:dyDescent="0.3">
      <c r="B100" s="13"/>
      <c r="C100" s="8"/>
      <c r="D100" s="4"/>
      <c r="E100" s="4"/>
      <c r="G100" s="1"/>
      <c r="H100" s="11" t="s">
        <v>106</v>
      </c>
    </row>
    <row r="101" spans="1:8" s="2" customFormat="1" x14ac:dyDescent="0.3">
      <c r="B101" s="243" t="s">
        <v>84</v>
      </c>
      <c r="C101" s="243"/>
      <c r="D101" s="4" t="s">
        <v>79</v>
      </c>
      <c r="E101" s="3">
        <v>3.2000000000000002E-3</v>
      </c>
      <c r="G101" s="1" t="s">
        <v>83</v>
      </c>
      <c r="H101" s="11" t="s">
        <v>106</v>
      </c>
    </row>
    <row r="102" spans="1:8" s="2" customFormat="1" x14ac:dyDescent="0.3">
      <c r="B102" s="243" t="s">
        <v>82</v>
      </c>
      <c r="C102" s="243"/>
      <c r="D102" s="4" t="s">
        <v>79</v>
      </c>
      <c r="E102" s="3">
        <v>4.0000000000000002E-4</v>
      </c>
      <c r="G102" s="1" t="s">
        <v>81</v>
      </c>
      <c r="H102" s="11" t="s">
        <v>106</v>
      </c>
    </row>
    <row r="103" spans="1:8" s="2" customFormat="1" x14ac:dyDescent="0.3">
      <c r="B103" s="243" t="s">
        <v>80</v>
      </c>
      <c r="C103" s="243"/>
      <c r="D103" s="4" t="s">
        <v>79</v>
      </c>
      <c r="E103" s="3">
        <v>2.9999999999999997E-4</v>
      </c>
      <c r="G103" s="1" t="s">
        <v>78</v>
      </c>
      <c r="H103" s="11" t="s">
        <v>106</v>
      </c>
    </row>
    <row r="104" spans="1:8" s="2" customFormat="1" x14ac:dyDescent="0.3">
      <c r="B104" s="243" t="s">
        <v>77</v>
      </c>
      <c r="C104" s="243"/>
      <c r="D104" s="4" t="s">
        <v>4</v>
      </c>
      <c r="E104" s="7">
        <v>0.25</v>
      </c>
      <c r="G104" s="1" t="s">
        <v>76</v>
      </c>
      <c r="H104" s="11" t="s">
        <v>106</v>
      </c>
    </row>
    <row r="105" spans="1:8" s="2" customFormat="1" ht="18" x14ac:dyDescent="0.3">
      <c r="A105" s="17"/>
      <c r="B105" s="249" t="s">
        <v>104</v>
      </c>
      <c r="C105" s="253"/>
      <c r="D105" s="253"/>
      <c r="E105" s="253"/>
      <c r="G105" s="1"/>
      <c r="H105" s="1"/>
    </row>
    <row r="106" spans="1:8" s="2" customFormat="1" ht="72.599999999999994" customHeight="1" x14ac:dyDescent="0.3">
      <c r="B106" s="251" t="s">
        <v>105</v>
      </c>
      <c r="C106" s="251"/>
      <c r="D106" s="251"/>
      <c r="E106" s="251"/>
      <c r="G106" s="1"/>
      <c r="H106" s="1"/>
    </row>
    <row r="107" spans="1:8" s="2" customFormat="1" x14ac:dyDescent="0.3">
      <c r="B107" s="10"/>
      <c r="C107" s="10"/>
      <c r="D107" s="10"/>
      <c r="E107" s="10"/>
      <c r="G107" s="1"/>
      <c r="H107" s="1"/>
    </row>
    <row r="108" spans="1:8" s="2" customFormat="1" x14ac:dyDescent="0.3">
      <c r="B108" s="252" t="s">
        <v>72</v>
      </c>
      <c r="C108" s="250"/>
      <c r="D108" s="250"/>
      <c r="E108" s="250"/>
      <c r="G108" s="1"/>
      <c r="H108" s="1"/>
    </row>
    <row r="109" spans="1:8" s="2" customFormat="1" x14ac:dyDescent="0.3">
      <c r="B109" s="13"/>
      <c r="C109" s="16"/>
      <c r="D109" s="16"/>
      <c r="E109" s="16"/>
      <c r="G109" s="1"/>
      <c r="H109" s="1"/>
    </row>
    <row r="110" spans="1:8" s="2" customFormat="1" ht="34.200000000000003" customHeight="1" x14ac:dyDescent="0.3">
      <c r="B110" s="251" t="s">
        <v>24</v>
      </c>
      <c r="C110" s="251"/>
      <c r="D110" s="251"/>
      <c r="E110" s="251"/>
      <c r="G110" s="1"/>
      <c r="H110" s="1"/>
    </row>
    <row r="111" spans="1:8" s="2" customFormat="1" x14ac:dyDescent="0.3">
      <c r="B111" s="10"/>
      <c r="C111" s="10"/>
      <c r="D111" s="10"/>
      <c r="E111" s="10"/>
      <c r="G111" s="1"/>
      <c r="H111" s="1"/>
    </row>
    <row r="112" spans="1:8" s="2" customFormat="1" ht="45" customHeight="1" x14ac:dyDescent="0.3">
      <c r="B112" s="251" t="s">
        <v>23</v>
      </c>
      <c r="C112" s="251"/>
      <c r="D112" s="251"/>
      <c r="E112" s="251"/>
      <c r="G112" s="1"/>
      <c r="H112" s="1"/>
    </row>
    <row r="113" spans="2:8" s="2" customFormat="1" x14ac:dyDescent="0.3">
      <c r="B113" s="10"/>
      <c r="C113" s="10"/>
      <c r="D113" s="10"/>
      <c r="E113" s="10"/>
      <c r="G113" s="1"/>
      <c r="H113" s="1"/>
    </row>
    <row r="114" spans="2:8" s="2" customFormat="1" ht="48.6" customHeight="1" x14ac:dyDescent="0.3">
      <c r="B114" s="251" t="s">
        <v>99</v>
      </c>
      <c r="C114" s="251"/>
      <c r="D114" s="251"/>
      <c r="E114" s="251"/>
      <c r="G114" s="1"/>
      <c r="H114" s="1"/>
    </row>
    <row r="115" spans="2:8" s="2" customFormat="1" x14ac:dyDescent="0.3">
      <c r="B115" s="10"/>
      <c r="C115" s="10"/>
      <c r="D115" s="10"/>
      <c r="E115" s="10"/>
      <c r="G115" s="1"/>
      <c r="H115" s="1"/>
    </row>
    <row r="116" spans="2:8" s="2" customFormat="1" ht="36" customHeight="1" x14ac:dyDescent="0.3">
      <c r="B116" s="251" t="s">
        <v>62</v>
      </c>
      <c r="C116" s="251"/>
      <c r="D116" s="251"/>
      <c r="E116" s="251"/>
      <c r="G116" s="1"/>
      <c r="H116" s="1"/>
    </row>
    <row r="117" spans="2:8" s="2" customFormat="1" x14ac:dyDescent="0.3">
      <c r="B117" s="10"/>
      <c r="C117" s="10"/>
      <c r="D117" s="10"/>
      <c r="E117" s="10"/>
      <c r="G117" s="1"/>
      <c r="H117" s="1"/>
    </row>
    <row r="118" spans="2:8" s="2" customFormat="1" x14ac:dyDescent="0.3">
      <c r="B118" s="252" t="s">
        <v>70</v>
      </c>
      <c r="C118" s="251"/>
      <c r="D118" s="251"/>
      <c r="E118" s="251"/>
      <c r="G118" s="1"/>
      <c r="H118" s="1"/>
    </row>
    <row r="119" spans="2:8" s="2" customFormat="1" x14ac:dyDescent="0.3">
      <c r="B119" s="13"/>
      <c r="C119" s="10"/>
      <c r="D119" s="10"/>
      <c r="E119" s="10"/>
      <c r="G119" s="1"/>
      <c r="H119" s="1"/>
    </row>
    <row r="120" spans="2:8" s="2" customFormat="1" x14ac:dyDescent="0.3">
      <c r="B120" s="243" t="s">
        <v>98</v>
      </c>
      <c r="C120" s="243"/>
      <c r="D120" s="4" t="s">
        <v>4</v>
      </c>
      <c r="E120" s="7">
        <v>2.04</v>
      </c>
      <c r="G120" s="1" t="s">
        <v>97</v>
      </c>
      <c r="H120" s="11" t="s">
        <v>104</v>
      </c>
    </row>
    <row r="121" spans="2:8" s="2" customFormat="1" x14ac:dyDescent="0.3">
      <c r="B121" s="243" t="s">
        <v>96</v>
      </c>
      <c r="C121" s="243"/>
      <c r="D121" s="4" t="s">
        <v>79</v>
      </c>
      <c r="E121" s="3">
        <v>2.3300000000000001E-2</v>
      </c>
      <c r="G121" s="1" t="s">
        <v>96</v>
      </c>
      <c r="H121" s="11" t="s">
        <v>104</v>
      </c>
    </row>
    <row r="122" spans="2:8" s="2" customFormat="1" x14ac:dyDescent="0.3">
      <c r="B122" s="243" t="s">
        <v>95</v>
      </c>
      <c r="C122" s="243"/>
      <c r="D122" s="4" t="s">
        <v>79</v>
      </c>
      <c r="E122" s="3">
        <v>2.3999999999999998E-3</v>
      </c>
      <c r="G122" s="1" t="s">
        <v>94</v>
      </c>
      <c r="H122" s="11" t="s">
        <v>104</v>
      </c>
    </row>
    <row r="123" spans="2:8" s="2" customFormat="1" ht="31.8" customHeight="1" x14ac:dyDescent="0.3">
      <c r="B123" s="243" t="s">
        <v>93</v>
      </c>
      <c r="C123" s="243"/>
      <c r="D123" s="4" t="s">
        <v>79</v>
      </c>
      <c r="E123" s="3">
        <v>1.4200000000000001E-2</v>
      </c>
      <c r="G123" s="1" t="s">
        <v>92</v>
      </c>
      <c r="H123" s="11" t="s">
        <v>104</v>
      </c>
    </row>
    <row r="124" spans="2:8" s="2" customFormat="1" x14ac:dyDescent="0.3">
      <c r="B124" s="243" t="s">
        <v>91</v>
      </c>
      <c r="C124" s="243"/>
      <c r="D124" s="4" t="s">
        <v>79</v>
      </c>
      <c r="E124" s="3">
        <v>-6.3E-3</v>
      </c>
      <c r="G124" s="1" t="s">
        <v>90</v>
      </c>
      <c r="H124" s="11" t="s">
        <v>104</v>
      </c>
    </row>
    <row r="125" spans="2:8" s="2" customFormat="1" x14ac:dyDescent="0.3">
      <c r="B125" s="243" t="s">
        <v>89</v>
      </c>
      <c r="C125" s="243"/>
      <c r="D125" s="4" t="s">
        <v>79</v>
      </c>
      <c r="E125" s="3">
        <v>5.5999999999999999E-3</v>
      </c>
      <c r="G125" s="1" t="s">
        <v>88</v>
      </c>
      <c r="H125" s="11" t="s">
        <v>104</v>
      </c>
    </row>
    <row r="126" spans="2:8" s="2" customFormat="1" x14ac:dyDescent="0.3">
      <c r="B126" s="243" t="s">
        <v>87</v>
      </c>
      <c r="C126" s="243"/>
      <c r="D126" s="4" t="s">
        <v>79</v>
      </c>
      <c r="E126" s="3">
        <v>2.8E-3</v>
      </c>
      <c r="G126" s="1" t="s">
        <v>86</v>
      </c>
      <c r="H126" s="11" t="s">
        <v>104</v>
      </c>
    </row>
    <row r="127" spans="2:8" s="2" customFormat="1" x14ac:dyDescent="0.3">
      <c r="B127" s="8"/>
      <c r="C127" s="8"/>
      <c r="D127" s="4"/>
      <c r="E127" s="3"/>
      <c r="G127" s="1"/>
      <c r="H127" s="11" t="s">
        <v>104</v>
      </c>
    </row>
    <row r="128" spans="2:8" s="2" customFormat="1" x14ac:dyDescent="0.3">
      <c r="B128" s="252" t="s">
        <v>85</v>
      </c>
      <c r="C128" s="243"/>
      <c r="D128" s="4"/>
      <c r="E128" s="4"/>
      <c r="G128" s="1"/>
      <c r="H128" s="11" t="s">
        <v>104</v>
      </c>
    </row>
    <row r="129" spans="1:8" s="2" customFormat="1" x14ac:dyDescent="0.3">
      <c r="B129" s="13"/>
      <c r="C129" s="8"/>
      <c r="D129" s="4"/>
      <c r="E129" s="4"/>
      <c r="G129" s="1"/>
      <c r="H129" s="11" t="s">
        <v>104</v>
      </c>
    </row>
    <row r="130" spans="1:8" s="2" customFormat="1" x14ac:dyDescent="0.3">
      <c r="B130" s="243" t="s">
        <v>84</v>
      </c>
      <c r="C130" s="243"/>
      <c r="D130" s="4" t="s">
        <v>79</v>
      </c>
      <c r="E130" s="3">
        <v>3.2000000000000002E-3</v>
      </c>
      <c r="G130" s="1" t="s">
        <v>83</v>
      </c>
      <c r="H130" s="11" t="s">
        <v>104</v>
      </c>
    </row>
    <row r="131" spans="1:8" s="2" customFormat="1" x14ac:dyDescent="0.3">
      <c r="B131" s="243" t="s">
        <v>82</v>
      </c>
      <c r="C131" s="243"/>
      <c r="D131" s="4" t="s">
        <v>79</v>
      </c>
      <c r="E131" s="3">
        <v>4.0000000000000002E-4</v>
      </c>
      <c r="G131" s="1" t="s">
        <v>81</v>
      </c>
      <c r="H131" s="11" t="s">
        <v>104</v>
      </c>
    </row>
    <row r="132" spans="1:8" s="2" customFormat="1" x14ac:dyDescent="0.3">
      <c r="B132" s="243" t="s">
        <v>80</v>
      </c>
      <c r="C132" s="243"/>
      <c r="D132" s="4" t="s">
        <v>79</v>
      </c>
      <c r="E132" s="3">
        <v>2.9999999999999997E-4</v>
      </c>
      <c r="G132" s="1" t="s">
        <v>78</v>
      </c>
      <c r="H132" s="11" t="s">
        <v>104</v>
      </c>
    </row>
    <row r="133" spans="1:8" s="2" customFormat="1" x14ac:dyDescent="0.3">
      <c r="B133" s="243" t="s">
        <v>77</v>
      </c>
      <c r="C133" s="243"/>
      <c r="D133" s="4" t="s">
        <v>4</v>
      </c>
      <c r="E133" s="7">
        <v>0.25</v>
      </c>
      <c r="G133" s="1" t="s">
        <v>76</v>
      </c>
      <c r="H133" s="11" t="s">
        <v>104</v>
      </c>
    </row>
    <row r="134" spans="1:8" s="2" customFormat="1" ht="18" x14ac:dyDescent="0.3">
      <c r="A134" s="17"/>
      <c r="B134" s="249" t="s">
        <v>103</v>
      </c>
      <c r="C134" s="253"/>
      <c r="D134" s="253"/>
      <c r="E134" s="253"/>
      <c r="G134" s="1"/>
      <c r="H134" s="1"/>
    </row>
    <row r="135" spans="1:8" s="2" customFormat="1" ht="39.6" customHeight="1" x14ac:dyDescent="0.3">
      <c r="B135" s="251" t="s">
        <v>102</v>
      </c>
      <c r="C135" s="251"/>
      <c r="D135" s="251"/>
      <c r="E135" s="251"/>
      <c r="G135" s="1"/>
      <c r="H135" s="1"/>
    </row>
    <row r="136" spans="1:8" s="2" customFormat="1" x14ac:dyDescent="0.3">
      <c r="B136" s="10"/>
      <c r="C136" s="10"/>
      <c r="D136" s="10"/>
      <c r="E136" s="10"/>
      <c r="G136" s="1"/>
      <c r="H136" s="1"/>
    </row>
    <row r="137" spans="1:8" s="2" customFormat="1" x14ac:dyDescent="0.3">
      <c r="B137" s="252" t="s">
        <v>72</v>
      </c>
      <c r="C137" s="250"/>
      <c r="D137" s="250"/>
      <c r="E137" s="250"/>
      <c r="G137" s="1"/>
      <c r="H137" s="1"/>
    </row>
    <row r="138" spans="1:8" s="2" customFormat="1" x14ac:dyDescent="0.3">
      <c r="B138" s="13"/>
      <c r="C138" s="16"/>
      <c r="D138" s="16"/>
      <c r="E138" s="16"/>
      <c r="G138" s="1"/>
      <c r="H138" s="1"/>
    </row>
    <row r="139" spans="1:8" s="2" customFormat="1" ht="34.799999999999997" customHeight="1" x14ac:dyDescent="0.3">
      <c r="B139" s="251" t="s">
        <v>24</v>
      </c>
      <c r="C139" s="251"/>
      <c r="D139" s="251"/>
      <c r="E139" s="251"/>
      <c r="G139" s="1"/>
      <c r="H139" s="1"/>
    </row>
    <row r="140" spans="1:8" s="2" customFormat="1" x14ac:dyDescent="0.3">
      <c r="B140" s="10"/>
      <c r="C140" s="10"/>
      <c r="D140" s="10"/>
      <c r="E140" s="10"/>
      <c r="G140" s="1"/>
      <c r="H140" s="1"/>
    </row>
    <row r="141" spans="1:8" s="2" customFormat="1" ht="42.6" customHeight="1" x14ac:dyDescent="0.3">
      <c r="B141" s="251" t="s">
        <v>23</v>
      </c>
      <c r="C141" s="251"/>
      <c r="D141" s="251"/>
      <c r="E141" s="251"/>
      <c r="G141" s="1"/>
      <c r="H141" s="1"/>
    </row>
    <row r="142" spans="1:8" s="2" customFormat="1" x14ac:dyDescent="0.3">
      <c r="B142" s="10"/>
      <c r="C142" s="10"/>
      <c r="D142" s="10"/>
      <c r="E142" s="10"/>
      <c r="G142" s="1"/>
      <c r="H142" s="1"/>
    </row>
    <row r="143" spans="1:8" s="2" customFormat="1" ht="45" customHeight="1" x14ac:dyDescent="0.3">
      <c r="B143" s="251" t="s">
        <v>99</v>
      </c>
      <c r="C143" s="251"/>
      <c r="D143" s="251"/>
      <c r="E143" s="251"/>
      <c r="G143" s="1"/>
      <c r="H143" s="1"/>
    </row>
    <row r="144" spans="1:8" s="2" customFormat="1" x14ac:dyDescent="0.3">
      <c r="B144" s="10"/>
      <c r="C144" s="10"/>
      <c r="D144" s="10"/>
      <c r="E144" s="10"/>
      <c r="G144" s="1"/>
      <c r="H144" s="1"/>
    </row>
    <row r="145" spans="2:8" s="2" customFormat="1" ht="34.799999999999997" customHeight="1" x14ac:dyDescent="0.3">
      <c r="B145" s="251" t="s">
        <v>62</v>
      </c>
      <c r="C145" s="251"/>
      <c r="D145" s="251"/>
      <c r="E145" s="251"/>
      <c r="G145" s="1"/>
      <c r="H145" s="1"/>
    </row>
    <row r="146" spans="2:8" s="2" customFormat="1" x14ac:dyDescent="0.3">
      <c r="B146" s="10"/>
      <c r="C146" s="10"/>
      <c r="D146" s="10"/>
      <c r="E146" s="10"/>
      <c r="G146" s="1"/>
      <c r="H146" s="1"/>
    </row>
    <row r="147" spans="2:8" s="2" customFormat="1" x14ac:dyDescent="0.3">
      <c r="B147" s="252" t="s">
        <v>70</v>
      </c>
      <c r="C147" s="251"/>
      <c r="D147" s="251"/>
      <c r="E147" s="251"/>
      <c r="G147" s="1"/>
      <c r="H147" s="1"/>
    </row>
    <row r="148" spans="2:8" s="2" customFormat="1" x14ac:dyDescent="0.3">
      <c r="B148" s="13"/>
      <c r="C148" s="10"/>
      <c r="D148" s="10"/>
      <c r="E148" s="10"/>
      <c r="G148" s="1"/>
      <c r="H148" s="1"/>
    </row>
    <row r="149" spans="2:8" s="2" customFormat="1" x14ac:dyDescent="0.3">
      <c r="B149" s="243" t="s">
        <v>98</v>
      </c>
      <c r="C149" s="243"/>
      <c r="D149" s="4" t="s">
        <v>4</v>
      </c>
      <c r="E149" s="7">
        <v>2.04</v>
      </c>
      <c r="G149" s="1" t="s">
        <v>97</v>
      </c>
      <c r="H149" s="11" t="s">
        <v>101</v>
      </c>
    </row>
    <row r="150" spans="2:8" s="2" customFormat="1" x14ac:dyDescent="0.3">
      <c r="B150" s="243" t="s">
        <v>96</v>
      </c>
      <c r="C150" s="243"/>
      <c r="D150" s="4" t="s">
        <v>66</v>
      </c>
      <c r="E150" s="3">
        <v>30.502800000000001</v>
      </c>
      <c r="G150" s="1" t="s">
        <v>96</v>
      </c>
      <c r="H150" s="11" t="s">
        <v>101</v>
      </c>
    </row>
    <row r="151" spans="2:8" s="2" customFormat="1" x14ac:dyDescent="0.3">
      <c r="B151" s="243" t="s">
        <v>95</v>
      </c>
      <c r="C151" s="243"/>
      <c r="D151" s="4" t="s">
        <v>66</v>
      </c>
      <c r="E151" s="3">
        <v>0.71919999999999995</v>
      </c>
      <c r="G151" s="1" t="s">
        <v>94</v>
      </c>
      <c r="H151" s="11" t="s">
        <v>101</v>
      </c>
    </row>
    <row r="152" spans="2:8" s="2" customFormat="1" ht="28.2" customHeight="1" x14ac:dyDescent="0.3">
      <c r="B152" s="243" t="s">
        <v>93</v>
      </c>
      <c r="C152" s="243"/>
      <c r="D152" s="4" t="s">
        <v>79</v>
      </c>
      <c r="E152" s="3">
        <v>1.4200000000000001E-2</v>
      </c>
      <c r="G152" s="1" t="s">
        <v>92</v>
      </c>
      <c r="H152" s="11" t="s">
        <v>101</v>
      </c>
    </row>
    <row r="153" spans="2:8" s="2" customFormat="1" x14ac:dyDescent="0.3">
      <c r="B153" s="243" t="s">
        <v>91</v>
      </c>
      <c r="C153" s="243"/>
      <c r="D153" s="4" t="s">
        <v>66</v>
      </c>
      <c r="E153" s="3">
        <v>-2.0787</v>
      </c>
      <c r="G153" s="1" t="s">
        <v>88</v>
      </c>
      <c r="H153" s="11" t="s">
        <v>101</v>
      </c>
    </row>
    <row r="154" spans="2:8" s="2" customFormat="1" x14ac:dyDescent="0.3">
      <c r="B154" s="243" t="s">
        <v>89</v>
      </c>
      <c r="C154" s="243"/>
      <c r="D154" s="4" t="s">
        <v>66</v>
      </c>
      <c r="E154" s="3">
        <v>1.6411</v>
      </c>
      <c r="G154" s="1" t="s">
        <v>88</v>
      </c>
      <c r="H154" s="11" t="s">
        <v>101</v>
      </c>
    </row>
    <row r="155" spans="2:8" s="2" customFormat="1" x14ac:dyDescent="0.3">
      <c r="B155" s="243" t="s">
        <v>87</v>
      </c>
      <c r="C155" s="243"/>
      <c r="D155" s="4" t="s">
        <v>66</v>
      </c>
      <c r="E155" s="3">
        <v>0.95440000000000003</v>
      </c>
      <c r="G155" s="1" t="s">
        <v>86</v>
      </c>
      <c r="H155" s="11" t="s">
        <v>101</v>
      </c>
    </row>
    <row r="156" spans="2:8" s="2" customFormat="1" x14ac:dyDescent="0.3">
      <c r="B156" s="8"/>
      <c r="C156" s="8"/>
      <c r="D156" s="4"/>
      <c r="E156" s="3"/>
      <c r="G156" s="1"/>
      <c r="H156" s="11" t="s">
        <v>101</v>
      </c>
    </row>
    <row r="157" spans="2:8" s="2" customFormat="1" x14ac:dyDescent="0.3">
      <c r="B157" s="252" t="s">
        <v>85</v>
      </c>
      <c r="C157" s="243"/>
      <c r="D157" s="4"/>
      <c r="E157" s="4"/>
      <c r="G157" s="1"/>
      <c r="H157" s="11" t="s">
        <v>101</v>
      </c>
    </row>
    <row r="158" spans="2:8" s="2" customFormat="1" x14ac:dyDescent="0.3">
      <c r="B158" s="13"/>
      <c r="C158" s="8"/>
      <c r="D158" s="4"/>
      <c r="E158" s="4"/>
      <c r="G158" s="1"/>
      <c r="H158" s="11" t="s">
        <v>101</v>
      </c>
    </row>
    <row r="159" spans="2:8" s="2" customFormat="1" x14ac:dyDescent="0.3">
      <c r="B159" s="243" t="s">
        <v>84</v>
      </c>
      <c r="C159" s="243"/>
      <c r="D159" s="4" t="s">
        <v>79</v>
      </c>
      <c r="E159" s="3">
        <v>3.2000000000000002E-3</v>
      </c>
      <c r="G159" s="1" t="s">
        <v>83</v>
      </c>
      <c r="H159" s="11" t="s">
        <v>101</v>
      </c>
    </row>
    <row r="160" spans="2:8" s="2" customFormat="1" x14ac:dyDescent="0.3">
      <c r="B160" s="243" t="s">
        <v>82</v>
      </c>
      <c r="C160" s="243"/>
      <c r="D160" s="4" t="s">
        <v>79</v>
      </c>
      <c r="E160" s="3">
        <v>4.0000000000000002E-4</v>
      </c>
      <c r="G160" s="1" t="s">
        <v>81</v>
      </c>
      <c r="H160" s="11" t="s">
        <v>101</v>
      </c>
    </row>
    <row r="161" spans="1:8" s="2" customFormat="1" x14ac:dyDescent="0.3">
      <c r="B161" s="243" t="s">
        <v>80</v>
      </c>
      <c r="C161" s="243"/>
      <c r="D161" s="4" t="s">
        <v>79</v>
      </c>
      <c r="E161" s="3">
        <v>2.9999999999999997E-4</v>
      </c>
      <c r="G161" s="1" t="s">
        <v>78</v>
      </c>
      <c r="H161" s="11" t="s">
        <v>101</v>
      </c>
    </row>
    <row r="162" spans="1:8" s="2" customFormat="1" x14ac:dyDescent="0.3">
      <c r="B162" s="243" t="s">
        <v>77</v>
      </c>
      <c r="C162" s="243"/>
      <c r="D162" s="4" t="s">
        <v>4</v>
      </c>
      <c r="E162" s="7">
        <v>0.25</v>
      </c>
      <c r="G162" s="1" t="s">
        <v>76</v>
      </c>
      <c r="H162" s="11" t="s">
        <v>101</v>
      </c>
    </row>
    <row r="163" spans="1:8" s="2" customFormat="1" ht="18" x14ac:dyDescent="0.3">
      <c r="A163" s="17"/>
      <c r="B163" s="249" t="s">
        <v>75</v>
      </c>
      <c r="C163" s="253"/>
      <c r="D163" s="253"/>
      <c r="E163" s="253"/>
      <c r="G163" s="1"/>
      <c r="H163" s="11"/>
    </row>
    <row r="164" spans="1:8" s="2" customFormat="1" ht="58.2" customHeight="1" x14ac:dyDescent="0.3">
      <c r="B164" s="251" t="s">
        <v>100</v>
      </c>
      <c r="C164" s="251"/>
      <c r="D164" s="251"/>
      <c r="E164" s="251"/>
      <c r="G164" s="1"/>
      <c r="H164" s="11"/>
    </row>
    <row r="165" spans="1:8" s="2" customFormat="1" x14ac:dyDescent="0.3">
      <c r="B165" s="10"/>
      <c r="C165" s="10"/>
      <c r="D165" s="10"/>
      <c r="E165" s="10"/>
      <c r="G165" s="1"/>
      <c r="H165" s="1"/>
    </row>
    <row r="166" spans="1:8" s="2" customFormat="1" x14ac:dyDescent="0.3">
      <c r="B166" s="252" t="s">
        <v>72</v>
      </c>
      <c r="C166" s="250"/>
      <c r="D166" s="250"/>
      <c r="E166" s="250"/>
      <c r="G166" s="1"/>
      <c r="H166" s="1"/>
    </row>
    <row r="167" spans="1:8" s="2" customFormat="1" x14ac:dyDescent="0.3">
      <c r="B167" s="13"/>
      <c r="C167" s="16"/>
      <c r="D167" s="16"/>
      <c r="E167" s="16"/>
      <c r="G167" s="1"/>
      <c r="H167" s="1"/>
    </row>
    <row r="168" spans="1:8" s="2" customFormat="1" ht="37.799999999999997" customHeight="1" x14ac:dyDescent="0.3">
      <c r="B168" s="251" t="s">
        <v>24</v>
      </c>
      <c r="C168" s="251"/>
      <c r="D168" s="251"/>
      <c r="E168" s="251"/>
      <c r="G168" s="1"/>
      <c r="H168" s="11"/>
    </row>
    <row r="169" spans="1:8" s="2" customFormat="1" x14ac:dyDescent="0.3">
      <c r="B169" s="10"/>
      <c r="C169" s="10"/>
      <c r="D169" s="10"/>
      <c r="E169" s="10"/>
      <c r="G169" s="1"/>
      <c r="H169" s="11"/>
    </row>
    <row r="170" spans="1:8" s="2" customFormat="1" ht="39" customHeight="1" x14ac:dyDescent="0.3">
      <c r="B170" s="251" t="s">
        <v>23</v>
      </c>
      <c r="C170" s="251"/>
      <c r="D170" s="251"/>
      <c r="E170" s="251"/>
      <c r="G170" s="1"/>
      <c r="H170" s="1"/>
    </row>
    <row r="171" spans="1:8" s="2" customFormat="1" x14ac:dyDescent="0.3">
      <c r="B171" s="10"/>
      <c r="C171" s="10"/>
      <c r="D171" s="10"/>
      <c r="E171" s="10"/>
      <c r="G171" s="1"/>
      <c r="H171" s="1"/>
    </row>
    <row r="172" spans="1:8" s="2" customFormat="1" ht="44.4" customHeight="1" x14ac:dyDescent="0.3">
      <c r="B172" s="251" t="s">
        <v>99</v>
      </c>
      <c r="C172" s="251"/>
      <c r="D172" s="251"/>
      <c r="E172" s="251"/>
      <c r="G172" s="1"/>
      <c r="H172" s="1"/>
    </row>
    <row r="173" spans="1:8" s="2" customFormat="1" x14ac:dyDescent="0.3">
      <c r="B173" s="10"/>
      <c r="C173" s="10"/>
      <c r="D173" s="10"/>
      <c r="E173" s="10"/>
      <c r="G173" s="1"/>
      <c r="H173" s="1"/>
    </row>
    <row r="174" spans="1:8" s="2" customFormat="1" ht="33" customHeight="1" x14ac:dyDescent="0.3">
      <c r="B174" s="251" t="s">
        <v>62</v>
      </c>
      <c r="C174" s="251"/>
      <c r="D174" s="251"/>
      <c r="E174" s="251"/>
      <c r="G174" s="1"/>
      <c r="H174" s="1"/>
    </row>
    <row r="175" spans="1:8" s="2" customFormat="1" x14ac:dyDescent="0.3">
      <c r="B175" s="10"/>
      <c r="C175" s="10"/>
      <c r="D175" s="10"/>
      <c r="E175" s="10"/>
      <c r="G175" s="1"/>
      <c r="H175" s="1"/>
    </row>
    <row r="176" spans="1:8" s="2" customFormat="1" x14ac:dyDescent="0.3">
      <c r="B176" s="252" t="s">
        <v>70</v>
      </c>
      <c r="C176" s="251"/>
      <c r="D176" s="251"/>
      <c r="E176" s="251"/>
      <c r="G176" s="1"/>
      <c r="H176" s="1"/>
    </row>
    <row r="177" spans="1:8" s="2" customFormat="1" x14ac:dyDescent="0.3">
      <c r="B177" s="13"/>
      <c r="C177" s="10"/>
      <c r="D177" s="10"/>
      <c r="E177" s="10"/>
      <c r="G177" s="1"/>
      <c r="H177" s="1"/>
    </row>
    <row r="178" spans="1:8" s="2" customFormat="1" x14ac:dyDescent="0.3">
      <c r="B178" s="243" t="s">
        <v>98</v>
      </c>
      <c r="C178" s="243"/>
      <c r="D178" s="4" t="s">
        <v>4</v>
      </c>
      <c r="E178" s="7">
        <v>1.53</v>
      </c>
      <c r="G178" s="1" t="s">
        <v>97</v>
      </c>
      <c r="H178" s="11" t="s">
        <v>75</v>
      </c>
    </row>
    <row r="179" spans="1:8" s="2" customFormat="1" x14ac:dyDescent="0.3">
      <c r="B179" s="243" t="s">
        <v>96</v>
      </c>
      <c r="C179" s="243"/>
      <c r="D179" s="4" t="s">
        <v>66</v>
      </c>
      <c r="E179" s="3">
        <v>44.8917</v>
      </c>
      <c r="G179" s="1" t="s">
        <v>96</v>
      </c>
      <c r="H179" s="11" t="s">
        <v>75</v>
      </c>
    </row>
    <row r="180" spans="1:8" s="2" customFormat="1" x14ac:dyDescent="0.3">
      <c r="B180" s="243" t="s">
        <v>95</v>
      </c>
      <c r="C180" s="243"/>
      <c r="D180" s="4" t="s">
        <v>66</v>
      </c>
      <c r="E180" s="3">
        <v>0.84060000000000001</v>
      </c>
      <c r="G180" s="1" t="s">
        <v>94</v>
      </c>
      <c r="H180" s="11" t="s">
        <v>75</v>
      </c>
    </row>
    <row r="181" spans="1:8" s="2" customFormat="1" ht="28.2" customHeight="1" x14ac:dyDescent="0.3">
      <c r="B181" s="243" t="s">
        <v>93</v>
      </c>
      <c r="C181" s="243"/>
      <c r="D181" s="4" t="s">
        <v>79</v>
      </c>
      <c r="E181" s="3">
        <v>1.4200000000000001E-2</v>
      </c>
      <c r="G181" s="1" t="s">
        <v>92</v>
      </c>
      <c r="H181" s="11" t="s">
        <v>75</v>
      </c>
    </row>
    <row r="182" spans="1:8" s="2" customFormat="1" x14ac:dyDescent="0.3">
      <c r="B182" s="243" t="s">
        <v>91</v>
      </c>
      <c r="C182" s="243"/>
      <c r="D182" s="4" t="s">
        <v>66</v>
      </c>
      <c r="E182" s="3">
        <v>-2.1186153084440291</v>
      </c>
      <c r="G182" s="1" t="s">
        <v>90</v>
      </c>
      <c r="H182" s="11" t="s">
        <v>75</v>
      </c>
    </row>
    <row r="183" spans="1:8" s="2" customFormat="1" x14ac:dyDescent="0.3">
      <c r="B183" s="243" t="s">
        <v>89</v>
      </c>
      <c r="C183" s="243"/>
      <c r="D183" s="4" t="s">
        <v>66</v>
      </c>
      <c r="E183" s="3">
        <v>1.6793</v>
      </c>
      <c r="G183" s="1" t="s">
        <v>88</v>
      </c>
      <c r="H183" s="11" t="s">
        <v>75</v>
      </c>
    </row>
    <row r="184" spans="1:8" s="2" customFormat="1" x14ac:dyDescent="0.3">
      <c r="B184" s="243" t="s">
        <v>87</v>
      </c>
      <c r="C184" s="243"/>
      <c r="D184" s="4" t="s">
        <v>66</v>
      </c>
      <c r="E184" s="3">
        <v>0.91300000000000003</v>
      </c>
      <c r="G184" s="1" t="s">
        <v>86</v>
      </c>
      <c r="H184" s="11" t="s">
        <v>75</v>
      </c>
    </row>
    <row r="185" spans="1:8" s="2" customFormat="1" x14ac:dyDescent="0.3">
      <c r="B185" s="8"/>
      <c r="C185" s="8"/>
      <c r="D185" s="4"/>
      <c r="E185" s="3"/>
      <c r="G185" s="1"/>
      <c r="H185" s="11" t="s">
        <v>75</v>
      </c>
    </row>
    <row r="186" spans="1:8" s="2" customFormat="1" x14ac:dyDescent="0.3">
      <c r="B186" s="252" t="s">
        <v>85</v>
      </c>
      <c r="C186" s="243"/>
      <c r="D186" s="4"/>
      <c r="E186" s="4"/>
      <c r="G186" s="1"/>
      <c r="H186" s="11" t="s">
        <v>75</v>
      </c>
    </row>
    <row r="187" spans="1:8" s="2" customFormat="1" x14ac:dyDescent="0.3">
      <c r="B187" s="13"/>
      <c r="C187" s="8"/>
      <c r="D187" s="4"/>
      <c r="E187" s="4"/>
      <c r="G187" s="1"/>
      <c r="H187" s="11" t="s">
        <v>75</v>
      </c>
    </row>
    <row r="188" spans="1:8" s="2" customFormat="1" x14ac:dyDescent="0.3">
      <c r="B188" s="243" t="s">
        <v>84</v>
      </c>
      <c r="C188" s="243"/>
      <c r="D188" s="4" t="s">
        <v>79</v>
      </c>
      <c r="E188" s="3">
        <v>3.2000000000000002E-3</v>
      </c>
      <c r="G188" s="1" t="s">
        <v>83</v>
      </c>
      <c r="H188" s="11" t="s">
        <v>75</v>
      </c>
    </row>
    <row r="189" spans="1:8" s="2" customFormat="1" x14ac:dyDescent="0.3">
      <c r="B189" s="243" t="s">
        <v>82</v>
      </c>
      <c r="C189" s="243"/>
      <c r="D189" s="4" t="s">
        <v>79</v>
      </c>
      <c r="E189" s="3">
        <v>4.0000000000000002E-4</v>
      </c>
      <c r="G189" s="1" t="s">
        <v>81</v>
      </c>
      <c r="H189" s="11" t="s">
        <v>75</v>
      </c>
    </row>
    <row r="190" spans="1:8" s="2" customFormat="1" x14ac:dyDescent="0.3">
      <c r="B190" s="243" t="s">
        <v>80</v>
      </c>
      <c r="C190" s="243"/>
      <c r="D190" s="4" t="s">
        <v>79</v>
      </c>
      <c r="E190" s="3">
        <v>2.9999999999999997E-4</v>
      </c>
      <c r="G190" s="1" t="s">
        <v>78</v>
      </c>
      <c r="H190" s="11" t="s">
        <v>75</v>
      </c>
    </row>
    <row r="191" spans="1:8" s="2" customFormat="1" x14ac:dyDescent="0.3">
      <c r="B191" s="243" t="s">
        <v>77</v>
      </c>
      <c r="C191" s="243"/>
      <c r="D191" s="4" t="s">
        <v>4</v>
      </c>
      <c r="E191" s="7">
        <v>0.25</v>
      </c>
      <c r="G191" s="1" t="s">
        <v>76</v>
      </c>
      <c r="H191" s="11" t="s">
        <v>75</v>
      </c>
    </row>
    <row r="192" spans="1:8" s="2" customFormat="1" ht="18" x14ac:dyDescent="0.3">
      <c r="A192" s="17"/>
      <c r="B192" s="249" t="s">
        <v>74</v>
      </c>
      <c r="C192" s="253"/>
      <c r="D192" s="253"/>
      <c r="E192" s="253"/>
      <c r="G192" s="1"/>
      <c r="H192" s="1"/>
    </row>
    <row r="193" spans="2:8" s="2" customFormat="1" ht="28.2" customHeight="1" x14ac:dyDescent="0.3">
      <c r="B193" s="251" t="s">
        <v>73</v>
      </c>
      <c r="C193" s="251"/>
      <c r="D193" s="251"/>
      <c r="E193" s="251"/>
      <c r="G193" s="1"/>
      <c r="H193" s="1"/>
    </row>
    <row r="194" spans="2:8" s="2" customFormat="1" x14ac:dyDescent="0.3">
      <c r="B194" s="10"/>
      <c r="C194" s="10"/>
      <c r="D194" s="10"/>
      <c r="E194" s="10"/>
      <c r="G194" s="1"/>
      <c r="H194" s="1"/>
    </row>
    <row r="195" spans="2:8" s="2" customFormat="1" x14ac:dyDescent="0.3">
      <c r="B195" s="252" t="s">
        <v>72</v>
      </c>
      <c r="C195" s="250"/>
      <c r="D195" s="250"/>
      <c r="E195" s="250"/>
      <c r="G195" s="1"/>
      <c r="H195" s="1"/>
    </row>
    <row r="196" spans="2:8" s="2" customFormat="1" x14ac:dyDescent="0.3">
      <c r="B196" s="13"/>
      <c r="C196" s="16"/>
      <c r="D196" s="16"/>
      <c r="E196" s="16"/>
      <c r="G196" s="1"/>
      <c r="H196" s="1"/>
    </row>
    <row r="197" spans="2:8" s="2" customFormat="1" ht="29.4" customHeight="1" x14ac:dyDescent="0.3">
      <c r="B197" s="251" t="s">
        <v>24</v>
      </c>
      <c r="C197" s="251"/>
      <c r="D197" s="251"/>
      <c r="E197" s="251"/>
      <c r="G197" s="1"/>
      <c r="H197" s="1"/>
    </row>
    <row r="198" spans="2:8" s="2" customFormat="1" x14ac:dyDescent="0.3">
      <c r="B198" s="10"/>
      <c r="C198" s="10"/>
      <c r="D198" s="10"/>
      <c r="E198" s="10"/>
      <c r="G198" s="1"/>
      <c r="H198" s="1"/>
    </row>
    <row r="199" spans="2:8" s="2" customFormat="1" ht="40.799999999999997" customHeight="1" x14ac:dyDescent="0.3">
      <c r="B199" s="251" t="s">
        <v>23</v>
      </c>
      <c r="C199" s="251"/>
      <c r="D199" s="251"/>
      <c r="E199" s="251"/>
      <c r="G199" s="1"/>
      <c r="H199" s="1"/>
    </row>
    <row r="200" spans="2:8" s="2" customFormat="1" x14ac:dyDescent="0.3">
      <c r="B200" s="10"/>
      <c r="C200" s="10"/>
      <c r="D200" s="10"/>
      <c r="E200" s="10"/>
      <c r="G200" s="1"/>
      <c r="H200" s="1"/>
    </row>
    <row r="201" spans="2:8" s="2" customFormat="1" ht="35.4" customHeight="1" x14ac:dyDescent="0.3">
      <c r="B201" s="251" t="s">
        <v>71</v>
      </c>
      <c r="C201" s="251"/>
      <c r="D201" s="251"/>
      <c r="E201" s="251"/>
      <c r="G201" s="1"/>
      <c r="H201" s="1"/>
    </row>
    <row r="202" spans="2:8" s="2" customFormat="1" x14ac:dyDescent="0.3">
      <c r="B202" s="10"/>
      <c r="C202" s="10"/>
      <c r="D202" s="10"/>
      <c r="E202" s="10"/>
      <c r="G202" s="1"/>
      <c r="H202" s="1"/>
    </row>
    <row r="203" spans="2:8" s="2" customFormat="1" ht="31.2" customHeight="1" x14ac:dyDescent="0.3">
      <c r="B203" s="251" t="s">
        <v>62</v>
      </c>
      <c r="C203" s="251"/>
      <c r="D203" s="251"/>
      <c r="E203" s="251"/>
      <c r="G203" s="1"/>
      <c r="H203" s="1"/>
    </row>
    <row r="204" spans="2:8" s="2" customFormat="1" x14ac:dyDescent="0.3">
      <c r="B204" s="10"/>
      <c r="C204" s="10"/>
      <c r="D204" s="10"/>
      <c r="E204" s="10"/>
      <c r="G204" s="1"/>
      <c r="H204" s="1"/>
    </row>
    <row r="205" spans="2:8" s="2" customFormat="1" x14ac:dyDescent="0.3">
      <c r="B205" s="252" t="s">
        <v>70</v>
      </c>
      <c r="C205" s="251"/>
      <c r="D205" s="251"/>
      <c r="E205" s="251"/>
      <c r="G205" s="1"/>
      <c r="H205" s="1"/>
    </row>
    <row r="206" spans="2:8" s="2" customFormat="1" x14ac:dyDescent="0.3">
      <c r="B206" s="13"/>
      <c r="C206" s="10"/>
      <c r="D206" s="10"/>
      <c r="E206" s="10"/>
      <c r="G206" s="1"/>
      <c r="H206" s="1"/>
    </row>
    <row r="207" spans="2:8" s="2" customFormat="1" x14ac:dyDescent="0.3">
      <c r="B207" s="243" t="s">
        <v>69</v>
      </c>
      <c r="C207" s="243"/>
      <c r="D207" s="4" t="s">
        <v>4</v>
      </c>
      <c r="E207" s="7">
        <v>5.4</v>
      </c>
      <c r="G207" s="1"/>
      <c r="H207" s="1"/>
    </row>
    <row r="208" spans="2:8" s="2" customFormat="1" x14ac:dyDescent="0.3">
      <c r="B208" s="15"/>
      <c r="C208" s="8"/>
      <c r="D208" s="4"/>
      <c r="E208" s="7"/>
      <c r="G208" s="1"/>
      <c r="H208" s="1"/>
    </row>
    <row r="209" spans="2:8" s="2" customFormat="1" ht="18" x14ac:dyDescent="0.3">
      <c r="B209" s="6" t="s">
        <v>68</v>
      </c>
      <c r="C209" s="5"/>
      <c r="D209" s="5"/>
      <c r="E209" s="5"/>
      <c r="G209" s="1"/>
      <c r="H209" s="1"/>
    </row>
    <row r="210" spans="2:8" s="2" customFormat="1" x14ac:dyDescent="0.3">
      <c r="B210" s="243" t="s">
        <v>67</v>
      </c>
      <c r="C210" s="243"/>
      <c r="D210" s="4" t="s">
        <v>66</v>
      </c>
      <c r="E210" s="14">
        <v>-0.6</v>
      </c>
      <c r="G210" s="1"/>
      <c r="H210" s="1"/>
    </row>
    <row r="211" spans="2:8" s="2" customFormat="1" ht="19.2" customHeight="1" x14ac:dyDescent="0.3">
      <c r="B211" s="243" t="s">
        <v>65</v>
      </c>
      <c r="C211" s="243"/>
      <c r="D211" s="4" t="s">
        <v>41</v>
      </c>
      <c r="E211" s="7">
        <v>-1</v>
      </c>
      <c r="G211" s="1"/>
      <c r="H211" s="1"/>
    </row>
    <row r="212" spans="2:8" s="2" customFormat="1" ht="18" x14ac:dyDescent="0.3">
      <c r="B212" s="6" t="s">
        <v>64</v>
      </c>
      <c r="C212" s="5"/>
      <c r="D212" s="5"/>
      <c r="E212" s="5"/>
      <c r="G212" s="1"/>
      <c r="H212" s="1"/>
    </row>
    <row r="213" spans="2:8" s="2" customFormat="1" ht="31.2" customHeight="1" x14ac:dyDescent="0.3">
      <c r="B213" s="251" t="s">
        <v>24</v>
      </c>
      <c r="C213" s="251"/>
      <c r="D213" s="251"/>
      <c r="E213" s="251"/>
      <c r="G213" s="1"/>
      <c r="H213" s="1"/>
    </row>
    <row r="214" spans="2:8" s="2" customFormat="1" x14ac:dyDescent="0.3">
      <c r="B214" s="10"/>
      <c r="C214" s="10"/>
      <c r="D214" s="10"/>
      <c r="E214" s="10"/>
      <c r="G214" s="1"/>
      <c r="H214" s="11"/>
    </row>
    <row r="215" spans="2:8" s="2" customFormat="1" ht="34.200000000000003" customHeight="1" x14ac:dyDescent="0.3">
      <c r="B215" s="251" t="s">
        <v>63</v>
      </c>
      <c r="C215" s="251"/>
      <c r="D215" s="251"/>
      <c r="E215" s="251"/>
      <c r="G215" s="1"/>
      <c r="H215" s="11"/>
    </row>
    <row r="216" spans="2:8" s="2" customFormat="1" x14ac:dyDescent="0.3">
      <c r="B216" s="10"/>
      <c r="C216" s="10"/>
      <c r="D216" s="10"/>
      <c r="E216" s="10"/>
      <c r="G216" s="1"/>
      <c r="H216" s="11"/>
    </row>
    <row r="217" spans="2:8" s="2" customFormat="1" ht="36" customHeight="1" x14ac:dyDescent="0.3">
      <c r="B217" s="251" t="s">
        <v>62</v>
      </c>
      <c r="C217" s="251"/>
      <c r="D217" s="251"/>
      <c r="E217" s="251"/>
      <c r="G217" s="1"/>
      <c r="H217" s="11"/>
    </row>
    <row r="218" spans="2:8" s="2" customFormat="1" x14ac:dyDescent="0.3">
      <c r="B218" s="10"/>
      <c r="C218" s="10"/>
      <c r="D218" s="10"/>
      <c r="E218" s="10"/>
      <c r="G218" s="1"/>
      <c r="H218" s="11"/>
    </row>
    <row r="219" spans="2:8" s="2" customFormat="1" x14ac:dyDescent="0.3">
      <c r="B219" s="13" t="s">
        <v>61</v>
      </c>
      <c r="C219" s="12"/>
      <c r="D219" s="12"/>
      <c r="E219" s="12"/>
      <c r="G219" s="1"/>
      <c r="H219" s="11"/>
    </row>
    <row r="220" spans="2:8" s="2" customFormat="1" x14ac:dyDescent="0.3">
      <c r="B220" s="243" t="s">
        <v>60</v>
      </c>
      <c r="C220" s="243"/>
      <c r="D220" s="4" t="s">
        <v>4</v>
      </c>
      <c r="E220" s="7">
        <v>15</v>
      </c>
      <c r="G220" s="1"/>
      <c r="H220" s="11"/>
    </row>
    <row r="221" spans="2:8" s="2" customFormat="1" x14ac:dyDescent="0.3">
      <c r="B221" s="243" t="s">
        <v>59</v>
      </c>
      <c r="C221" s="243"/>
      <c r="D221" s="4" t="s">
        <v>4</v>
      </c>
      <c r="E221" s="7">
        <v>15</v>
      </c>
      <c r="G221" s="1"/>
      <c r="H221" s="11"/>
    </row>
    <row r="222" spans="2:8" s="2" customFormat="1" x14ac:dyDescent="0.3">
      <c r="B222" s="243" t="s">
        <v>58</v>
      </c>
      <c r="C222" s="243"/>
      <c r="D222" s="4" t="s">
        <v>4</v>
      </c>
      <c r="E222" s="7">
        <v>15</v>
      </c>
      <c r="G222" s="1"/>
      <c r="H222" s="11"/>
    </row>
    <row r="223" spans="2:8" s="2" customFormat="1" x14ac:dyDescent="0.3">
      <c r="B223" s="243" t="s">
        <v>57</v>
      </c>
      <c r="C223" s="243"/>
      <c r="D223" s="4" t="s">
        <v>4</v>
      </c>
      <c r="E223" s="7">
        <v>15</v>
      </c>
      <c r="G223" s="1"/>
      <c r="H223" s="11"/>
    </row>
    <row r="224" spans="2:8" s="2" customFormat="1" x14ac:dyDescent="0.3">
      <c r="B224" s="243" t="s">
        <v>56</v>
      </c>
      <c r="C224" s="243"/>
      <c r="D224" s="4" t="s">
        <v>4</v>
      </c>
      <c r="E224" s="7">
        <v>15</v>
      </c>
      <c r="G224" s="1"/>
      <c r="H224" s="11"/>
    </row>
    <row r="225" spans="2:8" s="2" customFormat="1" x14ac:dyDescent="0.3">
      <c r="B225" s="243" t="s">
        <v>55</v>
      </c>
      <c r="C225" s="243"/>
      <c r="D225" s="4" t="s">
        <v>4</v>
      </c>
      <c r="E225" s="7">
        <v>15</v>
      </c>
      <c r="G225" s="1"/>
      <c r="H225" s="11"/>
    </row>
    <row r="226" spans="2:8" s="2" customFormat="1" x14ac:dyDescent="0.3">
      <c r="B226" s="243" t="s">
        <v>54</v>
      </c>
      <c r="C226" s="243"/>
      <c r="D226" s="4" t="s">
        <v>4</v>
      </c>
      <c r="E226" s="7">
        <v>15</v>
      </c>
      <c r="G226" s="1"/>
      <c r="H226" s="11"/>
    </row>
    <row r="227" spans="2:8" s="2" customFormat="1" x14ac:dyDescent="0.3">
      <c r="B227" s="243" t="s">
        <v>53</v>
      </c>
      <c r="C227" s="243"/>
      <c r="D227" s="4" t="s">
        <v>4</v>
      </c>
      <c r="E227" s="7">
        <v>15</v>
      </c>
      <c r="G227" s="1"/>
      <c r="H227" s="11"/>
    </row>
    <row r="228" spans="2:8" s="2" customFormat="1" x14ac:dyDescent="0.3">
      <c r="B228" s="243" t="s">
        <v>52</v>
      </c>
      <c r="C228" s="243"/>
      <c r="D228" s="4" t="s">
        <v>4</v>
      </c>
      <c r="E228" s="7">
        <v>15</v>
      </c>
      <c r="G228" s="1"/>
      <c r="H228" s="11"/>
    </row>
    <row r="229" spans="2:8" s="2" customFormat="1" x14ac:dyDescent="0.3">
      <c r="B229" s="243" t="s">
        <v>51</v>
      </c>
      <c r="C229" s="243"/>
      <c r="D229" s="4" t="s">
        <v>4</v>
      </c>
      <c r="E229" s="7">
        <v>15</v>
      </c>
      <c r="G229" s="1"/>
      <c r="H229" s="1"/>
    </row>
    <row r="230" spans="2:8" s="2" customFormat="1" x14ac:dyDescent="0.3">
      <c r="B230" s="243" t="s">
        <v>50</v>
      </c>
      <c r="C230" s="243"/>
      <c r="D230" s="4" t="s">
        <v>4</v>
      </c>
      <c r="E230" s="7">
        <v>15</v>
      </c>
      <c r="G230" s="1"/>
      <c r="H230" s="1"/>
    </row>
    <row r="231" spans="2:8" s="2" customFormat="1" x14ac:dyDescent="0.3">
      <c r="B231" s="243" t="s">
        <v>49</v>
      </c>
      <c r="C231" s="243"/>
      <c r="D231" s="4" t="s">
        <v>4</v>
      </c>
      <c r="E231" s="7">
        <v>15</v>
      </c>
      <c r="G231" s="1"/>
      <c r="H231" s="1"/>
    </row>
    <row r="232" spans="2:8" s="2" customFormat="1" x14ac:dyDescent="0.3">
      <c r="B232" s="243" t="s">
        <v>48</v>
      </c>
      <c r="C232" s="243"/>
      <c r="D232" s="4" t="s">
        <v>4</v>
      </c>
      <c r="E232" s="7">
        <v>15</v>
      </c>
      <c r="G232" s="1"/>
      <c r="H232" s="1"/>
    </row>
    <row r="233" spans="2:8" s="2" customFormat="1" x14ac:dyDescent="0.3">
      <c r="B233" s="243" t="s">
        <v>47</v>
      </c>
      <c r="C233" s="243"/>
      <c r="D233" s="4" t="s">
        <v>4</v>
      </c>
      <c r="E233" s="7">
        <v>30</v>
      </c>
      <c r="G233" s="1"/>
      <c r="H233" s="1"/>
    </row>
    <row r="234" spans="2:8" s="2" customFormat="1" x14ac:dyDescent="0.3">
      <c r="B234" s="243" t="s">
        <v>46</v>
      </c>
      <c r="C234" s="243"/>
      <c r="D234" s="4" t="s">
        <v>4</v>
      </c>
      <c r="E234" s="7">
        <v>30</v>
      </c>
      <c r="G234" s="1"/>
      <c r="H234" s="1"/>
    </row>
    <row r="235" spans="2:8" s="2" customFormat="1" x14ac:dyDescent="0.3">
      <c r="B235" s="243" t="s">
        <v>45</v>
      </c>
      <c r="C235" s="243"/>
      <c r="D235" s="4" t="s">
        <v>4</v>
      </c>
      <c r="E235" s="7">
        <v>30</v>
      </c>
      <c r="G235" s="1"/>
      <c r="H235" s="1"/>
    </row>
    <row r="236" spans="2:8" s="2" customFormat="1" x14ac:dyDescent="0.3">
      <c r="B236" s="8"/>
      <c r="C236" s="8"/>
      <c r="D236" s="4"/>
      <c r="E236" s="7"/>
      <c r="G236" s="1"/>
      <c r="H236" s="1"/>
    </row>
    <row r="237" spans="2:8" s="2" customFormat="1" x14ac:dyDescent="0.3">
      <c r="B237" s="13" t="s">
        <v>44</v>
      </c>
      <c r="C237" s="12"/>
      <c r="D237" s="12"/>
      <c r="E237" s="12"/>
      <c r="G237" s="1"/>
      <c r="H237" s="1"/>
    </row>
    <row r="238" spans="2:8" s="2" customFormat="1" x14ac:dyDescent="0.3">
      <c r="B238" s="243" t="s">
        <v>43</v>
      </c>
      <c r="C238" s="243"/>
      <c r="D238" s="4" t="s">
        <v>41</v>
      </c>
      <c r="E238" s="7">
        <v>1.5</v>
      </c>
      <c r="G238" s="1"/>
      <c r="H238" s="1"/>
    </row>
    <row r="239" spans="2:8" s="2" customFormat="1" x14ac:dyDescent="0.3">
      <c r="B239" s="243" t="s">
        <v>42</v>
      </c>
      <c r="C239" s="243"/>
      <c r="D239" s="4" t="s">
        <v>41</v>
      </c>
      <c r="E239" s="7">
        <v>19.559999999999999</v>
      </c>
      <c r="G239" s="1"/>
      <c r="H239" s="1"/>
    </row>
    <row r="240" spans="2:8" s="2" customFormat="1" x14ac:dyDescent="0.3">
      <c r="B240" s="243" t="s">
        <v>40</v>
      </c>
      <c r="C240" s="243"/>
      <c r="D240" s="4" t="s">
        <v>4</v>
      </c>
      <c r="E240" s="7">
        <v>30</v>
      </c>
      <c r="G240" s="1"/>
      <c r="H240" s="1"/>
    </row>
    <row r="241" spans="2:8" s="2" customFormat="1" x14ac:dyDescent="0.3">
      <c r="B241" s="243" t="s">
        <v>39</v>
      </c>
      <c r="C241" s="243"/>
      <c r="D241" s="4" t="s">
        <v>4</v>
      </c>
      <c r="E241" s="7">
        <v>165</v>
      </c>
      <c r="G241" s="1"/>
      <c r="H241" s="1"/>
    </row>
    <row r="242" spans="2:8" s="2" customFormat="1" x14ac:dyDescent="0.3">
      <c r="B242" s="243" t="s">
        <v>38</v>
      </c>
      <c r="C242" s="243"/>
      <c r="D242" s="4" t="s">
        <v>4</v>
      </c>
      <c r="E242" s="7">
        <v>65</v>
      </c>
      <c r="G242" s="1"/>
      <c r="H242" s="1"/>
    </row>
    <row r="243" spans="2:8" s="2" customFormat="1" x14ac:dyDescent="0.3">
      <c r="B243" s="243" t="s">
        <v>37</v>
      </c>
      <c r="C243" s="243"/>
      <c r="D243" s="4" t="s">
        <v>4</v>
      </c>
      <c r="E243" s="7">
        <v>185</v>
      </c>
      <c r="G243" s="1"/>
      <c r="H243" s="1"/>
    </row>
    <row r="244" spans="2:8" s="2" customFormat="1" x14ac:dyDescent="0.3">
      <c r="B244" s="243" t="s">
        <v>36</v>
      </c>
      <c r="C244" s="243"/>
      <c r="D244" s="4" t="s">
        <v>4</v>
      </c>
      <c r="E244" s="7">
        <v>185</v>
      </c>
      <c r="G244" s="1"/>
      <c r="H244" s="11"/>
    </row>
    <row r="245" spans="2:8" s="2" customFormat="1" x14ac:dyDescent="0.3">
      <c r="B245" s="243" t="s">
        <v>35</v>
      </c>
      <c r="C245" s="243"/>
      <c r="D245" s="4" t="s">
        <v>4</v>
      </c>
      <c r="E245" s="7">
        <v>415</v>
      </c>
      <c r="G245" s="1"/>
      <c r="H245" s="11"/>
    </row>
    <row r="246" spans="2:8" s="2" customFormat="1" x14ac:dyDescent="0.3">
      <c r="B246" s="8"/>
      <c r="C246" s="8"/>
      <c r="D246" s="4"/>
      <c r="E246" s="7"/>
      <c r="G246" s="1"/>
      <c r="H246" s="11"/>
    </row>
    <row r="247" spans="2:8" s="2" customFormat="1" x14ac:dyDescent="0.3">
      <c r="B247" s="13" t="s">
        <v>34</v>
      </c>
      <c r="C247" s="12"/>
      <c r="D247" s="12"/>
      <c r="E247" s="12"/>
      <c r="G247" s="1"/>
      <c r="H247" s="11"/>
    </row>
    <row r="248" spans="2:8" s="2" customFormat="1" x14ac:dyDescent="0.3">
      <c r="B248" s="243" t="s">
        <v>33</v>
      </c>
      <c r="C248" s="243"/>
      <c r="D248" s="4" t="s">
        <v>4</v>
      </c>
      <c r="E248" s="7">
        <v>30</v>
      </c>
      <c r="G248" s="1"/>
      <c r="H248" s="11"/>
    </row>
    <row r="249" spans="2:8" s="2" customFormat="1" x14ac:dyDescent="0.3">
      <c r="B249" s="243" t="s">
        <v>32</v>
      </c>
      <c r="C249" s="243"/>
      <c r="D249" s="4" t="s">
        <v>4</v>
      </c>
      <c r="E249" s="7">
        <v>165</v>
      </c>
      <c r="G249" s="1"/>
      <c r="H249" s="11"/>
    </row>
    <row r="250" spans="2:8" s="2" customFormat="1" x14ac:dyDescent="0.3">
      <c r="B250" s="243" t="s">
        <v>31</v>
      </c>
      <c r="C250" s="243"/>
      <c r="D250" s="4" t="s">
        <v>4</v>
      </c>
      <c r="E250" s="7">
        <v>500</v>
      </c>
      <c r="G250" s="1"/>
      <c r="H250" s="11"/>
    </row>
    <row r="251" spans="2:8" s="2" customFormat="1" x14ac:dyDescent="0.3">
      <c r="B251" s="243" t="s">
        <v>30</v>
      </c>
      <c r="C251" s="243"/>
      <c r="D251" s="4" t="s">
        <v>4</v>
      </c>
      <c r="E251" s="7">
        <v>300</v>
      </c>
      <c r="G251" s="1"/>
      <c r="H251" s="11"/>
    </row>
    <row r="252" spans="2:8" s="2" customFormat="1" x14ac:dyDescent="0.3">
      <c r="B252" s="243" t="s">
        <v>29</v>
      </c>
      <c r="C252" s="243"/>
      <c r="D252" s="4" t="s">
        <v>4</v>
      </c>
      <c r="E252" s="7">
        <v>1000</v>
      </c>
      <c r="G252" s="1"/>
      <c r="H252" s="11"/>
    </row>
    <row r="253" spans="2:8" s="2" customFormat="1" x14ac:dyDescent="0.3">
      <c r="B253" s="243" t="s">
        <v>28</v>
      </c>
      <c r="C253" s="243"/>
      <c r="D253" s="4" t="s">
        <v>4</v>
      </c>
      <c r="E253" s="7">
        <v>500</v>
      </c>
      <c r="G253" s="1"/>
      <c r="H253" s="11"/>
    </row>
    <row r="254" spans="2:8" s="2" customFormat="1" x14ac:dyDescent="0.3">
      <c r="B254" s="243" t="s">
        <v>27</v>
      </c>
      <c r="C254" s="243"/>
      <c r="D254" s="4" t="s">
        <v>4</v>
      </c>
      <c r="E254" s="7">
        <v>22.35</v>
      </c>
      <c r="G254" s="1"/>
      <c r="H254" s="11"/>
    </row>
    <row r="255" spans="2:8" s="2" customFormat="1" x14ac:dyDescent="0.3">
      <c r="B255" s="243" t="s">
        <v>26</v>
      </c>
      <c r="C255" s="243"/>
      <c r="D255" s="4"/>
      <c r="E255" s="7"/>
      <c r="G255" s="1"/>
      <c r="H255" s="11"/>
    </row>
    <row r="256" spans="2:8" s="2" customFormat="1" ht="18" x14ac:dyDescent="0.3">
      <c r="B256" s="6" t="s">
        <v>25</v>
      </c>
      <c r="C256" s="5"/>
      <c r="D256" s="5"/>
      <c r="E256" s="5"/>
      <c r="G256" s="1"/>
      <c r="H256" s="11"/>
    </row>
    <row r="257" spans="2:8" s="2" customFormat="1" ht="18" x14ac:dyDescent="0.3">
      <c r="B257" s="6"/>
      <c r="C257" s="5"/>
      <c r="D257" s="5"/>
      <c r="E257" s="5"/>
      <c r="G257" s="1"/>
      <c r="H257" s="11"/>
    </row>
    <row r="258" spans="2:8" s="2" customFormat="1" ht="34.200000000000003" customHeight="1" x14ac:dyDescent="0.3">
      <c r="B258" s="251" t="s">
        <v>24</v>
      </c>
      <c r="C258" s="251"/>
      <c r="D258" s="251"/>
      <c r="E258" s="251"/>
      <c r="G258" s="1"/>
      <c r="H258" s="11"/>
    </row>
    <row r="259" spans="2:8" s="2" customFormat="1" x14ac:dyDescent="0.3">
      <c r="B259" s="10"/>
      <c r="C259" s="10"/>
      <c r="D259" s="10"/>
      <c r="E259" s="10"/>
      <c r="G259" s="1"/>
      <c r="H259" s="1"/>
    </row>
    <row r="260" spans="2:8" s="2" customFormat="1" ht="44.4" customHeight="1" x14ac:dyDescent="0.3">
      <c r="B260" s="251" t="s">
        <v>23</v>
      </c>
      <c r="C260" s="251"/>
      <c r="D260" s="251"/>
      <c r="E260" s="251"/>
      <c r="G260" s="1"/>
      <c r="H260" s="1"/>
    </row>
    <row r="261" spans="2:8" s="2" customFormat="1" x14ac:dyDescent="0.3">
      <c r="B261" s="10"/>
      <c r="C261" s="10"/>
      <c r="D261" s="10"/>
      <c r="E261" s="10"/>
      <c r="G261" s="1"/>
      <c r="H261" s="1"/>
    </row>
    <row r="262" spans="2:8" s="2" customFormat="1" ht="30.6" customHeight="1" x14ac:dyDescent="0.3">
      <c r="B262" s="251" t="s">
        <v>22</v>
      </c>
      <c r="C262" s="251"/>
      <c r="D262" s="251"/>
      <c r="E262" s="251"/>
      <c r="G262" s="1"/>
      <c r="H262" s="1"/>
    </row>
    <row r="263" spans="2:8" s="2" customFormat="1" x14ac:dyDescent="0.3">
      <c r="B263" s="10"/>
      <c r="C263" s="10"/>
      <c r="D263" s="10"/>
      <c r="E263" s="10"/>
      <c r="G263" s="1"/>
      <c r="H263" s="1"/>
    </row>
    <row r="264" spans="2:8" s="2" customFormat="1" ht="39.6" customHeight="1" x14ac:dyDescent="0.3">
      <c r="B264" s="251" t="s">
        <v>21</v>
      </c>
      <c r="C264" s="251"/>
      <c r="D264" s="251"/>
      <c r="E264" s="251"/>
      <c r="G264" s="1"/>
      <c r="H264" s="1"/>
    </row>
    <row r="265" spans="2:8" s="2" customFormat="1" x14ac:dyDescent="0.3">
      <c r="B265" s="10"/>
      <c r="C265" s="10"/>
      <c r="D265" s="10"/>
      <c r="E265" s="10"/>
      <c r="G265" s="1"/>
      <c r="H265" s="1"/>
    </row>
    <row r="266" spans="2:8" s="2" customFormat="1" x14ac:dyDescent="0.3">
      <c r="B266" s="251" t="s">
        <v>20</v>
      </c>
      <c r="C266" s="251"/>
      <c r="D266" s="251"/>
      <c r="E266" s="251"/>
      <c r="G266" s="1"/>
      <c r="H266" s="1"/>
    </row>
    <row r="267" spans="2:8" s="2" customFormat="1" x14ac:dyDescent="0.3">
      <c r="B267" s="243" t="s">
        <v>19</v>
      </c>
      <c r="C267" s="243"/>
      <c r="D267" s="4" t="s">
        <v>4</v>
      </c>
      <c r="E267" s="7">
        <v>100</v>
      </c>
      <c r="G267" s="1"/>
      <c r="H267" s="1"/>
    </row>
    <row r="268" spans="2:8" s="2" customFormat="1" x14ac:dyDescent="0.3">
      <c r="B268" s="243" t="s">
        <v>18</v>
      </c>
      <c r="C268" s="243"/>
      <c r="D268" s="4" t="s">
        <v>4</v>
      </c>
      <c r="E268" s="7">
        <v>20</v>
      </c>
      <c r="G268" s="1"/>
      <c r="H268" s="1"/>
    </row>
    <row r="269" spans="2:8" s="2" customFormat="1" x14ac:dyDescent="0.3">
      <c r="B269" s="243" t="s">
        <v>17</v>
      </c>
      <c r="C269" s="243"/>
      <c r="D269" s="4" t="s">
        <v>14</v>
      </c>
      <c r="E269" s="7">
        <v>0.5</v>
      </c>
      <c r="G269" s="1"/>
      <c r="H269" s="1"/>
    </row>
    <row r="270" spans="2:8" s="2" customFormat="1" x14ac:dyDescent="0.3">
      <c r="B270" s="243" t="s">
        <v>16</v>
      </c>
      <c r="C270" s="243"/>
      <c r="D270" s="4" t="s">
        <v>14</v>
      </c>
      <c r="E270" s="7">
        <v>0.3</v>
      </c>
      <c r="G270" s="1"/>
      <c r="H270" s="1"/>
    </row>
    <row r="271" spans="2:8" s="2" customFormat="1" x14ac:dyDescent="0.3">
      <c r="B271" s="243" t="s">
        <v>15</v>
      </c>
      <c r="C271" s="243"/>
      <c r="D271" s="4" t="s">
        <v>14</v>
      </c>
      <c r="E271" s="7">
        <v>-0.3</v>
      </c>
      <c r="G271" s="1"/>
      <c r="H271" s="1"/>
    </row>
    <row r="272" spans="2:8" s="2" customFormat="1" x14ac:dyDescent="0.3">
      <c r="B272" s="243" t="s">
        <v>13</v>
      </c>
      <c r="C272" s="243"/>
      <c r="D272" s="4"/>
      <c r="E272" s="9"/>
      <c r="G272" s="1"/>
      <c r="H272" s="1"/>
    </row>
    <row r="273" spans="2:8" s="2" customFormat="1" x14ac:dyDescent="0.3">
      <c r="B273" s="243" t="s">
        <v>12</v>
      </c>
      <c r="C273" s="243"/>
      <c r="D273" s="4" t="s">
        <v>4</v>
      </c>
      <c r="E273" s="7">
        <v>0.25</v>
      </c>
      <c r="G273" s="1"/>
      <c r="H273" s="1"/>
    </row>
    <row r="274" spans="2:8" s="2" customFormat="1" x14ac:dyDescent="0.3">
      <c r="B274" s="243" t="s">
        <v>11</v>
      </c>
      <c r="C274" s="243"/>
      <c r="D274" s="4" t="s">
        <v>4</v>
      </c>
      <c r="E274" s="7">
        <v>0.5</v>
      </c>
      <c r="G274" s="1"/>
      <c r="H274" s="1"/>
    </row>
    <row r="275" spans="2:8" s="2" customFormat="1" x14ac:dyDescent="0.3">
      <c r="B275" s="243" t="s">
        <v>10</v>
      </c>
      <c r="C275" s="243"/>
      <c r="D275" s="4"/>
      <c r="E275" s="9"/>
      <c r="G275" s="1"/>
      <c r="H275" s="1"/>
    </row>
    <row r="276" spans="2:8" s="2" customFormat="1" x14ac:dyDescent="0.3">
      <c r="B276" s="243" t="s">
        <v>9</v>
      </c>
      <c r="C276" s="243"/>
      <c r="D276" s="4"/>
      <c r="E276" s="9"/>
      <c r="G276" s="1"/>
      <c r="H276" s="1"/>
    </row>
    <row r="277" spans="2:8" s="2" customFormat="1" x14ac:dyDescent="0.3">
      <c r="B277" s="243" t="s">
        <v>8</v>
      </c>
      <c r="C277" s="243"/>
      <c r="D277" s="4"/>
      <c r="E277" s="9"/>
      <c r="G277" s="1"/>
      <c r="H277" s="1"/>
    </row>
    <row r="278" spans="2:8" s="2" customFormat="1" x14ac:dyDescent="0.3">
      <c r="B278" s="243" t="s">
        <v>7</v>
      </c>
      <c r="C278" s="243"/>
      <c r="D278" s="4" t="s">
        <v>4</v>
      </c>
      <c r="E278" s="9" t="s">
        <v>6</v>
      </c>
      <c r="G278" s="1"/>
      <c r="H278" s="1"/>
    </row>
    <row r="279" spans="2:8" s="2" customFormat="1" x14ac:dyDescent="0.3">
      <c r="B279" s="243" t="s">
        <v>5</v>
      </c>
      <c r="C279" s="243"/>
      <c r="D279" s="4" t="s">
        <v>4</v>
      </c>
      <c r="E279" s="7">
        <v>2</v>
      </c>
      <c r="G279" s="1"/>
      <c r="H279" s="1"/>
    </row>
    <row r="280" spans="2:8" s="2" customFormat="1" x14ac:dyDescent="0.3">
      <c r="B280" s="8"/>
      <c r="C280" s="8"/>
      <c r="D280" s="4"/>
      <c r="E280" s="7"/>
      <c r="G280" s="1"/>
      <c r="H280" s="1"/>
    </row>
    <row r="281" spans="2:8" s="2" customFormat="1" ht="18" x14ac:dyDescent="0.3">
      <c r="B281" s="6" t="s">
        <v>3</v>
      </c>
      <c r="C281" s="5"/>
      <c r="D281" s="5"/>
      <c r="E281" s="5"/>
      <c r="G281" s="1"/>
      <c r="H281" s="1"/>
    </row>
    <row r="282" spans="2:8" s="2" customFormat="1" ht="18" x14ac:dyDescent="0.3">
      <c r="B282" s="6"/>
      <c r="C282" s="5"/>
      <c r="D282" s="5"/>
      <c r="E282" s="5"/>
      <c r="G282" s="1"/>
      <c r="H282" s="1"/>
    </row>
    <row r="283" spans="2:8" s="2" customFormat="1" ht="28.2" customHeight="1" x14ac:dyDescent="0.3">
      <c r="B283" s="243" t="s">
        <v>2</v>
      </c>
      <c r="C283" s="243"/>
      <c r="D283" s="243"/>
      <c r="E283" s="243"/>
      <c r="G283" s="1"/>
      <c r="H283" s="1"/>
    </row>
    <row r="284" spans="2:8" s="2" customFormat="1" x14ac:dyDescent="0.3">
      <c r="B284" s="243" t="s">
        <v>1</v>
      </c>
      <c r="C284" s="243"/>
      <c r="D284" s="4"/>
      <c r="E284" s="3">
        <v>1.0495000000000001</v>
      </c>
      <c r="G284" s="1"/>
      <c r="H284" s="1"/>
    </row>
    <row r="285" spans="2:8" s="2" customFormat="1" x14ac:dyDescent="0.3">
      <c r="B285" s="243" t="s">
        <v>0</v>
      </c>
      <c r="C285" s="243"/>
      <c r="D285" s="4"/>
      <c r="E285" s="3">
        <v>1.0389999999999999</v>
      </c>
      <c r="G285" s="1"/>
      <c r="H285" s="1"/>
    </row>
    <row r="286" spans="2:8" s="2" customFormat="1" x14ac:dyDescent="0.3">
      <c r="G286" s="1"/>
      <c r="H286" s="1"/>
    </row>
    <row r="287" spans="2:8" s="2" customFormat="1" x14ac:dyDescent="0.3">
      <c r="G287" s="1"/>
      <c r="H287" s="1"/>
    </row>
    <row r="288" spans="2:8" s="2" customFormat="1" x14ac:dyDescent="0.3">
      <c r="G288" s="1"/>
      <c r="H288" s="1"/>
    </row>
    <row r="289" spans="7:8" s="2" customFormat="1" x14ac:dyDescent="0.3">
      <c r="G289" s="1"/>
      <c r="H289" s="1"/>
    </row>
    <row r="290" spans="7:8" s="2" customFormat="1" x14ac:dyDescent="0.3">
      <c r="G290" s="1"/>
      <c r="H290" s="1"/>
    </row>
    <row r="291" spans="7:8" s="2" customFormat="1" x14ac:dyDescent="0.3">
      <c r="G291" s="1"/>
      <c r="H291" s="1"/>
    </row>
    <row r="292" spans="7:8" s="2" customFormat="1" x14ac:dyDescent="0.3">
      <c r="G292" s="1"/>
      <c r="H292" s="1"/>
    </row>
    <row r="293" spans="7:8" s="2" customFormat="1" x14ac:dyDescent="0.3">
      <c r="G293" s="1"/>
      <c r="H293" s="1"/>
    </row>
    <row r="294" spans="7:8" s="2" customFormat="1" x14ac:dyDescent="0.3">
      <c r="G294" s="1"/>
      <c r="H294" s="1"/>
    </row>
    <row r="295" spans="7:8" s="2" customFormat="1" x14ac:dyDescent="0.3">
      <c r="G295" s="1"/>
      <c r="H295" s="1"/>
    </row>
    <row r="296" spans="7:8" s="2" customFormat="1" x14ac:dyDescent="0.3">
      <c r="G296" s="1"/>
      <c r="H296" s="1"/>
    </row>
    <row r="297" spans="7:8" s="2" customFormat="1" x14ac:dyDescent="0.3">
      <c r="G297" s="1"/>
      <c r="H297" s="1"/>
    </row>
    <row r="298" spans="7:8" s="2" customFormat="1" x14ac:dyDescent="0.3">
      <c r="G298" s="1"/>
      <c r="H298" s="1"/>
    </row>
    <row r="299" spans="7:8" s="2" customFormat="1" x14ac:dyDescent="0.3">
      <c r="G299" s="1"/>
      <c r="H299" s="1"/>
    </row>
    <row r="300" spans="7:8" s="2" customFormat="1" x14ac:dyDescent="0.3">
      <c r="G300" s="1"/>
      <c r="H300" s="1"/>
    </row>
    <row r="301" spans="7:8" s="2" customFormat="1" x14ac:dyDescent="0.3">
      <c r="G301" s="1"/>
      <c r="H301" s="1"/>
    </row>
    <row r="302" spans="7:8" s="2" customFormat="1" x14ac:dyDescent="0.3">
      <c r="G302" s="1"/>
      <c r="H302" s="1"/>
    </row>
    <row r="303" spans="7:8" s="2" customFormat="1" x14ac:dyDescent="0.3">
      <c r="G303" s="1"/>
      <c r="H303" s="1"/>
    </row>
    <row r="304" spans="7:8" s="2" customFormat="1" x14ac:dyDescent="0.3">
      <c r="G304" s="1"/>
      <c r="H304" s="1"/>
    </row>
    <row r="305" spans="7:8" s="2" customFormat="1" x14ac:dyDescent="0.3">
      <c r="G305" s="1"/>
      <c r="H305" s="1"/>
    </row>
    <row r="306" spans="7:8" s="2" customFormat="1" x14ac:dyDescent="0.3">
      <c r="G306" s="1"/>
      <c r="H306" s="1"/>
    </row>
    <row r="307" spans="7:8" s="2" customFormat="1" x14ac:dyDescent="0.3">
      <c r="G307" s="1"/>
      <c r="H307" s="1"/>
    </row>
    <row r="308" spans="7:8" s="2" customFormat="1" x14ac:dyDescent="0.3">
      <c r="G308" s="1"/>
      <c r="H308" s="1"/>
    </row>
    <row r="309" spans="7:8" s="2" customFormat="1" x14ac:dyDescent="0.3">
      <c r="G309" s="1"/>
      <c r="H309" s="1"/>
    </row>
    <row r="310" spans="7:8" s="2" customFormat="1" x14ac:dyDescent="0.3">
      <c r="G310" s="1"/>
      <c r="H310" s="1"/>
    </row>
    <row r="311" spans="7:8" s="2" customFormat="1" x14ac:dyDescent="0.3">
      <c r="G311" s="1"/>
      <c r="H311" s="1"/>
    </row>
    <row r="312" spans="7:8" s="2" customFormat="1" x14ac:dyDescent="0.3">
      <c r="G312" s="1"/>
      <c r="H312" s="1"/>
    </row>
    <row r="313" spans="7:8" s="2" customFormat="1" x14ac:dyDescent="0.3">
      <c r="G313" s="1"/>
      <c r="H313" s="1"/>
    </row>
    <row r="314" spans="7:8" s="2" customFormat="1" x14ac:dyDescent="0.3">
      <c r="G314" s="1"/>
      <c r="H314" s="1"/>
    </row>
    <row r="315" spans="7:8" s="2" customFormat="1" x14ac:dyDescent="0.3">
      <c r="G315" s="1"/>
      <c r="H315" s="1"/>
    </row>
    <row r="316" spans="7:8" s="2" customFormat="1" x14ac:dyDescent="0.3">
      <c r="G316" s="1"/>
      <c r="H316" s="1"/>
    </row>
    <row r="317" spans="7:8" s="2" customFormat="1" x14ac:dyDescent="0.3">
      <c r="G317" s="1"/>
      <c r="H317" s="1"/>
    </row>
    <row r="318" spans="7:8" s="2" customFormat="1" x14ac:dyDescent="0.3">
      <c r="G318" s="1"/>
      <c r="H318" s="1"/>
    </row>
    <row r="319" spans="7:8" s="2" customFormat="1" x14ac:dyDescent="0.3">
      <c r="G319" s="1"/>
      <c r="H319" s="1"/>
    </row>
    <row r="320" spans="7:8" s="2" customFormat="1" x14ac:dyDescent="0.3">
      <c r="G320" s="1"/>
      <c r="H320" s="1"/>
    </row>
    <row r="321" spans="7:8" s="2" customFormat="1" x14ac:dyDescent="0.3">
      <c r="G321" s="1"/>
      <c r="H321" s="1"/>
    </row>
    <row r="322" spans="7:8" s="2" customFormat="1" x14ac:dyDescent="0.3">
      <c r="G322" s="1"/>
      <c r="H322" s="1"/>
    </row>
    <row r="323" spans="7:8" s="2" customFormat="1" x14ac:dyDescent="0.3">
      <c r="G323" s="1"/>
      <c r="H323" s="1"/>
    </row>
    <row r="324" spans="7:8" s="2" customFormat="1" x14ac:dyDescent="0.3">
      <c r="G324" s="1"/>
      <c r="H324" s="1"/>
    </row>
    <row r="325" spans="7:8" s="2" customFormat="1" x14ac:dyDescent="0.3">
      <c r="G325" s="1"/>
      <c r="H325" s="1"/>
    </row>
    <row r="326" spans="7:8" s="2" customFormat="1" x14ac:dyDescent="0.3">
      <c r="G326" s="1"/>
      <c r="H326" s="1"/>
    </row>
    <row r="327" spans="7:8" s="2" customFormat="1" x14ac:dyDescent="0.3">
      <c r="G327" s="1"/>
      <c r="H327" s="1"/>
    </row>
    <row r="328" spans="7:8" s="2" customFormat="1" x14ac:dyDescent="0.3">
      <c r="G328" s="1"/>
      <c r="H328" s="1"/>
    </row>
    <row r="329" spans="7:8" s="2" customFormat="1" x14ac:dyDescent="0.3">
      <c r="G329" s="1"/>
      <c r="H329" s="1"/>
    </row>
    <row r="330" spans="7:8" s="2" customFormat="1" x14ac:dyDescent="0.3">
      <c r="G330" s="1"/>
      <c r="H330" s="1"/>
    </row>
    <row r="331" spans="7:8" s="2" customFormat="1" x14ac:dyDescent="0.3">
      <c r="G331" s="1"/>
      <c r="H331" s="1"/>
    </row>
    <row r="332" spans="7:8" s="2" customFormat="1" x14ac:dyDescent="0.3">
      <c r="G332" s="1"/>
      <c r="H332" s="1"/>
    </row>
    <row r="333" spans="7:8" s="2" customFormat="1" x14ac:dyDescent="0.3">
      <c r="G333" s="1"/>
      <c r="H333" s="1"/>
    </row>
    <row r="334" spans="7:8" s="2" customFormat="1" x14ac:dyDescent="0.3">
      <c r="G334" s="1"/>
      <c r="H334" s="1"/>
    </row>
    <row r="335" spans="7:8" s="2" customFormat="1" x14ac:dyDescent="0.3">
      <c r="G335" s="1"/>
      <c r="H335" s="1"/>
    </row>
    <row r="336" spans="7:8" s="2" customFormat="1" x14ac:dyDescent="0.3">
      <c r="G336" s="1"/>
      <c r="H336" s="1"/>
    </row>
    <row r="337" spans="7:8" s="2" customFormat="1" x14ac:dyDescent="0.3">
      <c r="G337" s="1"/>
      <c r="H337" s="1"/>
    </row>
    <row r="338" spans="7:8" s="2" customFormat="1" x14ac:dyDescent="0.3">
      <c r="G338" s="1"/>
      <c r="H338" s="1"/>
    </row>
    <row r="339" spans="7:8" s="2" customFormat="1" x14ac:dyDescent="0.3">
      <c r="G339" s="1"/>
      <c r="H339" s="1"/>
    </row>
    <row r="340" spans="7:8" s="2" customFormat="1" x14ac:dyDescent="0.3">
      <c r="G340" s="1"/>
      <c r="H340" s="1"/>
    </row>
    <row r="341" spans="7:8" s="2" customFormat="1" x14ac:dyDescent="0.3">
      <c r="G341" s="1"/>
      <c r="H341" s="1"/>
    </row>
    <row r="342" spans="7:8" s="2" customFormat="1" x14ac:dyDescent="0.3">
      <c r="G342" s="1"/>
      <c r="H342" s="1"/>
    </row>
    <row r="343" spans="7:8" s="2" customFormat="1" x14ac:dyDescent="0.3">
      <c r="G343" s="1"/>
      <c r="H343" s="1"/>
    </row>
    <row r="344" spans="7:8" s="2" customFormat="1" x14ac:dyDescent="0.3">
      <c r="G344" s="1"/>
      <c r="H344" s="1"/>
    </row>
    <row r="345" spans="7:8" s="2" customFormat="1" x14ac:dyDescent="0.3">
      <c r="G345" s="1"/>
      <c r="H345" s="1"/>
    </row>
    <row r="346" spans="7:8" s="2" customFormat="1" x14ac:dyDescent="0.3">
      <c r="G346" s="1"/>
      <c r="H346" s="1"/>
    </row>
    <row r="347" spans="7:8" s="2" customFormat="1" x14ac:dyDescent="0.3">
      <c r="G347" s="1"/>
      <c r="H347" s="1"/>
    </row>
    <row r="348" spans="7:8" s="2" customFormat="1" x14ac:dyDescent="0.3">
      <c r="G348" s="1"/>
      <c r="H348" s="1"/>
    </row>
    <row r="349" spans="7:8" s="2" customFormat="1" x14ac:dyDescent="0.3">
      <c r="G349" s="1"/>
      <c r="H349" s="1"/>
    </row>
    <row r="350" spans="7:8" s="2" customFormat="1" x14ac:dyDescent="0.3">
      <c r="G350" s="1"/>
      <c r="H350" s="1"/>
    </row>
    <row r="351" spans="7:8" s="2" customFormat="1" x14ac:dyDescent="0.3">
      <c r="G351" s="1"/>
      <c r="H351" s="1"/>
    </row>
    <row r="352" spans="7:8" s="2" customFormat="1" x14ac:dyDescent="0.3">
      <c r="G352" s="1"/>
      <c r="H352" s="1"/>
    </row>
    <row r="353" spans="7:8" s="2" customFormat="1" x14ac:dyDescent="0.3">
      <c r="G353" s="1"/>
      <c r="H353" s="1"/>
    </row>
    <row r="354" spans="7:8" s="2" customFormat="1" x14ac:dyDescent="0.3">
      <c r="G354" s="1"/>
      <c r="H354" s="1"/>
    </row>
    <row r="355" spans="7:8" s="2" customFormat="1" x14ac:dyDescent="0.3">
      <c r="G355" s="1"/>
      <c r="H355" s="1"/>
    </row>
    <row r="356" spans="7:8" s="2" customFormat="1" x14ac:dyDescent="0.3">
      <c r="G356" s="1"/>
      <c r="H356" s="1"/>
    </row>
    <row r="357" spans="7:8" s="2" customFormat="1" x14ac:dyDescent="0.3">
      <c r="G357" s="1"/>
      <c r="H357" s="1"/>
    </row>
    <row r="358" spans="7:8" s="2" customFormat="1" x14ac:dyDescent="0.3">
      <c r="G358" s="1"/>
      <c r="H358" s="1"/>
    </row>
    <row r="359" spans="7:8" s="2" customFormat="1" x14ac:dyDescent="0.3">
      <c r="G359" s="1"/>
      <c r="H359" s="1"/>
    </row>
    <row r="360" spans="7:8" s="2" customFormat="1" x14ac:dyDescent="0.3">
      <c r="G360" s="1"/>
      <c r="H360" s="1"/>
    </row>
    <row r="361" spans="7:8" s="2" customFormat="1" x14ac:dyDescent="0.3">
      <c r="G361" s="1"/>
      <c r="H361" s="1"/>
    </row>
    <row r="362" spans="7:8" s="2" customFormat="1" x14ac:dyDescent="0.3">
      <c r="G362" s="1"/>
      <c r="H362" s="1"/>
    </row>
    <row r="363" spans="7:8" s="2" customFormat="1" x14ac:dyDescent="0.3">
      <c r="G363" s="1"/>
      <c r="H363" s="1"/>
    </row>
    <row r="364" spans="7:8" s="2" customFormat="1" x14ac:dyDescent="0.3">
      <c r="G364" s="1"/>
      <c r="H364" s="1"/>
    </row>
    <row r="365" spans="7:8" s="2" customFormat="1" x14ac:dyDescent="0.3">
      <c r="G365" s="1"/>
      <c r="H365" s="1"/>
    </row>
    <row r="366" spans="7:8" s="2" customFormat="1" x14ac:dyDescent="0.3">
      <c r="G366" s="1"/>
      <c r="H366" s="1"/>
    </row>
    <row r="367" spans="7:8" s="2" customFormat="1" x14ac:dyDescent="0.3">
      <c r="G367" s="1"/>
      <c r="H367" s="1"/>
    </row>
    <row r="368" spans="7:8" s="2" customFormat="1" x14ac:dyDescent="0.3">
      <c r="G368" s="1"/>
      <c r="H368" s="1"/>
    </row>
    <row r="369" spans="7:8" s="2" customFormat="1" x14ac:dyDescent="0.3">
      <c r="G369" s="1"/>
      <c r="H369" s="1"/>
    </row>
    <row r="370" spans="7:8" s="2" customFormat="1" x14ac:dyDescent="0.3">
      <c r="G370" s="1"/>
      <c r="H370" s="1"/>
    </row>
    <row r="371" spans="7:8" s="2" customFormat="1" x14ac:dyDescent="0.3">
      <c r="G371" s="1"/>
      <c r="H371" s="1"/>
    </row>
    <row r="372" spans="7:8" s="2" customFormat="1" x14ac:dyDescent="0.3">
      <c r="G372" s="1"/>
      <c r="H372" s="1"/>
    </row>
    <row r="373" spans="7:8" s="2" customFormat="1" x14ac:dyDescent="0.3">
      <c r="G373" s="1"/>
      <c r="H373" s="1"/>
    </row>
    <row r="374" spans="7:8" s="2" customFormat="1" x14ac:dyDescent="0.3">
      <c r="G374" s="1"/>
      <c r="H374" s="1"/>
    </row>
    <row r="375" spans="7:8" s="2" customFormat="1" x14ac:dyDescent="0.3">
      <c r="G375" s="1"/>
      <c r="H375" s="1"/>
    </row>
    <row r="376" spans="7:8" s="2" customFormat="1" x14ac:dyDescent="0.3">
      <c r="G376" s="1"/>
      <c r="H376" s="1"/>
    </row>
    <row r="377" spans="7:8" s="2" customFormat="1" x14ac:dyDescent="0.3">
      <c r="G377" s="1"/>
      <c r="H377" s="1"/>
    </row>
    <row r="378" spans="7:8" s="2" customFormat="1" x14ac:dyDescent="0.3">
      <c r="G378" s="1"/>
      <c r="H378" s="1"/>
    </row>
    <row r="379" spans="7:8" s="2" customFormat="1" x14ac:dyDescent="0.3">
      <c r="G379" s="1"/>
      <c r="H379" s="1"/>
    </row>
    <row r="380" spans="7:8" s="2" customFormat="1" x14ac:dyDescent="0.3">
      <c r="G380" s="1"/>
      <c r="H380" s="1"/>
    </row>
    <row r="381" spans="7:8" s="2" customFormat="1" x14ac:dyDescent="0.3">
      <c r="G381" s="1"/>
      <c r="H381" s="1"/>
    </row>
    <row r="382" spans="7:8" s="2" customFormat="1" x14ac:dyDescent="0.3">
      <c r="G382" s="1"/>
      <c r="H382" s="1"/>
    </row>
    <row r="383" spans="7:8" s="2" customFormat="1" x14ac:dyDescent="0.3">
      <c r="G383" s="1"/>
      <c r="H383" s="1"/>
    </row>
    <row r="384" spans="7:8" s="2" customFormat="1" x14ac:dyDescent="0.3">
      <c r="G384" s="1"/>
      <c r="H384" s="1"/>
    </row>
    <row r="385" spans="7:8" s="2" customFormat="1" x14ac:dyDescent="0.3">
      <c r="G385" s="1"/>
      <c r="H385" s="1"/>
    </row>
    <row r="386" spans="7:8" s="2" customFormat="1" x14ac:dyDescent="0.3">
      <c r="G386" s="1"/>
      <c r="H386" s="1"/>
    </row>
    <row r="387" spans="7:8" s="2" customFormat="1" x14ac:dyDescent="0.3">
      <c r="G387" s="1"/>
      <c r="H387" s="1"/>
    </row>
    <row r="388" spans="7:8" s="2" customFormat="1" x14ac:dyDescent="0.3">
      <c r="G388" s="1"/>
      <c r="H388" s="1"/>
    </row>
    <row r="389" spans="7:8" s="2" customFormat="1" x14ac:dyDescent="0.3">
      <c r="G389" s="1"/>
      <c r="H389" s="1"/>
    </row>
    <row r="390" spans="7:8" s="2" customFormat="1" x14ac:dyDescent="0.3">
      <c r="G390" s="1"/>
      <c r="H390" s="1"/>
    </row>
    <row r="391" spans="7:8" s="2" customFormat="1" x14ac:dyDescent="0.3">
      <c r="G391" s="1"/>
      <c r="H391" s="1"/>
    </row>
    <row r="392" spans="7:8" s="2" customFormat="1" x14ac:dyDescent="0.3">
      <c r="G392" s="1"/>
      <c r="H392" s="1"/>
    </row>
    <row r="393" spans="7:8" s="2" customFormat="1" x14ac:dyDescent="0.3">
      <c r="G393" s="1"/>
      <c r="H393" s="1"/>
    </row>
    <row r="394" spans="7:8" s="2" customFormat="1" x14ac:dyDescent="0.3">
      <c r="G394" s="1"/>
      <c r="H394" s="1"/>
    </row>
    <row r="395" spans="7:8" s="2" customFormat="1" x14ac:dyDescent="0.3">
      <c r="G395" s="1"/>
      <c r="H395" s="1"/>
    </row>
    <row r="396" spans="7:8" s="2" customFormat="1" x14ac:dyDescent="0.3">
      <c r="G396" s="1"/>
      <c r="H396" s="1"/>
    </row>
    <row r="397" spans="7:8" s="2" customFormat="1" x14ac:dyDescent="0.3">
      <c r="G397" s="1"/>
      <c r="H397" s="1"/>
    </row>
    <row r="398" spans="7:8" s="2" customFormat="1" x14ac:dyDescent="0.3">
      <c r="G398" s="1"/>
      <c r="H398" s="1"/>
    </row>
    <row r="399" spans="7:8" s="2" customFormat="1" x14ac:dyDescent="0.3">
      <c r="G399" s="1"/>
      <c r="H399" s="1"/>
    </row>
    <row r="400" spans="7:8" s="2" customFormat="1" x14ac:dyDescent="0.3">
      <c r="G400" s="1"/>
      <c r="H400" s="1"/>
    </row>
    <row r="401" spans="7:8" s="2" customFormat="1" x14ac:dyDescent="0.3">
      <c r="G401" s="1"/>
      <c r="H401" s="1"/>
    </row>
    <row r="402" spans="7:8" s="2" customFormat="1" x14ac:dyDescent="0.3">
      <c r="G402" s="1"/>
      <c r="H402" s="1"/>
    </row>
    <row r="403" spans="7:8" s="2" customFormat="1" x14ac:dyDescent="0.3">
      <c r="G403" s="1"/>
      <c r="H403" s="1"/>
    </row>
    <row r="404" spans="7:8" s="2" customFormat="1" x14ac:dyDescent="0.3">
      <c r="G404" s="1"/>
      <c r="H404" s="1"/>
    </row>
    <row r="405" spans="7:8" s="2" customFormat="1" x14ac:dyDescent="0.3">
      <c r="G405" s="1"/>
      <c r="H405" s="1"/>
    </row>
    <row r="406" spans="7:8" s="2" customFormat="1" x14ac:dyDescent="0.3">
      <c r="G406" s="1"/>
      <c r="H406" s="1"/>
    </row>
    <row r="407" spans="7:8" s="2" customFormat="1" x14ac:dyDescent="0.3">
      <c r="G407" s="1"/>
      <c r="H407" s="1"/>
    </row>
    <row r="408" spans="7:8" s="2" customFormat="1" x14ac:dyDescent="0.3">
      <c r="G408" s="1"/>
      <c r="H408" s="1"/>
    </row>
    <row r="409" spans="7:8" s="2" customFormat="1" x14ac:dyDescent="0.3">
      <c r="G409" s="1"/>
      <c r="H409" s="1"/>
    </row>
    <row r="410" spans="7:8" s="2" customFormat="1" x14ac:dyDescent="0.3">
      <c r="G410" s="1"/>
      <c r="H410" s="1"/>
    </row>
    <row r="411" spans="7:8" s="2" customFormat="1" x14ac:dyDescent="0.3">
      <c r="G411" s="1"/>
      <c r="H411" s="1"/>
    </row>
    <row r="412" spans="7:8" s="2" customFormat="1" x14ac:dyDescent="0.3">
      <c r="G412" s="1"/>
      <c r="H412" s="1"/>
    </row>
    <row r="413" spans="7:8" s="2" customFormat="1" x14ac:dyDescent="0.3">
      <c r="G413" s="1"/>
      <c r="H413" s="1"/>
    </row>
    <row r="414" spans="7:8" s="2" customFormat="1" x14ac:dyDescent="0.3">
      <c r="G414" s="1"/>
      <c r="H414" s="1"/>
    </row>
    <row r="415" spans="7:8" s="2" customFormat="1" x14ac:dyDescent="0.3">
      <c r="G415" s="1"/>
      <c r="H415" s="1"/>
    </row>
    <row r="416" spans="7:8" s="2" customFormat="1" x14ac:dyDescent="0.3">
      <c r="G416" s="1"/>
      <c r="H416" s="1"/>
    </row>
    <row r="417" spans="7:8" s="2" customFormat="1" x14ac:dyDescent="0.3">
      <c r="G417" s="1"/>
      <c r="H417" s="1"/>
    </row>
    <row r="418" spans="7:8" s="2" customFormat="1" x14ac:dyDescent="0.3">
      <c r="G418" s="1"/>
      <c r="H418" s="1"/>
    </row>
    <row r="419" spans="7:8" s="2" customFormat="1" x14ac:dyDescent="0.3">
      <c r="G419" s="1"/>
      <c r="H419" s="1"/>
    </row>
    <row r="420" spans="7:8" s="2" customFormat="1" x14ac:dyDescent="0.3">
      <c r="G420" s="1"/>
      <c r="H420" s="1"/>
    </row>
    <row r="421" spans="7:8" s="2" customFormat="1" x14ac:dyDescent="0.3">
      <c r="G421" s="1"/>
      <c r="H421" s="1"/>
    </row>
    <row r="422" spans="7:8" s="2" customFormat="1" x14ac:dyDescent="0.3">
      <c r="G422" s="1"/>
      <c r="H422" s="1"/>
    </row>
    <row r="423" spans="7:8" s="2" customFormat="1" x14ac:dyDescent="0.3">
      <c r="G423" s="1"/>
      <c r="H423" s="1"/>
    </row>
    <row r="424" spans="7:8" s="2" customFormat="1" x14ac:dyDescent="0.3">
      <c r="G424" s="1"/>
      <c r="H424" s="1"/>
    </row>
    <row r="425" spans="7:8" s="2" customFormat="1" x14ac:dyDescent="0.3">
      <c r="G425" s="1"/>
      <c r="H425" s="1"/>
    </row>
    <row r="426" spans="7:8" s="2" customFormat="1" x14ac:dyDescent="0.3">
      <c r="G426" s="1"/>
      <c r="H426" s="1"/>
    </row>
    <row r="427" spans="7:8" s="2" customFormat="1" x14ac:dyDescent="0.3">
      <c r="G427" s="1"/>
      <c r="H427" s="1"/>
    </row>
    <row r="428" spans="7:8" s="2" customFormat="1" x14ac:dyDescent="0.3">
      <c r="G428" s="1"/>
      <c r="H428" s="1"/>
    </row>
    <row r="429" spans="7:8" s="2" customFormat="1" x14ac:dyDescent="0.3">
      <c r="G429" s="1"/>
      <c r="H429" s="1"/>
    </row>
    <row r="430" spans="7:8" s="2" customFormat="1" x14ac:dyDescent="0.3">
      <c r="G430" s="1"/>
      <c r="H430" s="1"/>
    </row>
    <row r="431" spans="7:8" s="2" customFormat="1" x14ac:dyDescent="0.3">
      <c r="G431" s="1"/>
      <c r="H431" s="1"/>
    </row>
    <row r="432" spans="7:8" s="2" customFormat="1" x14ac:dyDescent="0.3">
      <c r="G432" s="1"/>
      <c r="H432" s="1"/>
    </row>
    <row r="433" spans="7:8" s="2" customFormat="1" x14ac:dyDescent="0.3">
      <c r="G433" s="1"/>
      <c r="H433" s="1"/>
    </row>
    <row r="434" spans="7:8" s="2" customFormat="1" x14ac:dyDescent="0.3">
      <c r="G434" s="1"/>
      <c r="H434" s="1"/>
    </row>
    <row r="435" spans="7:8" s="2" customFormat="1" x14ac:dyDescent="0.3">
      <c r="G435" s="1"/>
      <c r="H435" s="1"/>
    </row>
    <row r="436" spans="7:8" s="2" customFormat="1" x14ac:dyDescent="0.3">
      <c r="G436" s="1"/>
      <c r="H436" s="1"/>
    </row>
    <row r="437" spans="7:8" s="2" customFormat="1" x14ac:dyDescent="0.3">
      <c r="G437" s="1"/>
      <c r="H437" s="1"/>
    </row>
    <row r="438" spans="7:8" s="2" customFormat="1" x14ac:dyDescent="0.3">
      <c r="G438" s="1"/>
      <c r="H438" s="1"/>
    </row>
    <row r="439" spans="7:8" s="2" customFormat="1" x14ac:dyDescent="0.3">
      <c r="G439" s="1"/>
      <c r="H439" s="1"/>
    </row>
    <row r="440" spans="7:8" s="2" customFormat="1" x14ac:dyDescent="0.3">
      <c r="G440" s="1"/>
      <c r="H440" s="1"/>
    </row>
    <row r="441" spans="7:8" s="2" customFormat="1" x14ac:dyDescent="0.3">
      <c r="G441" s="1"/>
      <c r="H441" s="1"/>
    </row>
    <row r="442" spans="7:8" s="2" customFormat="1" x14ac:dyDescent="0.3">
      <c r="G442" s="1"/>
      <c r="H442" s="1"/>
    </row>
    <row r="443" spans="7:8" s="2" customFormat="1" x14ac:dyDescent="0.3">
      <c r="G443" s="1"/>
      <c r="H443" s="1"/>
    </row>
    <row r="444" spans="7:8" s="2" customFormat="1" x14ac:dyDescent="0.3">
      <c r="G444" s="1"/>
      <c r="H444" s="1"/>
    </row>
    <row r="445" spans="7:8" s="2" customFormat="1" x14ac:dyDescent="0.3">
      <c r="G445" s="1"/>
      <c r="H445" s="1"/>
    </row>
    <row r="446" spans="7:8" s="2" customFormat="1" x14ac:dyDescent="0.3">
      <c r="G446" s="1"/>
      <c r="H446" s="1"/>
    </row>
    <row r="447" spans="7:8" s="2" customFormat="1" x14ac:dyDescent="0.3">
      <c r="G447" s="1"/>
      <c r="H447" s="1"/>
    </row>
    <row r="448" spans="7:8" s="2" customFormat="1" x14ac:dyDescent="0.3">
      <c r="G448" s="1"/>
      <c r="H448" s="1"/>
    </row>
    <row r="449" spans="7:8" s="2" customFormat="1" x14ac:dyDescent="0.3">
      <c r="G449" s="1"/>
      <c r="H449" s="1"/>
    </row>
    <row r="450" spans="7:8" s="2" customFormat="1" x14ac:dyDescent="0.3">
      <c r="G450" s="1"/>
      <c r="H450" s="1"/>
    </row>
    <row r="451" spans="7:8" s="2" customFormat="1" x14ac:dyDescent="0.3">
      <c r="G451" s="1"/>
      <c r="H451" s="1"/>
    </row>
    <row r="452" spans="7:8" s="2" customFormat="1" x14ac:dyDescent="0.3">
      <c r="G452" s="1"/>
      <c r="H452" s="1"/>
    </row>
    <row r="453" spans="7:8" s="2" customFormat="1" x14ac:dyDescent="0.3">
      <c r="G453" s="1"/>
      <c r="H453" s="1"/>
    </row>
    <row r="454" spans="7:8" s="2" customFormat="1" x14ac:dyDescent="0.3">
      <c r="G454" s="1"/>
      <c r="H454" s="1"/>
    </row>
    <row r="455" spans="7:8" s="2" customFormat="1" x14ac:dyDescent="0.3">
      <c r="G455" s="1"/>
      <c r="H455" s="1"/>
    </row>
    <row r="456" spans="7:8" s="2" customFormat="1" x14ac:dyDescent="0.3">
      <c r="G456" s="1"/>
      <c r="H456" s="1"/>
    </row>
    <row r="457" spans="7:8" s="2" customFormat="1" x14ac:dyDescent="0.3">
      <c r="G457" s="1"/>
      <c r="H457" s="1"/>
    </row>
    <row r="458" spans="7:8" s="2" customFormat="1" x14ac:dyDescent="0.3">
      <c r="G458" s="1"/>
      <c r="H458" s="1"/>
    </row>
    <row r="459" spans="7:8" s="2" customFormat="1" x14ac:dyDescent="0.3">
      <c r="G459" s="1"/>
      <c r="H459" s="1"/>
    </row>
    <row r="460" spans="7:8" s="2" customFormat="1" x14ac:dyDescent="0.3">
      <c r="G460" s="1"/>
      <c r="H460" s="1"/>
    </row>
    <row r="461" spans="7:8" s="2" customFormat="1" x14ac:dyDescent="0.3">
      <c r="G461" s="1"/>
      <c r="H461" s="1"/>
    </row>
    <row r="462" spans="7:8" s="2" customFormat="1" x14ac:dyDescent="0.3">
      <c r="G462" s="1"/>
      <c r="H462" s="1"/>
    </row>
    <row r="463" spans="7:8" s="2" customFormat="1" x14ac:dyDescent="0.3">
      <c r="G463" s="1"/>
      <c r="H463" s="1"/>
    </row>
    <row r="464" spans="7:8" s="2" customFormat="1" x14ac:dyDescent="0.3">
      <c r="G464" s="1"/>
      <c r="H464" s="1"/>
    </row>
    <row r="465" spans="7:8" s="2" customFormat="1" x14ac:dyDescent="0.3">
      <c r="G465" s="1"/>
      <c r="H465" s="1"/>
    </row>
    <row r="466" spans="7:8" s="2" customFormat="1" x14ac:dyDescent="0.3">
      <c r="G466" s="1"/>
      <c r="H466" s="1"/>
    </row>
    <row r="467" spans="7:8" s="2" customFormat="1" x14ac:dyDescent="0.3">
      <c r="G467" s="1"/>
      <c r="H467" s="1"/>
    </row>
    <row r="468" spans="7:8" s="2" customFormat="1" x14ac:dyDescent="0.3">
      <c r="G468" s="1"/>
      <c r="H468" s="1"/>
    </row>
    <row r="469" spans="7:8" s="2" customFormat="1" x14ac:dyDescent="0.3">
      <c r="G469" s="1"/>
      <c r="H469" s="1"/>
    </row>
    <row r="470" spans="7:8" s="2" customFormat="1" x14ac:dyDescent="0.3">
      <c r="G470" s="1"/>
      <c r="H470" s="1"/>
    </row>
    <row r="471" spans="7:8" s="2" customFormat="1" x14ac:dyDescent="0.3">
      <c r="G471" s="1"/>
      <c r="H471" s="1"/>
    </row>
  </sheetData>
  <mergeCells count="203">
    <mergeCell ref="B277:C277"/>
    <mergeCell ref="B278:C278"/>
    <mergeCell ref="B279:C279"/>
    <mergeCell ref="B283:E283"/>
    <mergeCell ref="B284:C284"/>
    <mergeCell ref="B285:C285"/>
    <mergeCell ref="B272:C272"/>
    <mergeCell ref="B273:C273"/>
    <mergeCell ref="B274:C274"/>
    <mergeCell ref="B275:C275"/>
    <mergeCell ref="B276:C276"/>
    <mergeCell ref="B269:C269"/>
    <mergeCell ref="B270:C270"/>
    <mergeCell ref="B271:C271"/>
    <mergeCell ref="B240:C240"/>
    <mergeCell ref="B241:C241"/>
    <mergeCell ref="B242:C242"/>
    <mergeCell ref="B243:C243"/>
    <mergeCell ref="B244:C244"/>
    <mergeCell ref="B245:C245"/>
    <mergeCell ref="B248:C248"/>
    <mergeCell ref="B249:C249"/>
    <mergeCell ref="B250:C250"/>
    <mergeCell ref="B251:C251"/>
    <mergeCell ref="B252:C252"/>
    <mergeCell ref="B253:C253"/>
    <mergeCell ref="B254:C254"/>
    <mergeCell ref="B255:C255"/>
    <mergeCell ref="B258:E258"/>
    <mergeCell ref="B260:E260"/>
    <mergeCell ref="B262:E262"/>
    <mergeCell ref="B264:E264"/>
    <mergeCell ref="B266:E266"/>
    <mergeCell ref="B267:C267"/>
    <mergeCell ref="B268:C268"/>
    <mergeCell ref="B235:C235"/>
    <mergeCell ref="B238:C238"/>
    <mergeCell ref="B239:C239"/>
    <mergeCell ref="B207:C207"/>
    <mergeCell ref="B210:C210"/>
    <mergeCell ref="B211:C211"/>
    <mergeCell ref="B213:E213"/>
    <mergeCell ref="B215:E215"/>
    <mergeCell ref="B217:E217"/>
    <mergeCell ref="B220:C220"/>
    <mergeCell ref="B221:C221"/>
    <mergeCell ref="B222:C222"/>
    <mergeCell ref="B223:C223"/>
    <mergeCell ref="B224:C224"/>
    <mergeCell ref="B225:C225"/>
    <mergeCell ref="B226:C226"/>
    <mergeCell ref="B227:C227"/>
    <mergeCell ref="B228:C228"/>
    <mergeCell ref="B229:C229"/>
    <mergeCell ref="B230:C230"/>
    <mergeCell ref="B231:C231"/>
    <mergeCell ref="B232:C232"/>
    <mergeCell ref="B233:C233"/>
    <mergeCell ref="B234:C234"/>
    <mergeCell ref="B201:E201"/>
    <mergeCell ref="B203:E203"/>
    <mergeCell ref="B205:E205"/>
    <mergeCell ref="B170:E170"/>
    <mergeCell ref="B172:E172"/>
    <mergeCell ref="B174:E174"/>
    <mergeCell ref="B176:E176"/>
    <mergeCell ref="B178:C178"/>
    <mergeCell ref="B179:C179"/>
    <mergeCell ref="B180:C180"/>
    <mergeCell ref="B181:C181"/>
    <mergeCell ref="B182:C182"/>
    <mergeCell ref="B183:C183"/>
    <mergeCell ref="B184:C184"/>
    <mergeCell ref="B186:C186"/>
    <mergeCell ref="B188:C188"/>
    <mergeCell ref="B189:C189"/>
    <mergeCell ref="B190:C190"/>
    <mergeCell ref="B191:C191"/>
    <mergeCell ref="B192:E192"/>
    <mergeCell ref="B193:E193"/>
    <mergeCell ref="B195:E195"/>
    <mergeCell ref="B197:E197"/>
    <mergeCell ref="B199:E199"/>
    <mergeCell ref="B164:E164"/>
    <mergeCell ref="B166:E166"/>
    <mergeCell ref="B168:E168"/>
    <mergeCell ref="B134:E134"/>
    <mergeCell ref="B135:E135"/>
    <mergeCell ref="B137:E137"/>
    <mergeCell ref="B139:E139"/>
    <mergeCell ref="B141:E141"/>
    <mergeCell ref="B143:E143"/>
    <mergeCell ref="B145:E145"/>
    <mergeCell ref="B147:E147"/>
    <mergeCell ref="B149:C149"/>
    <mergeCell ref="B150:C150"/>
    <mergeCell ref="B151:C151"/>
    <mergeCell ref="B152:C152"/>
    <mergeCell ref="B153:C153"/>
    <mergeCell ref="B154:C154"/>
    <mergeCell ref="B155:C155"/>
    <mergeCell ref="B157:C157"/>
    <mergeCell ref="B159:C159"/>
    <mergeCell ref="B160:C160"/>
    <mergeCell ref="B161:C161"/>
    <mergeCell ref="B162:C162"/>
    <mergeCell ref="B163:E163"/>
    <mergeCell ref="B131:C131"/>
    <mergeCell ref="B132:C132"/>
    <mergeCell ref="B133:C133"/>
    <mergeCell ref="B101:C101"/>
    <mergeCell ref="B102:C102"/>
    <mergeCell ref="B103:C103"/>
    <mergeCell ref="B104:C104"/>
    <mergeCell ref="B105:E105"/>
    <mergeCell ref="B106:E106"/>
    <mergeCell ref="B108:E108"/>
    <mergeCell ref="B110:E110"/>
    <mergeCell ref="B112:E112"/>
    <mergeCell ref="B114:E114"/>
    <mergeCell ref="B116:E116"/>
    <mergeCell ref="B118:E118"/>
    <mergeCell ref="B120:C120"/>
    <mergeCell ref="B121:C121"/>
    <mergeCell ref="B122:C122"/>
    <mergeCell ref="B123:C123"/>
    <mergeCell ref="B124:C124"/>
    <mergeCell ref="B125:C125"/>
    <mergeCell ref="B126:C126"/>
    <mergeCell ref="B128:C128"/>
    <mergeCell ref="B130:C130"/>
    <mergeCell ref="B96:C96"/>
    <mergeCell ref="B97:C97"/>
    <mergeCell ref="B99:C99"/>
    <mergeCell ref="B68:C68"/>
    <mergeCell ref="B69:C69"/>
    <mergeCell ref="B70:C70"/>
    <mergeCell ref="B71:E71"/>
    <mergeCell ref="B72:E72"/>
    <mergeCell ref="B74:E74"/>
    <mergeCell ref="B76:E76"/>
    <mergeCell ref="B78:E78"/>
    <mergeCell ref="B80:E80"/>
    <mergeCell ref="B82:E82"/>
    <mergeCell ref="B83:E83"/>
    <mergeCell ref="B85:E85"/>
    <mergeCell ref="B87:C87"/>
    <mergeCell ref="B88:C88"/>
    <mergeCell ref="B89:C89"/>
    <mergeCell ref="B90:C90"/>
    <mergeCell ref="B91:C91"/>
    <mergeCell ref="B92:C92"/>
    <mergeCell ref="B93:C93"/>
    <mergeCell ref="B94:C94"/>
    <mergeCell ref="B95:C95"/>
    <mergeCell ref="B63:C63"/>
    <mergeCell ref="B65:C65"/>
    <mergeCell ref="B67:C67"/>
    <mergeCell ref="B34:C34"/>
    <mergeCell ref="B36:C36"/>
    <mergeCell ref="B37:C37"/>
    <mergeCell ref="B38:C38"/>
    <mergeCell ref="B39:C39"/>
    <mergeCell ref="B40:E40"/>
    <mergeCell ref="B41:E41"/>
    <mergeCell ref="B43:E43"/>
    <mergeCell ref="B45:E45"/>
    <mergeCell ref="B47:E47"/>
    <mergeCell ref="B49:E49"/>
    <mergeCell ref="B51:E51"/>
    <mergeCell ref="B53:E53"/>
    <mergeCell ref="B55:C55"/>
    <mergeCell ref="B56:C56"/>
    <mergeCell ref="B57:C57"/>
    <mergeCell ref="B58:C58"/>
    <mergeCell ref="B59:C59"/>
    <mergeCell ref="B60:C60"/>
    <mergeCell ref="B61:C61"/>
    <mergeCell ref="B62:C62"/>
    <mergeCell ref="B30:C30"/>
    <mergeCell ref="B31:C31"/>
    <mergeCell ref="B32:C32"/>
    <mergeCell ref="B2:E2"/>
    <mergeCell ref="B3:E3"/>
    <mergeCell ref="B4:E4"/>
    <mergeCell ref="B5:E5"/>
    <mergeCell ref="B6:E6"/>
    <mergeCell ref="B7:E7"/>
    <mergeCell ref="B8:E8"/>
    <mergeCell ref="B9:E9"/>
    <mergeCell ref="B10:E10"/>
    <mergeCell ref="B12:E12"/>
    <mergeCell ref="B14:E14"/>
    <mergeCell ref="B16:E16"/>
    <mergeCell ref="B18:E18"/>
    <mergeCell ref="B20:E20"/>
    <mergeCell ref="B22:E22"/>
    <mergeCell ref="B24:C24"/>
    <mergeCell ref="B25:C25"/>
    <mergeCell ref="B26:C26"/>
    <mergeCell ref="B27:C27"/>
    <mergeCell ref="B28:C28"/>
    <mergeCell ref="B29:C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2:K30"/>
  <sheetViews>
    <sheetView showGridLines="0" workbookViewId="0">
      <selection activeCell="H16" sqref="H16"/>
    </sheetView>
  </sheetViews>
  <sheetFormatPr defaultRowHeight="14.4" x14ac:dyDescent="0.3"/>
  <cols>
    <col min="2" max="2" width="56" customWidth="1"/>
    <col min="3" max="3" width="6.6640625" customWidth="1"/>
    <col min="4" max="4" width="9.44140625" customWidth="1"/>
  </cols>
  <sheetData>
    <row r="12" spans="2:4" ht="34.799999999999997" customHeight="1" x14ac:dyDescent="0.3">
      <c r="B12" s="254" t="s">
        <v>141</v>
      </c>
      <c r="C12" s="254"/>
      <c r="D12" s="254"/>
    </row>
    <row r="13" spans="2:4" ht="15" thickBot="1" x14ac:dyDescent="0.35">
      <c r="B13" s="24" t="s">
        <v>140</v>
      </c>
      <c r="C13" s="21"/>
      <c r="D13" s="24" t="s">
        <v>139</v>
      </c>
    </row>
    <row r="14" spans="2:4" ht="15" thickBot="1" x14ac:dyDescent="0.35">
      <c r="B14" s="20" t="s">
        <v>84</v>
      </c>
      <c r="C14" s="23" t="s">
        <v>79</v>
      </c>
      <c r="D14" s="18">
        <v>3.2000000000000002E-3</v>
      </c>
    </row>
    <row r="15" spans="2:4" ht="15" thickBot="1" x14ac:dyDescent="0.35">
      <c r="B15" s="20" t="s">
        <v>82</v>
      </c>
      <c r="C15" s="23" t="s">
        <v>79</v>
      </c>
      <c r="D15" s="18">
        <v>4.0000000000000002E-4</v>
      </c>
    </row>
    <row r="16" spans="2:4" ht="15" thickBot="1" x14ac:dyDescent="0.35">
      <c r="B16" s="20" t="s">
        <v>80</v>
      </c>
      <c r="C16" s="23" t="s">
        <v>79</v>
      </c>
      <c r="D16" s="18">
        <v>2.9999999999999997E-4</v>
      </c>
    </row>
    <row r="17" spans="2:11" ht="15" thickBot="1" x14ac:dyDescent="0.35">
      <c r="B17" s="20" t="s">
        <v>77</v>
      </c>
      <c r="C17" s="23" t="s">
        <v>4</v>
      </c>
      <c r="D17" s="26">
        <v>0.25</v>
      </c>
    </row>
    <row r="18" spans="2:11" ht="15" thickBot="1" x14ac:dyDescent="0.35">
      <c r="B18" s="20" t="s">
        <v>138</v>
      </c>
      <c r="C18" s="23" t="s">
        <v>79</v>
      </c>
      <c r="D18" s="25">
        <v>0</v>
      </c>
    </row>
    <row r="21" spans="2:11" ht="15" thickBot="1" x14ac:dyDescent="0.35">
      <c r="B21" s="24" t="s">
        <v>137</v>
      </c>
      <c r="C21" s="21"/>
    </row>
    <row r="22" spans="2:11" ht="15" thickBot="1" x14ac:dyDescent="0.35">
      <c r="B22" s="20" t="s">
        <v>136</v>
      </c>
      <c r="C22" s="255">
        <v>42917</v>
      </c>
      <c r="D22" s="256"/>
    </row>
    <row r="23" spans="2:11" ht="15" thickBot="1" x14ac:dyDescent="0.35">
      <c r="B23" s="20" t="s">
        <v>135</v>
      </c>
      <c r="C23" s="23" t="s">
        <v>79</v>
      </c>
      <c r="D23" s="18">
        <v>6.5000000000000002E-2</v>
      </c>
    </row>
    <row r="24" spans="2:11" ht="15" thickBot="1" x14ac:dyDescent="0.35">
      <c r="B24" s="20" t="s">
        <v>134</v>
      </c>
      <c r="C24" s="23" t="s">
        <v>79</v>
      </c>
      <c r="D24" s="18">
        <v>9.5000000000000001E-2</v>
      </c>
    </row>
    <row r="25" spans="2:11" ht="15" thickBot="1" x14ac:dyDescent="0.35">
      <c r="B25" s="20" t="s">
        <v>133</v>
      </c>
      <c r="C25" s="23" t="s">
        <v>79</v>
      </c>
      <c r="D25" s="18">
        <v>0.13200000000000001</v>
      </c>
    </row>
    <row r="28" spans="2:11" ht="15" thickBot="1" x14ac:dyDescent="0.35">
      <c r="B28" s="22" t="s">
        <v>132</v>
      </c>
      <c r="C28" s="21"/>
    </row>
    <row r="29" spans="2:11" ht="15" thickBot="1" x14ac:dyDescent="0.35">
      <c r="B29" s="20" t="s">
        <v>132</v>
      </c>
      <c r="C29" s="19" t="s">
        <v>79</v>
      </c>
      <c r="D29" s="18">
        <v>7.0000000000000001E-3</v>
      </c>
      <c r="E29" s="257" t="s">
        <v>131</v>
      </c>
      <c r="F29" s="257"/>
      <c r="G29" s="257"/>
      <c r="H29" s="257"/>
      <c r="I29" s="257"/>
      <c r="J29" s="257"/>
      <c r="K29" s="257"/>
    </row>
    <row r="30" spans="2:11" x14ac:dyDescent="0.3">
      <c r="E30" s="257"/>
      <c r="F30" s="257"/>
      <c r="G30" s="257"/>
      <c r="H30" s="257"/>
      <c r="I30" s="257"/>
      <c r="J30" s="257"/>
      <c r="K30" s="257"/>
    </row>
  </sheetData>
  <mergeCells count="3">
    <mergeCell ref="B12:D12"/>
    <mergeCell ref="C22:D22"/>
    <mergeCell ref="E29:K3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461"/>
  <sheetViews>
    <sheetView showGridLines="0" zoomScaleNormal="100" workbookViewId="0">
      <selection sqref="A1:XFD1048576"/>
    </sheetView>
  </sheetViews>
  <sheetFormatPr defaultRowHeight="14.4" x14ac:dyDescent="0.3"/>
  <cols>
    <col min="1" max="1" width="5.109375" style="30" customWidth="1"/>
    <col min="2" max="2" width="50.21875" style="29" bestFit="1" customWidth="1"/>
    <col min="3" max="3" width="40.109375" style="29" customWidth="1"/>
    <col min="4" max="4" width="5.21875" style="29" bestFit="1" customWidth="1"/>
    <col min="5" max="5" width="9.33203125" style="29" customWidth="1"/>
    <col min="6" max="6" width="8.44140625" customWidth="1"/>
    <col min="7" max="7" width="14" style="28" customWidth="1"/>
    <col min="8" max="8" width="70.88671875" style="27" customWidth="1"/>
    <col min="9" max="9" width="9.5546875" bestFit="1" customWidth="1"/>
  </cols>
  <sheetData>
    <row r="1" spans="1:5" ht="22.8" customHeight="1" x14ac:dyDescent="0.3">
      <c r="A1"/>
      <c r="B1" s="259" t="s">
        <v>130</v>
      </c>
      <c r="C1" s="259"/>
      <c r="D1" s="259"/>
      <c r="E1" s="259"/>
    </row>
    <row r="2" spans="1:5" ht="17.399999999999999" customHeight="1" x14ac:dyDescent="0.3">
      <c r="A2"/>
      <c r="B2" s="260" t="s">
        <v>187</v>
      </c>
      <c r="C2" s="260"/>
      <c r="D2" s="260"/>
      <c r="E2" s="260"/>
    </row>
    <row r="3" spans="1:5" ht="17.399999999999999" customHeight="1" x14ac:dyDescent="0.3">
      <c r="A3"/>
      <c r="B3" s="260" t="s">
        <v>128</v>
      </c>
      <c r="C3" s="260"/>
      <c r="D3" s="260"/>
      <c r="E3" s="260"/>
    </row>
    <row r="4" spans="1:5" ht="15.6" customHeight="1" x14ac:dyDescent="0.3">
      <c r="A4"/>
      <c r="B4" s="261" t="s">
        <v>186</v>
      </c>
      <c r="C4" s="261"/>
      <c r="D4" s="261"/>
      <c r="E4" s="261"/>
    </row>
    <row r="5" spans="1:5" ht="14.4" customHeight="1" x14ac:dyDescent="0.3">
      <c r="A5"/>
      <c r="B5" s="262" t="s">
        <v>126</v>
      </c>
      <c r="C5" s="262"/>
      <c r="D5" s="262"/>
      <c r="E5" s="262"/>
    </row>
    <row r="6" spans="1:5" ht="14.4" customHeight="1" x14ac:dyDescent="0.3">
      <c r="A6"/>
      <c r="B6" s="262" t="s">
        <v>125</v>
      </c>
      <c r="C6" s="262"/>
      <c r="D6" s="262"/>
      <c r="E6" s="262"/>
    </row>
    <row r="7" spans="1:5" x14ac:dyDescent="0.3">
      <c r="A7"/>
      <c r="B7" s="263" t="s">
        <v>185</v>
      </c>
      <c r="C7" s="263"/>
      <c r="D7" s="263"/>
      <c r="E7" s="263"/>
    </row>
    <row r="8" spans="1:5" ht="14.4" customHeight="1" x14ac:dyDescent="0.3">
      <c r="A8"/>
      <c r="B8" s="249" t="s">
        <v>122</v>
      </c>
      <c r="C8" s="250"/>
      <c r="D8" s="250"/>
      <c r="E8" s="250"/>
    </row>
    <row r="9" spans="1:5" ht="76.8" customHeight="1" x14ac:dyDescent="0.3">
      <c r="A9"/>
      <c r="B9" s="251" t="s">
        <v>184</v>
      </c>
      <c r="C9" s="251"/>
      <c r="D9" s="251"/>
      <c r="E9" s="251"/>
    </row>
    <row r="10" spans="1:5" x14ac:dyDescent="0.3">
      <c r="A10"/>
      <c r="B10" s="10"/>
      <c r="C10" s="10"/>
      <c r="D10" s="10"/>
      <c r="E10" s="10"/>
    </row>
    <row r="11" spans="1:5" x14ac:dyDescent="0.3">
      <c r="A11"/>
      <c r="B11" s="252" t="s">
        <v>72</v>
      </c>
      <c r="C11" s="250"/>
      <c r="D11" s="250"/>
      <c r="E11" s="250"/>
    </row>
    <row r="12" spans="1:5" x14ac:dyDescent="0.3">
      <c r="A12"/>
      <c r="B12" s="13"/>
      <c r="C12" s="16"/>
      <c r="D12" s="16"/>
      <c r="E12" s="16"/>
    </row>
    <row r="13" spans="1:5" ht="36.6" customHeight="1" x14ac:dyDescent="0.3">
      <c r="A13"/>
      <c r="B13" s="251" t="s">
        <v>24</v>
      </c>
      <c r="C13" s="251"/>
      <c r="D13" s="251"/>
      <c r="E13" s="251"/>
    </row>
    <row r="14" spans="1:5" x14ac:dyDescent="0.3">
      <c r="A14"/>
      <c r="B14" s="10"/>
      <c r="C14" s="10"/>
      <c r="D14" s="10"/>
      <c r="E14" s="10"/>
    </row>
    <row r="15" spans="1:5" ht="43.8" customHeight="1" x14ac:dyDescent="0.3">
      <c r="A15"/>
      <c r="B15" s="251" t="s">
        <v>23</v>
      </c>
      <c r="C15" s="251"/>
      <c r="D15" s="251"/>
      <c r="E15" s="251"/>
    </row>
    <row r="16" spans="1:5" x14ac:dyDescent="0.3">
      <c r="A16"/>
      <c r="B16" s="10"/>
      <c r="C16" s="10"/>
      <c r="D16" s="10"/>
      <c r="E16" s="10"/>
    </row>
    <row r="17" spans="1:9" ht="37.799999999999997" customHeight="1" x14ac:dyDescent="0.3">
      <c r="A17"/>
      <c r="B17" s="251" t="s">
        <v>162</v>
      </c>
      <c r="C17" s="251"/>
      <c r="D17" s="251"/>
      <c r="E17" s="251"/>
    </row>
    <row r="18" spans="1:9" x14ac:dyDescent="0.3">
      <c r="A18"/>
      <c r="B18" s="10"/>
      <c r="C18" s="10"/>
      <c r="D18" s="10"/>
      <c r="E18" s="10"/>
    </row>
    <row r="19" spans="1:9" ht="58.8" customHeight="1" x14ac:dyDescent="0.3">
      <c r="A19"/>
      <c r="B19" s="251" t="s">
        <v>171</v>
      </c>
      <c r="C19" s="251"/>
      <c r="D19" s="251"/>
      <c r="E19" s="251"/>
    </row>
    <row r="20" spans="1:9" ht="30.6" customHeight="1" x14ac:dyDescent="0.3">
      <c r="A20"/>
      <c r="B20" s="251" t="s">
        <v>62</v>
      </c>
      <c r="C20" s="251"/>
      <c r="D20" s="251"/>
      <c r="E20" s="251"/>
    </row>
    <row r="21" spans="1:9" x14ac:dyDescent="0.3">
      <c r="A21"/>
      <c r="B21" s="10"/>
      <c r="C21" s="10"/>
      <c r="D21" s="10"/>
      <c r="E21" s="10"/>
    </row>
    <row r="22" spans="1:9" ht="14.4" customHeight="1" x14ac:dyDescent="0.3">
      <c r="A22"/>
      <c r="B22" s="252" t="s">
        <v>70</v>
      </c>
      <c r="C22" s="251"/>
      <c r="D22" s="251"/>
      <c r="E22" s="251"/>
    </row>
    <row r="23" spans="1:9" x14ac:dyDescent="0.3">
      <c r="A23"/>
      <c r="B23" s="13"/>
      <c r="C23" s="10"/>
      <c r="D23" s="10"/>
      <c r="E23" s="10"/>
    </row>
    <row r="24" spans="1:9" x14ac:dyDescent="0.3">
      <c r="A24"/>
      <c r="B24" s="258" t="s">
        <v>69</v>
      </c>
      <c r="C24" s="258"/>
      <c r="D24" s="33" t="s">
        <v>4</v>
      </c>
      <c r="E24" s="32">
        <v>27.84</v>
      </c>
      <c r="G24" s="28" t="s">
        <v>97</v>
      </c>
      <c r="H24" s="27" t="s">
        <v>122</v>
      </c>
    </row>
    <row r="25" spans="1:9" ht="14.4" customHeight="1" x14ac:dyDescent="0.3">
      <c r="A25"/>
      <c r="B25" s="258" t="s">
        <v>182</v>
      </c>
      <c r="C25" s="258"/>
      <c r="D25" s="33" t="s">
        <v>4</v>
      </c>
      <c r="E25" s="32">
        <v>0.56999999999999995</v>
      </c>
      <c r="G25" s="28" t="s">
        <v>116</v>
      </c>
      <c r="H25" s="27" t="s">
        <v>122</v>
      </c>
    </row>
    <row r="26" spans="1:9" ht="14.4" customHeight="1" x14ac:dyDescent="0.3">
      <c r="A26"/>
      <c r="B26" s="258" t="s">
        <v>181</v>
      </c>
      <c r="C26" s="258"/>
      <c r="D26" s="33" t="s">
        <v>4</v>
      </c>
      <c r="E26" s="32">
        <v>0.25970127986800523</v>
      </c>
      <c r="G26" s="28" t="s">
        <v>118</v>
      </c>
      <c r="H26" s="27" t="s">
        <v>122</v>
      </c>
      <c r="I26" s="39"/>
    </row>
    <row r="27" spans="1:9" ht="14.4" customHeight="1" x14ac:dyDescent="0.3">
      <c r="A27"/>
      <c r="B27" s="38" t="s">
        <v>153</v>
      </c>
      <c r="C27" s="38"/>
      <c r="D27" s="33" t="s">
        <v>4</v>
      </c>
      <c r="E27" s="32">
        <v>-0.21195256644492144</v>
      </c>
      <c r="G27" s="28" t="s">
        <v>118</v>
      </c>
      <c r="H27" s="27" t="s">
        <v>122</v>
      </c>
    </row>
    <row r="28" spans="1:9" ht="14.4" customHeight="1" x14ac:dyDescent="0.3">
      <c r="A28"/>
      <c r="B28" s="38" t="s">
        <v>154</v>
      </c>
      <c r="C28" s="38"/>
      <c r="D28" s="33" t="s">
        <v>4</v>
      </c>
      <c r="E28" s="32">
        <v>-0.15586704381223365</v>
      </c>
      <c r="G28" s="28" t="s">
        <v>118</v>
      </c>
      <c r="H28" s="27" t="s">
        <v>122</v>
      </c>
    </row>
    <row r="29" spans="1:9" x14ac:dyDescent="0.3">
      <c r="A29"/>
      <c r="B29" s="38" t="s">
        <v>155</v>
      </c>
      <c r="C29" s="38"/>
      <c r="D29" s="33" t="s">
        <v>4</v>
      </c>
      <c r="E29" s="32">
        <v>0.69148526587285508</v>
      </c>
      <c r="G29" s="28" t="s">
        <v>118</v>
      </c>
      <c r="H29" s="27" t="s">
        <v>122</v>
      </c>
    </row>
    <row r="30" spans="1:9" ht="14.4" customHeight="1" x14ac:dyDescent="0.3">
      <c r="A30"/>
      <c r="B30" s="258" t="s">
        <v>96</v>
      </c>
      <c r="C30" s="258"/>
      <c r="D30" s="33" t="s">
        <v>79</v>
      </c>
      <c r="E30" s="37">
        <v>0</v>
      </c>
      <c r="G30" s="28" t="s">
        <v>96</v>
      </c>
      <c r="H30" s="27" t="s">
        <v>122</v>
      </c>
    </row>
    <row r="31" spans="1:9" ht="14.4" customHeight="1" x14ac:dyDescent="0.3">
      <c r="A31"/>
      <c r="B31" s="258" t="s">
        <v>95</v>
      </c>
      <c r="C31" s="258"/>
      <c r="D31" s="33" t="s">
        <v>79</v>
      </c>
      <c r="E31" s="37">
        <v>2.9999999999999997E-4</v>
      </c>
      <c r="G31" s="28" t="s">
        <v>94</v>
      </c>
      <c r="H31" s="27" t="s">
        <v>122</v>
      </c>
    </row>
    <row r="32" spans="1:9" ht="22.8" customHeight="1" x14ac:dyDescent="0.3">
      <c r="A32"/>
      <c r="B32" s="258" t="s">
        <v>160</v>
      </c>
      <c r="C32" s="258"/>
      <c r="D32" s="33" t="s">
        <v>79</v>
      </c>
      <c r="E32" s="37">
        <f>'2.2-TSC Current Schedule'!$E$29</f>
        <v>1.4200000000000001E-2</v>
      </c>
      <c r="H32" s="27" t="s">
        <v>122</v>
      </c>
    </row>
    <row r="33" spans="1:8" ht="22.8" customHeight="1" x14ac:dyDescent="0.3">
      <c r="A33"/>
      <c r="B33" s="258" t="s">
        <v>159</v>
      </c>
      <c r="C33" s="258"/>
      <c r="D33" s="33" t="s">
        <v>79</v>
      </c>
      <c r="E33" s="37">
        <v>3.8237144354832221E-4</v>
      </c>
      <c r="G33" s="28" t="s">
        <v>92</v>
      </c>
      <c r="H33" s="27" t="s">
        <v>122</v>
      </c>
    </row>
    <row r="34" spans="1:8" x14ac:dyDescent="0.3">
      <c r="A34"/>
      <c r="B34" s="258" t="s">
        <v>158</v>
      </c>
      <c r="C34" s="258"/>
      <c r="D34" s="33" t="s">
        <v>79</v>
      </c>
      <c r="E34" s="37">
        <f>'2.2-TSC Current Schedule'!$E$30</f>
        <v>-6.4739169462600422E-3</v>
      </c>
      <c r="H34" s="27" t="s">
        <v>122</v>
      </c>
    </row>
    <row r="35" spans="1:8" x14ac:dyDescent="0.3">
      <c r="A35"/>
      <c r="B35" s="258" t="s">
        <v>157</v>
      </c>
      <c r="C35" s="258"/>
      <c r="D35" s="33" t="s">
        <v>79</v>
      </c>
      <c r="E35" s="37">
        <v>-1.4185349490900248E-3</v>
      </c>
      <c r="G35" s="28" t="s">
        <v>90</v>
      </c>
      <c r="H35" s="27" t="s">
        <v>122</v>
      </c>
    </row>
    <row r="36" spans="1:8" x14ac:dyDescent="0.3">
      <c r="A36"/>
      <c r="B36" s="38" t="s">
        <v>169</v>
      </c>
      <c r="C36" s="38"/>
      <c r="D36" s="33" t="s">
        <v>79</v>
      </c>
      <c r="E36" s="37">
        <v>1.7476150688581956E-4</v>
      </c>
      <c r="G36" s="28" t="s">
        <v>152</v>
      </c>
      <c r="H36" s="27" t="s">
        <v>122</v>
      </c>
    </row>
    <row r="37" spans="1:8" ht="14.4" customHeight="1" x14ac:dyDescent="0.3">
      <c r="A37"/>
      <c r="B37" s="258" t="s">
        <v>89</v>
      </c>
      <c r="C37" s="258"/>
      <c r="D37" s="33" t="s">
        <v>79</v>
      </c>
      <c r="E37" s="37">
        <v>5.7155321582287874E-3</v>
      </c>
      <c r="G37" s="28" t="s">
        <v>88</v>
      </c>
      <c r="H37" s="27" t="s">
        <v>122</v>
      </c>
    </row>
    <row r="38" spans="1:8" ht="14.4" customHeight="1" x14ac:dyDescent="0.3">
      <c r="A38"/>
      <c r="B38" s="258" t="s">
        <v>87</v>
      </c>
      <c r="C38" s="258"/>
      <c r="D38" s="33" t="s">
        <v>79</v>
      </c>
      <c r="E38" s="37">
        <v>4.1912748923984876E-3</v>
      </c>
      <c r="G38" s="28" t="s">
        <v>86</v>
      </c>
      <c r="H38" s="27" t="s">
        <v>122</v>
      </c>
    </row>
    <row r="39" spans="1:8" x14ac:dyDescent="0.3">
      <c r="A39"/>
      <c r="B39" s="8"/>
      <c r="C39" s="8"/>
      <c r="D39" s="4"/>
      <c r="E39" s="3"/>
      <c r="H39" s="27" t="s">
        <v>122</v>
      </c>
    </row>
    <row r="40" spans="1:8" ht="14.4" customHeight="1" x14ac:dyDescent="0.3">
      <c r="A40"/>
      <c r="B40" s="252" t="s">
        <v>85</v>
      </c>
      <c r="C40" s="243"/>
      <c r="D40" s="4"/>
      <c r="E40" s="4"/>
    </row>
    <row r="41" spans="1:8" x14ac:dyDescent="0.3">
      <c r="A41"/>
      <c r="B41" s="13"/>
      <c r="C41" s="8"/>
      <c r="D41" s="4"/>
      <c r="E41" s="4"/>
    </row>
    <row r="42" spans="1:8" ht="14.4" customHeight="1" x14ac:dyDescent="0.3">
      <c r="A42"/>
      <c r="B42" s="258" t="s">
        <v>84</v>
      </c>
      <c r="C42" s="258"/>
      <c r="D42" s="33" t="s">
        <v>79</v>
      </c>
      <c r="E42" s="37">
        <v>3.2000000000000002E-3</v>
      </c>
      <c r="G42" s="28" t="s">
        <v>83</v>
      </c>
      <c r="H42" s="27" t="s">
        <v>122</v>
      </c>
    </row>
    <row r="43" spans="1:8" ht="14.4" customHeight="1" x14ac:dyDescent="0.3">
      <c r="A43"/>
      <c r="B43" s="258" t="s">
        <v>82</v>
      </c>
      <c r="C43" s="258"/>
      <c r="D43" s="33" t="s">
        <v>79</v>
      </c>
      <c r="E43" s="37">
        <v>4.0000000000000002E-4</v>
      </c>
      <c r="G43" s="28" t="s">
        <v>81</v>
      </c>
      <c r="H43" s="27" t="s">
        <v>122</v>
      </c>
    </row>
    <row r="44" spans="1:8" ht="14.4" customHeight="1" x14ac:dyDescent="0.3">
      <c r="A44"/>
      <c r="B44" s="258" t="s">
        <v>80</v>
      </c>
      <c r="C44" s="258"/>
      <c r="D44" s="33" t="s">
        <v>79</v>
      </c>
      <c r="E44" s="37">
        <v>2.9999999999999997E-4</v>
      </c>
      <c r="G44" s="28" t="s">
        <v>78</v>
      </c>
      <c r="H44" s="27" t="s">
        <v>122</v>
      </c>
    </row>
    <row r="45" spans="1:8" ht="18" customHeight="1" x14ac:dyDescent="0.3">
      <c r="A45"/>
      <c r="B45" s="258" t="s">
        <v>77</v>
      </c>
      <c r="C45" s="258"/>
      <c r="D45" s="33" t="s">
        <v>4</v>
      </c>
      <c r="E45" s="32">
        <v>0.25</v>
      </c>
      <c r="G45" s="28" t="s">
        <v>76</v>
      </c>
      <c r="H45" s="27" t="s">
        <v>122</v>
      </c>
    </row>
    <row r="46" spans="1:8" ht="14.4" customHeight="1" x14ac:dyDescent="0.35">
      <c r="A46" s="36"/>
      <c r="B46" s="249" t="s">
        <v>121</v>
      </c>
      <c r="C46" s="253"/>
      <c r="D46" s="253"/>
      <c r="E46" s="253"/>
    </row>
    <row r="47" spans="1:8" ht="82.8" customHeight="1" x14ac:dyDescent="0.3">
      <c r="A47"/>
      <c r="B47" s="251" t="s">
        <v>183</v>
      </c>
      <c r="C47" s="251"/>
      <c r="D47" s="251"/>
      <c r="E47" s="251"/>
    </row>
    <row r="48" spans="1:8" x14ac:dyDescent="0.3">
      <c r="A48"/>
      <c r="B48" s="10"/>
      <c r="C48" s="10"/>
      <c r="D48" s="10"/>
      <c r="E48" s="10"/>
    </row>
    <row r="49" spans="1:9" x14ac:dyDescent="0.3">
      <c r="A49"/>
      <c r="B49" s="252" t="s">
        <v>72</v>
      </c>
      <c r="C49" s="250"/>
      <c r="D49" s="250"/>
      <c r="E49" s="250"/>
    </row>
    <row r="50" spans="1:9" ht="14.4" customHeight="1" x14ac:dyDescent="0.3">
      <c r="A50"/>
      <c r="B50" s="13"/>
      <c r="C50" s="16"/>
      <c r="D50" s="16"/>
      <c r="E50" s="16"/>
    </row>
    <row r="51" spans="1:9" ht="30" customHeight="1" x14ac:dyDescent="0.3">
      <c r="A51"/>
      <c r="B51" s="251" t="s">
        <v>24</v>
      </c>
      <c r="C51" s="251"/>
      <c r="D51" s="251"/>
      <c r="E51" s="251"/>
    </row>
    <row r="52" spans="1:9" ht="14.4" customHeight="1" x14ac:dyDescent="0.3">
      <c r="A52"/>
      <c r="B52" s="10"/>
      <c r="C52" s="10"/>
      <c r="D52" s="10"/>
      <c r="E52" s="10"/>
    </row>
    <row r="53" spans="1:9" ht="40.200000000000003" customHeight="1" x14ac:dyDescent="0.3">
      <c r="A53"/>
      <c r="B53" s="251" t="s">
        <v>23</v>
      </c>
      <c r="C53" s="251"/>
      <c r="D53" s="251"/>
      <c r="E53" s="251"/>
    </row>
    <row r="54" spans="1:9" ht="14.4" customHeight="1" x14ac:dyDescent="0.3">
      <c r="A54"/>
      <c r="B54" s="10"/>
      <c r="C54" s="10"/>
      <c r="D54" s="10"/>
      <c r="E54" s="10"/>
    </row>
    <row r="55" spans="1:9" ht="39.6" customHeight="1" x14ac:dyDescent="0.3">
      <c r="A55"/>
      <c r="B55" s="251" t="s">
        <v>162</v>
      </c>
      <c r="C55" s="251"/>
      <c r="D55" s="251"/>
      <c r="E55" s="251"/>
    </row>
    <row r="56" spans="1:9" ht="14.4" customHeight="1" x14ac:dyDescent="0.3">
      <c r="A56"/>
      <c r="B56" s="10"/>
      <c r="C56" s="10"/>
      <c r="D56" s="10"/>
      <c r="E56" s="10"/>
    </row>
    <row r="57" spans="1:9" ht="64.8" customHeight="1" x14ac:dyDescent="0.3">
      <c r="A57"/>
      <c r="B57" s="251" t="s">
        <v>171</v>
      </c>
      <c r="C57" s="251"/>
      <c r="D57" s="251"/>
      <c r="E57" s="251"/>
    </row>
    <row r="58" spans="1:9" ht="30.6" customHeight="1" x14ac:dyDescent="0.3">
      <c r="A58"/>
      <c r="B58" s="251" t="s">
        <v>62</v>
      </c>
      <c r="C58" s="251"/>
      <c r="D58" s="251"/>
      <c r="E58" s="251"/>
    </row>
    <row r="59" spans="1:9" x14ac:dyDescent="0.3">
      <c r="A59"/>
      <c r="B59" s="10"/>
      <c r="C59" s="10"/>
      <c r="D59" s="10"/>
      <c r="E59" s="10"/>
    </row>
    <row r="60" spans="1:9" ht="14.4" customHeight="1" x14ac:dyDescent="0.3">
      <c r="A60"/>
      <c r="B60" s="252" t="s">
        <v>70</v>
      </c>
      <c r="C60" s="251"/>
      <c r="D60" s="251"/>
      <c r="E60" s="251"/>
    </row>
    <row r="61" spans="1:9" x14ac:dyDescent="0.3">
      <c r="A61"/>
      <c r="B61" s="13"/>
      <c r="C61" s="10"/>
      <c r="D61" s="10"/>
      <c r="E61" s="10"/>
    </row>
    <row r="62" spans="1:9" x14ac:dyDescent="0.3">
      <c r="A62"/>
      <c r="B62" s="258" t="s">
        <v>69</v>
      </c>
      <c r="C62" s="258"/>
      <c r="D62" s="33" t="s">
        <v>4</v>
      </c>
      <c r="E62" s="32">
        <v>15</v>
      </c>
      <c r="G62" s="28" t="s">
        <v>97</v>
      </c>
      <c r="H62" s="27" t="s">
        <v>121</v>
      </c>
    </row>
    <row r="63" spans="1:9" ht="14.4" customHeight="1" x14ac:dyDescent="0.3">
      <c r="A63"/>
      <c r="B63" s="258" t="s">
        <v>182</v>
      </c>
      <c r="C63" s="258"/>
      <c r="D63" s="33" t="s">
        <v>4</v>
      </c>
      <c r="E63" s="32">
        <v>0.56999999999999995</v>
      </c>
      <c r="G63" s="28" t="s">
        <v>116</v>
      </c>
      <c r="H63" s="27" t="s">
        <v>121</v>
      </c>
    </row>
    <row r="64" spans="1:9" ht="14.4" customHeight="1" x14ac:dyDescent="0.3">
      <c r="A64"/>
      <c r="B64" s="258" t="s">
        <v>181</v>
      </c>
      <c r="C64" s="258"/>
      <c r="D64" s="33" t="s">
        <v>4</v>
      </c>
      <c r="E64" s="32">
        <v>0.25970127986800523</v>
      </c>
      <c r="G64" s="28" t="s">
        <v>118</v>
      </c>
      <c r="H64" s="27" t="s">
        <v>121</v>
      </c>
      <c r="I64" s="39"/>
    </row>
    <row r="65" spans="1:8" ht="14.4" customHeight="1" x14ac:dyDescent="0.3">
      <c r="A65"/>
      <c r="B65" s="258" t="s">
        <v>96</v>
      </c>
      <c r="C65" s="258"/>
      <c r="D65" s="33" t="s">
        <v>79</v>
      </c>
      <c r="E65" s="37">
        <v>1.6E-2</v>
      </c>
      <c r="G65" s="28" t="s">
        <v>96</v>
      </c>
      <c r="H65" s="27" t="s">
        <v>121</v>
      </c>
    </row>
    <row r="66" spans="1:8" ht="14.4" customHeight="1" x14ac:dyDescent="0.3">
      <c r="A66"/>
      <c r="B66" s="258" t="s">
        <v>95</v>
      </c>
      <c r="C66" s="258"/>
      <c r="D66" s="33" t="s">
        <v>79</v>
      </c>
      <c r="E66" s="37">
        <v>2.0000000000000001E-4</v>
      </c>
      <c r="G66" s="28" t="s">
        <v>94</v>
      </c>
      <c r="H66" s="27" t="s">
        <v>121</v>
      </c>
    </row>
    <row r="67" spans="1:8" ht="21.6" customHeight="1" x14ac:dyDescent="0.3">
      <c r="A67"/>
      <c r="B67" s="258" t="s">
        <v>160</v>
      </c>
      <c r="C67" s="258"/>
      <c r="D67" s="33" t="s">
        <v>79</v>
      </c>
      <c r="E67" s="37">
        <f>'2.2-TSC Current Schedule'!$E$60</f>
        <v>1.4200000000000001E-2</v>
      </c>
      <c r="H67" s="27" t="s">
        <v>121</v>
      </c>
    </row>
    <row r="68" spans="1:8" ht="21.6" customHeight="1" x14ac:dyDescent="0.3">
      <c r="A68"/>
      <c r="B68" s="258" t="s">
        <v>159</v>
      </c>
      <c r="C68" s="258"/>
      <c r="D68" s="33" t="s">
        <v>79</v>
      </c>
      <c r="E68" s="37">
        <v>3.8237144354832221E-4</v>
      </c>
      <c r="G68" s="28" t="s">
        <v>92</v>
      </c>
      <c r="H68" s="27" t="s">
        <v>121</v>
      </c>
    </row>
    <row r="69" spans="1:8" x14ac:dyDescent="0.3">
      <c r="A69"/>
      <c r="B69" s="258" t="s">
        <v>158</v>
      </c>
      <c r="C69" s="258"/>
      <c r="D69" s="33" t="s">
        <v>79</v>
      </c>
      <c r="E69" s="37">
        <f>'2.2-TSC Current Schedule'!$E$61</f>
        <v>-6.3844404687474557E-3</v>
      </c>
      <c r="H69" s="27" t="s">
        <v>121</v>
      </c>
    </row>
    <row r="70" spans="1:8" x14ac:dyDescent="0.3">
      <c r="A70"/>
      <c r="B70" s="258" t="s">
        <v>157</v>
      </c>
      <c r="C70" s="258"/>
      <c r="D70" s="33" t="s">
        <v>79</v>
      </c>
      <c r="E70" s="37">
        <v>-1.3941098854697966E-3</v>
      </c>
      <c r="G70" s="28" t="s">
        <v>90</v>
      </c>
      <c r="H70" s="27" t="s">
        <v>121</v>
      </c>
    </row>
    <row r="71" spans="1:8" x14ac:dyDescent="0.3">
      <c r="A71"/>
      <c r="B71" s="38" t="s">
        <v>155</v>
      </c>
      <c r="C71" s="38"/>
      <c r="D71" s="33" t="s">
        <v>79</v>
      </c>
      <c r="E71" s="37">
        <v>5.0815707686475086E-4</v>
      </c>
      <c r="G71" s="28" t="s">
        <v>152</v>
      </c>
      <c r="H71" s="27" t="s">
        <v>121</v>
      </c>
    </row>
    <row r="72" spans="1:8" ht="14.4" customHeight="1" x14ac:dyDescent="0.3">
      <c r="A72"/>
      <c r="B72" s="38" t="s">
        <v>154</v>
      </c>
      <c r="C72" s="38"/>
      <c r="D72" s="33" t="s">
        <v>79</v>
      </c>
      <c r="E72" s="37">
        <v>-2.3783566964355961E-4</v>
      </c>
      <c r="G72" s="28" t="s">
        <v>152</v>
      </c>
      <c r="H72" s="27" t="s">
        <v>121</v>
      </c>
    </row>
    <row r="73" spans="1:8" ht="14.4" customHeight="1" x14ac:dyDescent="0.3">
      <c r="A73"/>
      <c r="B73" s="38" t="s">
        <v>153</v>
      </c>
      <c r="C73" s="38"/>
      <c r="D73" s="33" t="s">
        <v>79</v>
      </c>
      <c r="E73" s="37">
        <v>-3.2341590204165022E-4</v>
      </c>
      <c r="G73" s="28" t="s">
        <v>152</v>
      </c>
      <c r="H73" s="27" t="s">
        <v>121</v>
      </c>
    </row>
    <row r="74" spans="1:8" x14ac:dyDescent="0.3">
      <c r="A74"/>
      <c r="B74" s="38" t="s">
        <v>169</v>
      </c>
      <c r="C74" s="38"/>
      <c r="D74" s="33" t="s">
        <v>79</v>
      </c>
      <c r="E74" s="37">
        <v>4.1054492657221055E-4</v>
      </c>
      <c r="G74" s="28" t="s">
        <v>152</v>
      </c>
      <c r="H74" s="27" t="s">
        <v>121</v>
      </c>
    </row>
    <row r="75" spans="1:8" ht="14.4" customHeight="1" x14ac:dyDescent="0.3">
      <c r="A75"/>
      <c r="B75" s="258" t="s">
        <v>89</v>
      </c>
      <c r="C75" s="258"/>
      <c r="D75" s="33" t="s">
        <v>79</v>
      </c>
      <c r="E75" s="37">
        <v>5.0850496228662173E-3</v>
      </c>
      <c r="G75" s="28" t="s">
        <v>88</v>
      </c>
      <c r="H75" s="27" t="s">
        <v>121</v>
      </c>
    </row>
    <row r="76" spans="1:8" ht="14.4" customHeight="1" x14ac:dyDescent="0.3">
      <c r="A76"/>
      <c r="B76" s="258" t="s">
        <v>87</v>
      </c>
      <c r="C76" s="258"/>
      <c r="D76" s="33" t="s">
        <v>79</v>
      </c>
      <c r="E76" s="37">
        <v>3.787375942834458E-3</v>
      </c>
      <c r="G76" s="28" t="s">
        <v>86</v>
      </c>
      <c r="H76" s="27" t="s">
        <v>121</v>
      </c>
    </row>
    <row r="77" spans="1:8" x14ac:dyDescent="0.3">
      <c r="A77"/>
      <c r="B77" s="8"/>
      <c r="C77" s="8"/>
      <c r="D77" s="10"/>
      <c r="E77" s="10"/>
      <c r="H77" s="27" t="s">
        <v>121</v>
      </c>
    </row>
    <row r="78" spans="1:8" ht="14.4" customHeight="1" x14ac:dyDescent="0.3">
      <c r="A78"/>
      <c r="B78" s="252" t="s">
        <v>85</v>
      </c>
      <c r="C78" s="243"/>
      <c r="D78" s="10"/>
      <c r="E78" s="10"/>
      <c r="H78" s="27" t="s">
        <v>121</v>
      </c>
    </row>
    <row r="79" spans="1:8" x14ac:dyDescent="0.3">
      <c r="A79"/>
      <c r="B79" s="13"/>
      <c r="C79" s="8"/>
      <c r="D79" s="10"/>
      <c r="E79" s="10"/>
      <c r="H79" s="27" t="s">
        <v>121</v>
      </c>
    </row>
    <row r="80" spans="1:8" ht="14.4" customHeight="1" x14ac:dyDescent="0.3">
      <c r="A80"/>
      <c r="B80" s="258" t="s">
        <v>84</v>
      </c>
      <c r="C80" s="258"/>
      <c r="D80" s="33" t="s">
        <v>79</v>
      </c>
      <c r="E80" s="37">
        <v>3.2000000000000002E-3</v>
      </c>
      <c r="G80" s="28" t="s">
        <v>83</v>
      </c>
      <c r="H80" s="27" t="s">
        <v>121</v>
      </c>
    </row>
    <row r="81" spans="1:8" ht="14.4" customHeight="1" x14ac:dyDescent="0.3">
      <c r="A81"/>
      <c r="B81" s="258" t="s">
        <v>82</v>
      </c>
      <c r="C81" s="258"/>
      <c r="D81" s="33" t="s">
        <v>79</v>
      </c>
      <c r="E81" s="37">
        <v>4.0000000000000002E-4</v>
      </c>
      <c r="G81" s="28" t="s">
        <v>81</v>
      </c>
      <c r="H81" s="27" t="s">
        <v>121</v>
      </c>
    </row>
    <row r="82" spans="1:8" ht="18" customHeight="1" x14ac:dyDescent="0.3">
      <c r="A82"/>
      <c r="B82" s="258" t="s">
        <v>80</v>
      </c>
      <c r="C82" s="258"/>
      <c r="D82" s="33" t="s">
        <v>79</v>
      </c>
      <c r="E82" s="37">
        <v>2.9999999999999997E-4</v>
      </c>
      <c r="G82" s="28" t="s">
        <v>78</v>
      </c>
      <c r="H82" s="27" t="s">
        <v>121</v>
      </c>
    </row>
    <row r="83" spans="1:8" x14ac:dyDescent="0.3">
      <c r="A83"/>
      <c r="B83" s="258" t="s">
        <v>77</v>
      </c>
      <c r="C83" s="258"/>
      <c r="D83" s="33" t="s">
        <v>4</v>
      </c>
      <c r="E83" s="32">
        <v>0.25</v>
      </c>
      <c r="G83" s="28" t="s">
        <v>76</v>
      </c>
      <c r="H83" s="27" t="s">
        <v>121</v>
      </c>
    </row>
    <row r="84" spans="1:8" ht="18" customHeight="1" x14ac:dyDescent="0.35">
      <c r="A84" s="36"/>
      <c r="B84" s="249" t="s">
        <v>106</v>
      </c>
      <c r="C84" s="253"/>
      <c r="D84" s="253"/>
      <c r="E84" s="253"/>
    </row>
    <row r="85" spans="1:8" ht="54.6" customHeight="1" x14ac:dyDescent="0.3">
      <c r="A85"/>
      <c r="B85" s="251" t="s">
        <v>180</v>
      </c>
      <c r="C85" s="251"/>
      <c r="D85" s="251"/>
      <c r="E85" s="251"/>
    </row>
    <row r="86" spans="1:8" x14ac:dyDescent="0.3">
      <c r="A86"/>
      <c r="B86" s="10"/>
      <c r="C86" s="10"/>
      <c r="D86" s="10"/>
      <c r="E86" s="10"/>
    </row>
    <row r="87" spans="1:8" ht="14.4" customHeight="1" x14ac:dyDescent="0.3">
      <c r="A87"/>
      <c r="B87" s="252" t="s">
        <v>72</v>
      </c>
      <c r="C87" s="250"/>
      <c r="D87" s="250"/>
      <c r="E87" s="250"/>
    </row>
    <row r="88" spans="1:8" x14ac:dyDescent="0.3">
      <c r="A88"/>
      <c r="B88" s="13"/>
      <c r="C88" s="16"/>
      <c r="D88" s="16"/>
      <c r="E88" s="16"/>
    </row>
    <row r="89" spans="1:8" ht="40.799999999999997" customHeight="1" x14ac:dyDescent="0.3">
      <c r="A89"/>
      <c r="B89" s="251" t="s">
        <v>24</v>
      </c>
      <c r="C89" s="251"/>
      <c r="D89" s="251"/>
      <c r="E89" s="251"/>
    </row>
    <row r="90" spans="1:8" x14ac:dyDescent="0.3">
      <c r="A90"/>
      <c r="B90" s="10"/>
      <c r="C90" s="10"/>
      <c r="D90" s="10"/>
      <c r="E90" s="10"/>
    </row>
    <row r="91" spans="1:8" ht="39.6" customHeight="1" x14ac:dyDescent="0.3">
      <c r="A91"/>
      <c r="B91" s="251" t="s">
        <v>23</v>
      </c>
      <c r="C91" s="251"/>
      <c r="D91" s="251"/>
      <c r="E91" s="251"/>
    </row>
    <row r="92" spans="1:8" x14ac:dyDescent="0.3">
      <c r="A92"/>
      <c r="B92" s="10"/>
      <c r="C92" s="10"/>
      <c r="D92" s="10"/>
      <c r="E92" s="10"/>
    </row>
    <row r="93" spans="1:8" ht="39.6" customHeight="1" x14ac:dyDescent="0.3">
      <c r="A93"/>
      <c r="B93" s="251" t="s">
        <v>162</v>
      </c>
      <c r="C93" s="251"/>
      <c r="D93" s="251"/>
      <c r="E93" s="251"/>
    </row>
    <row r="94" spans="1:8" x14ac:dyDescent="0.3">
      <c r="A94"/>
      <c r="B94" s="10"/>
      <c r="C94" s="10"/>
      <c r="D94" s="10"/>
      <c r="E94" s="10"/>
    </row>
    <row r="95" spans="1:8" ht="61.2" customHeight="1" x14ac:dyDescent="0.3">
      <c r="A95"/>
      <c r="B95" s="251" t="s">
        <v>171</v>
      </c>
      <c r="C95" s="251"/>
      <c r="D95" s="251"/>
      <c r="E95" s="251"/>
    </row>
    <row r="96" spans="1:8" ht="39" customHeight="1" x14ac:dyDescent="0.3">
      <c r="A96"/>
      <c r="B96" s="251" t="s">
        <v>62</v>
      </c>
      <c r="C96" s="251"/>
      <c r="D96" s="251"/>
      <c r="E96" s="251"/>
    </row>
    <row r="97" spans="1:9" x14ac:dyDescent="0.3">
      <c r="A97"/>
      <c r="B97" s="10"/>
      <c r="C97" s="10"/>
      <c r="D97" s="10"/>
      <c r="E97" s="10"/>
    </row>
    <row r="98" spans="1:9" ht="14.4" customHeight="1" x14ac:dyDescent="0.3">
      <c r="A98"/>
      <c r="B98" s="252" t="s">
        <v>70</v>
      </c>
      <c r="C98" s="251"/>
      <c r="D98" s="251"/>
      <c r="E98" s="251"/>
    </row>
    <row r="99" spans="1:9" x14ac:dyDescent="0.3">
      <c r="A99"/>
      <c r="B99" s="13"/>
      <c r="C99" s="10"/>
      <c r="D99" s="10"/>
      <c r="E99" s="10"/>
    </row>
    <row r="100" spans="1:9" ht="14.4" customHeight="1" x14ac:dyDescent="0.3">
      <c r="A100"/>
      <c r="B100" s="258" t="s">
        <v>69</v>
      </c>
      <c r="C100" s="258"/>
      <c r="D100" s="33" t="s">
        <v>4</v>
      </c>
      <c r="E100" s="32">
        <v>99.1</v>
      </c>
      <c r="G100" s="28" t="s">
        <v>97</v>
      </c>
      <c r="H100" s="27" t="s">
        <v>106</v>
      </c>
    </row>
    <row r="101" spans="1:9" ht="14.4" customHeight="1" x14ac:dyDescent="0.3">
      <c r="A101"/>
      <c r="B101" s="38" t="s">
        <v>179</v>
      </c>
      <c r="C101" s="38"/>
      <c r="D101" s="33" t="s">
        <v>4</v>
      </c>
      <c r="E101" s="32">
        <v>18.561313423742977</v>
      </c>
      <c r="G101" s="1" t="s">
        <v>118</v>
      </c>
      <c r="H101" s="27" t="s">
        <v>106</v>
      </c>
      <c r="I101" s="39"/>
    </row>
    <row r="102" spans="1:9" ht="14.4" customHeight="1" x14ac:dyDescent="0.3">
      <c r="A102"/>
      <c r="B102" s="258" t="s">
        <v>96</v>
      </c>
      <c r="C102" s="258"/>
      <c r="D102" s="33" t="s">
        <v>66</v>
      </c>
      <c r="E102" s="37">
        <v>3.6675</v>
      </c>
      <c r="G102" s="28" t="s">
        <v>96</v>
      </c>
      <c r="H102" s="27" t="s">
        <v>106</v>
      </c>
    </row>
    <row r="103" spans="1:9" ht="14.4" customHeight="1" x14ac:dyDescent="0.3">
      <c r="A103"/>
      <c r="B103" s="258" t="s">
        <v>95</v>
      </c>
      <c r="C103" s="258"/>
      <c r="D103" s="33" t="s">
        <v>66</v>
      </c>
      <c r="E103" s="37">
        <v>0.14680000000000001</v>
      </c>
      <c r="G103" s="28" t="s">
        <v>94</v>
      </c>
      <c r="H103" s="27" t="s">
        <v>106</v>
      </c>
    </row>
    <row r="104" spans="1:9" ht="23.4" customHeight="1" x14ac:dyDescent="0.3">
      <c r="A104"/>
      <c r="B104" s="258" t="s">
        <v>160</v>
      </c>
      <c r="C104" s="258"/>
      <c r="D104" s="33" t="s">
        <v>79</v>
      </c>
      <c r="E104" s="37">
        <f>'2.2-TSC Current Schedule'!$E$90</f>
        <v>1.4200000000000001E-2</v>
      </c>
      <c r="H104" s="27" t="s">
        <v>106</v>
      </c>
    </row>
    <row r="105" spans="1:9" ht="23.4" customHeight="1" x14ac:dyDescent="0.3">
      <c r="A105"/>
      <c r="B105" s="258" t="s">
        <v>159</v>
      </c>
      <c r="C105" s="258"/>
      <c r="D105" s="33" t="s">
        <v>79</v>
      </c>
      <c r="E105" s="37">
        <v>3.8237144354832221E-4</v>
      </c>
      <c r="G105" s="28" t="s">
        <v>92</v>
      </c>
      <c r="H105" s="27" t="s">
        <v>106</v>
      </c>
    </row>
    <row r="106" spans="1:9" ht="24" customHeight="1" x14ac:dyDescent="0.3">
      <c r="A106"/>
      <c r="B106" s="258" t="s">
        <v>174</v>
      </c>
      <c r="C106" s="258"/>
      <c r="D106" s="33" t="s">
        <v>66</v>
      </c>
      <c r="E106" s="37">
        <v>-8.8692823077948901E-2</v>
      </c>
      <c r="G106" s="28" t="s">
        <v>90</v>
      </c>
      <c r="H106" s="27" t="s">
        <v>106</v>
      </c>
    </row>
    <row r="107" spans="1:9" ht="14.4" customHeight="1" x14ac:dyDescent="0.3">
      <c r="A107"/>
      <c r="B107" s="258" t="s">
        <v>158</v>
      </c>
      <c r="C107" s="258"/>
      <c r="D107" s="33" t="s">
        <v>66</v>
      </c>
      <c r="E107" s="37">
        <f>'2.2-TSC Current Schedule'!$E$91</f>
        <v>-2.8760694640552322</v>
      </c>
      <c r="H107" s="27" t="s">
        <v>106</v>
      </c>
    </row>
    <row r="108" spans="1:9" ht="14.4" customHeight="1" x14ac:dyDescent="0.3">
      <c r="A108"/>
      <c r="B108" s="258" t="s">
        <v>157</v>
      </c>
      <c r="C108" s="258"/>
      <c r="D108" s="33" t="s">
        <v>66</v>
      </c>
      <c r="E108" s="37">
        <v>-0.35370435899945513</v>
      </c>
      <c r="G108" s="28" t="s">
        <v>90</v>
      </c>
      <c r="H108" s="27" t="s">
        <v>106</v>
      </c>
    </row>
    <row r="109" spans="1:9" x14ac:dyDescent="0.3">
      <c r="A109"/>
      <c r="B109" s="38" t="s">
        <v>155</v>
      </c>
      <c r="C109" s="38"/>
      <c r="D109" s="33" t="s">
        <v>66</v>
      </c>
      <c r="E109" s="37">
        <v>9.6391776333325144E-2</v>
      </c>
      <c r="G109" s="28" t="s">
        <v>152</v>
      </c>
      <c r="H109" s="27" t="s">
        <v>106</v>
      </c>
    </row>
    <row r="110" spans="1:9" ht="14.4" customHeight="1" x14ac:dyDescent="0.3">
      <c r="A110"/>
      <c r="B110" s="38" t="s">
        <v>154</v>
      </c>
      <c r="C110" s="38"/>
      <c r="D110" s="33" t="s">
        <v>66</v>
      </c>
      <c r="E110" s="37">
        <v>-7.6075179703601697E-2</v>
      </c>
      <c r="G110" s="28" t="s">
        <v>152</v>
      </c>
      <c r="H110" s="27" t="s">
        <v>106</v>
      </c>
    </row>
    <row r="111" spans="1:9" ht="14.4" customHeight="1" x14ac:dyDescent="0.3">
      <c r="A111"/>
      <c r="B111" s="38" t="s">
        <v>153</v>
      </c>
      <c r="C111" s="38"/>
      <c r="D111" s="33" t="s">
        <v>66</v>
      </c>
      <c r="E111" s="37">
        <v>-0.1034492551251647</v>
      </c>
      <c r="G111" s="28" t="s">
        <v>152</v>
      </c>
      <c r="H111" s="27" t="s">
        <v>106</v>
      </c>
    </row>
    <row r="112" spans="1:9" x14ac:dyDescent="0.3">
      <c r="A112"/>
      <c r="B112" s="38" t="s">
        <v>169</v>
      </c>
      <c r="C112" s="38"/>
      <c r="D112" s="33" t="s">
        <v>66</v>
      </c>
      <c r="E112" s="37">
        <v>0.56765258777027194</v>
      </c>
      <c r="G112" s="28" t="s">
        <v>152</v>
      </c>
      <c r="H112" s="27" t="s">
        <v>106</v>
      </c>
    </row>
    <row r="113" spans="1:8" ht="14.4" customHeight="1" x14ac:dyDescent="0.3">
      <c r="A113"/>
      <c r="B113" s="258" t="s">
        <v>89</v>
      </c>
      <c r="C113" s="258"/>
      <c r="D113" s="33" t="s">
        <v>66</v>
      </c>
      <c r="E113" s="37">
        <v>3.0565878768844219</v>
      </c>
      <c r="G113" s="28" t="s">
        <v>88</v>
      </c>
      <c r="H113" s="27" t="s">
        <v>106</v>
      </c>
    </row>
    <row r="114" spans="1:8" ht="14.4" customHeight="1" x14ac:dyDescent="0.3">
      <c r="A114"/>
      <c r="B114" s="258" t="s">
        <v>87</v>
      </c>
      <c r="C114" s="258"/>
      <c r="D114" s="33" t="s">
        <v>66</v>
      </c>
      <c r="E114" s="37">
        <v>2.288136643492007</v>
      </c>
      <c r="G114" s="28" t="s">
        <v>86</v>
      </c>
      <c r="H114" s="27" t="s">
        <v>106</v>
      </c>
    </row>
    <row r="115" spans="1:8" ht="14.4" customHeight="1" x14ac:dyDescent="0.3">
      <c r="A115"/>
      <c r="B115" s="258" t="s">
        <v>178</v>
      </c>
      <c r="C115" s="258"/>
      <c r="D115" s="33" t="s">
        <v>66</v>
      </c>
      <c r="E115" s="37">
        <v>3.0762753953164337</v>
      </c>
      <c r="G115" s="28" t="s">
        <v>88</v>
      </c>
      <c r="H115" s="27" t="s">
        <v>110</v>
      </c>
    </row>
    <row r="116" spans="1:8" ht="14.4" customHeight="1" x14ac:dyDescent="0.3">
      <c r="A116"/>
      <c r="B116" s="258" t="s">
        <v>177</v>
      </c>
      <c r="C116" s="258"/>
      <c r="D116" s="33" t="s">
        <v>66</v>
      </c>
      <c r="E116" s="37">
        <v>2.3092430060376326</v>
      </c>
      <c r="G116" s="28" t="s">
        <v>86</v>
      </c>
      <c r="H116" s="27" t="s">
        <v>110</v>
      </c>
    </row>
    <row r="117" spans="1:8" x14ac:dyDescent="0.3">
      <c r="A117"/>
      <c r="B117" s="8"/>
      <c r="C117" s="8"/>
      <c r="D117" s="4"/>
      <c r="E117" s="3"/>
      <c r="H117" s="27" t="s">
        <v>106</v>
      </c>
    </row>
    <row r="118" spans="1:8" ht="14.4" customHeight="1" x14ac:dyDescent="0.3">
      <c r="A118"/>
      <c r="B118" s="252" t="s">
        <v>85</v>
      </c>
      <c r="C118" s="243"/>
      <c r="D118" s="4"/>
      <c r="E118" s="4"/>
      <c r="H118" s="27" t="s">
        <v>106</v>
      </c>
    </row>
    <row r="119" spans="1:8" x14ac:dyDescent="0.3">
      <c r="A119"/>
      <c r="B119" s="13"/>
      <c r="C119" s="8"/>
      <c r="D119" s="4"/>
      <c r="E119" s="4"/>
      <c r="H119" s="27" t="s">
        <v>106</v>
      </c>
    </row>
    <row r="120" spans="1:8" ht="14.4" customHeight="1" x14ac:dyDescent="0.3">
      <c r="A120"/>
      <c r="B120" s="258" t="s">
        <v>84</v>
      </c>
      <c r="C120" s="258"/>
      <c r="D120" s="33" t="s">
        <v>79</v>
      </c>
      <c r="E120" s="37">
        <v>3.2000000000000002E-3</v>
      </c>
      <c r="G120" s="28" t="s">
        <v>83</v>
      </c>
      <c r="H120" s="27" t="s">
        <v>106</v>
      </c>
    </row>
    <row r="121" spans="1:8" ht="18" customHeight="1" x14ac:dyDescent="0.3">
      <c r="A121"/>
      <c r="B121" s="258" t="s">
        <v>82</v>
      </c>
      <c r="C121" s="258"/>
      <c r="D121" s="33" t="s">
        <v>79</v>
      </c>
      <c r="E121" s="37">
        <v>4.0000000000000002E-4</v>
      </c>
      <c r="G121" s="28" t="s">
        <v>81</v>
      </c>
      <c r="H121" s="27" t="s">
        <v>106</v>
      </c>
    </row>
    <row r="122" spans="1:8" ht="14.4" customHeight="1" x14ac:dyDescent="0.3">
      <c r="A122"/>
      <c r="B122" s="258" t="s">
        <v>80</v>
      </c>
      <c r="C122" s="258"/>
      <c r="D122" s="33" t="s">
        <v>79</v>
      </c>
      <c r="E122" s="37">
        <v>2.9999999999999997E-4</v>
      </c>
      <c r="G122" s="28" t="s">
        <v>78</v>
      </c>
      <c r="H122" s="27" t="s">
        <v>106</v>
      </c>
    </row>
    <row r="123" spans="1:8" ht="14.4" customHeight="1" x14ac:dyDescent="0.3">
      <c r="A123"/>
      <c r="B123" s="258" t="s">
        <v>77</v>
      </c>
      <c r="C123" s="258"/>
      <c r="D123" s="33" t="s">
        <v>4</v>
      </c>
      <c r="E123" s="32">
        <v>0.25</v>
      </c>
      <c r="G123" s="28" t="s">
        <v>76</v>
      </c>
      <c r="H123" s="27" t="s">
        <v>106</v>
      </c>
    </row>
    <row r="124" spans="1:8" ht="18" customHeight="1" x14ac:dyDescent="0.35">
      <c r="A124" s="36"/>
      <c r="B124" s="249" t="s">
        <v>107</v>
      </c>
      <c r="C124" s="253"/>
      <c r="D124" s="253"/>
      <c r="E124" s="253"/>
    </row>
    <row r="125" spans="1:8" ht="67.8" customHeight="1" x14ac:dyDescent="0.3">
      <c r="A125"/>
      <c r="B125" s="251" t="s">
        <v>176</v>
      </c>
      <c r="C125" s="251"/>
      <c r="D125" s="251"/>
      <c r="E125" s="251"/>
    </row>
    <row r="126" spans="1:8" ht="14.4" customHeight="1" x14ac:dyDescent="0.3">
      <c r="A126"/>
      <c r="B126" s="10"/>
      <c r="C126" s="10"/>
      <c r="D126" s="10"/>
      <c r="E126" s="10"/>
    </row>
    <row r="127" spans="1:8" x14ac:dyDescent="0.3">
      <c r="A127"/>
      <c r="B127" s="252" t="s">
        <v>72</v>
      </c>
      <c r="C127" s="250"/>
      <c r="D127" s="250"/>
      <c r="E127" s="250"/>
    </row>
    <row r="128" spans="1:8" ht="14.4" customHeight="1" x14ac:dyDescent="0.3">
      <c r="A128"/>
      <c r="B128" s="13"/>
      <c r="C128" s="16"/>
      <c r="D128" s="16"/>
      <c r="E128" s="16"/>
    </row>
    <row r="129" spans="1:8" ht="39" customHeight="1" x14ac:dyDescent="0.3">
      <c r="A129"/>
      <c r="B129" s="251" t="s">
        <v>24</v>
      </c>
      <c r="C129" s="251"/>
      <c r="D129" s="251"/>
      <c r="E129" s="251"/>
    </row>
    <row r="130" spans="1:8" ht="14.4" customHeight="1" x14ac:dyDescent="0.3">
      <c r="A130"/>
      <c r="B130" s="10"/>
      <c r="C130" s="10"/>
      <c r="D130" s="10"/>
      <c r="E130" s="10"/>
    </row>
    <row r="131" spans="1:8" ht="51.6" customHeight="1" x14ac:dyDescent="0.3">
      <c r="A131"/>
      <c r="B131" s="251" t="s">
        <v>23</v>
      </c>
      <c r="C131" s="251"/>
      <c r="D131" s="251"/>
      <c r="E131" s="251"/>
    </row>
    <row r="132" spans="1:8" ht="14.4" customHeight="1" x14ac:dyDescent="0.3">
      <c r="A132"/>
      <c r="B132" s="10"/>
      <c r="C132" s="10"/>
      <c r="D132" s="10"/>
      <c r="E132" s="10"/>
    </row>
    <row r="133" spans="1:8" ht="42" customHeight="1" x14ac:dyDescent="0.3">
      <c r="A133"/>
      <c r="B133" s="251" t="s">
        <v>162</v>
      </c>
      <c r="C133" s="251"/>
      <c r="D133" s="251"/>
      <c r="E133" s="251"/>
    </row>
    <row r="134" spans="1:8" x14ac:dyDescent="0.3">
      <c r="A134"/>
      <c r="B134" s="10"/>
      <c r="C134" s="10"/>
      <c r="D134" s="10"/>
      <c r="E134" s="10"/>
    </row>
    <row r="135" spans="1:8" ht="64.2" customHeight="1" x14ac:dyDescent="0.3">
      <c r="A135"/>
      <c r="B135" s="251" t="s">
        <v>175</v>
      </c>
      <c r="C135" s="251"/>
      <c r="D135" s="251"/>
      <c r="E135" s="251"/>
    </row>
    <row r="136" spans="1:8" ht="66.599999999999994" customHeight="1" x14ac:dyDescent="0.3">
      <c r="A136"/>
      <c r="B136" s="251" t="s">
        <v>171</v>
      </c>
      <c r="C136" s="251"/>
      <c r="D136" s="251"/>
      <c r="E136" s="251"/>
    </row>
    <row r="137" spans="1:8" ht="34.799999999999997" customHeight="1" x14ac:dyDescent="0.3">
      <c r="A137"/>
      <c r="B137" s="251" t="s">
        <v>62</v>
      </c>
      <c r="C137" s="251"/>
      <c r="D137" s="251"/>
      <c r="E137" s="251"/>
    </row>
    <row r="138" spans="1:8" x14ac:dyDescent="0.3">
      <c r="A138"/>
      <c r="B138" s="10"/>
      <c r="C138" s="10"/>
      <c r="D138" s="10"/>
      <c r="E138" s="10"/>
    </row>
    <row r="139" spans="1:8" ht="14.4" customHeight="1" x14ac:dyDescent="0.3">
      <c r="A139"/>
      <c r="B139" s="252" t="s">
        <v>70</v>
      </c>
      <c r="C139" s="251"/>
      <c r="D139" s="251"/>
      <c r="E139" s="251"/>
    </row>
    <row r="140" spans="1:8" ht="14.4" customHeight="1" x14ac:dyDescent="0.3">
      <c r="A140"/>
      <c r="B140" s="13"/>
      <c r="C140" s="10"/>
      <c r="D140" s="10"/>
      <c r="E140" s="10"/>
    </row>
    <row r="141" spans="1:8" ht="14.4" customHeight="1" x14ac:dyDescent="0.3">
      <c r="A141"/>
      <c r="B141" s="258" t="s">
        <v>69</v>
      </c>
      <c r="C141" s="258"/>
      <c r="D141" s="33" t="s">
        <v>4</v>
      </c>
      <c r="E141" s="32">
        <v>893.19</v>
      </c>
      <c r="G141" s="28" t="s">
        <v>97</v>
      </c>
      <c r="H141" s="27" t="s">
        <v>107</v>
      </c>
    </row>
    <row r="142" spans="1:8" ht="14.4" customHeight="1" x14ac:dyDescent="0.3">
      <c r="A142"/>
      <c r="B142" s="258" t="s">
        <v>96</v>
      </c>
      <c r="C142" s="258"/>
      <c r="D142" s="33" t="s">
        <v>66</v>
      </c>
      <c r="E142" s="37">
        <v>3.8060999999999998</v>
      </c>
      <c r="G142" s="28" t="s">
        <v>96</v>
      </c>
      <c r="H142" s="27" t="s">
        <v>107</v>
      </c>
    </row>
    <row r="143" spans="1:8" ht="14.4" customHeight="1" x14ac:dyDescent="0.3">
      <c r="A143"/>
      <c r="B143" s="258" t="s">
        <v>95</v>
      </c>
      <c r="C143" s="258"/>
      <c r="D143" s="33" t="s">
        <v>66</v>
      </c>
      <c r="E143" s="37">
        <v>0.1152</v>
      </c>
      <c r="G143" s="28" t="s">
        <v>94</v>
      </c>
      <c r="H143" s="27" t="s">
        <v>107</v>
      </c>
    </row>
    <row r="144" spans="1:8" ht="24" customHeight="1" x14ac:dyDescent="0.3">
      <c r="A144"/>
      <c r="B144" s="258" t="s">
        <v>160</v>
      </c>
      <c r="C144" s="258"/>
      <c r="D144" s="33" t="s">
        <v>79</v>
      </c>
      <c r="E144" s="37">
        <f>'2.2-TSC Current Schedule'!$E$90</f>
        <v>1.4200000000000001E-2</v>
      </c>
      <c r="H144" s="27" t="s">
        <v>107</v>
      </c>
    </row>
    <row r="145" spans="1:9" ht="24" customHeight="1" x14ac:dyDescent="0.3">
      <c r="A145"/>
      <c r="B145" s="258" t="s">
        <v>159</v>
      </c>
      <c r="C145" s="258"/>
      <c r="D145" s="33" t="s">
        <v>79</v>
      </c>
      <c r="E145" s="37">
        <v>3.8237144354832221E-4</v>
      </c>
      <c r="G145" s="28" t="s">
        <v>92</v>
      </c>
      <c r="H145" s="27" t="s">
        <v>107</v>
      </c>
      <c r="I145" s="39"/>
    </row>
    <row r="146" spans="1:9" ht="21" customHeight="1" x14ac:dyDescent="0.3">
      <c r="A146"/>
      <c r="B146" s="258" t="s">
        <v>174</v>
      </c>
      <c r="C146" s="258"/>
      <c r="D146" s="33" t="s">
        <v>66</v>
      </c>
      <c r="E146" s="37">
        <v>-0.11926750011411003</v>
      </c>
      <c r="G146" s="28" t="s">
        <v>90</v>
      </c>
      <c r="H146" s="27" t="s">
        <v>107</v>
      </c>
    </row>
    <row r="147" spans="1:9" ht="14.4" customHeight="1" x14ac:dyDescent="0.3">
      <c r="A147"/>
      <c r="B147" s="258" t="s">
        <v>158</v>
      </c>
      <c r="C147" s="258"/>
      <c r="D147" s="33" t="s">
        <v>66</v>
      </c>
      <c r="E147" s="37">
        <f>'2.2-TSC Current Schedule'!$E$91</f>
        <v>-2.8760694640552322</v>
      </c>
      <c r="H147" s="27" t="s">
        <v>107</v>
      </c>
    </row>
    <row r="148" spans="1:9" ht="14.4" customHeight="1" x14ac:dyDescent="0.3">
      <c r="A148"/>
      <c r="B148" s="258" t="s">
        <v>157</v>
      </c>
      <c r="C148" s="258"/>
      <c r="D148" s="33" t="s">
        <v>66</v>
      </c>
      <c r="E148" s="37">
        <v>-0.4877872001787022</v>
      </c>
      <c r="G148" s="28" t="s">
        <v>90</v>
      </c>
      <c r="H148" s="27" t="s">
        <v>107</v>
      </c>
    </row>
    <row r="149" spans="1:9" x14ac:dyDescent="0.3">
      <c r="A149"/>
      <c r="B149" s="38" t="s">
        <v>155</v>
      </c>
      <c r="C149" s="38"/>
      <c r="D149" s="33" t="s">
        <v>66</v>
      </c>
      <c r="E149" s="37">
        <v>7.7301582973475613E-2</v>
      </c>
      <c r="G149" s="28" t="s">
        <v>152</v>
      </c>
      <c r="H149" s="27" t="s">
        <v>107</v>
      </c>
    </row>
    <row r="150" spans="1:9" x14ac:dyDescent="0.3">
      <c r="A150"/>
      <c r="B150" s="38" t="s">
        <v>154</v>
      </c>
      <c r="C150" s="38"/>
      <c r="D150" s="33" t="s">
        <v>66</v>
      </c>
      <c r="E150" s="37">
        <v>-0.10455117121612231</v>
      </c>
      <c r="G150" s="28" t="s">
        <v>152</v>
      </c>
      <c r="H150" s="27" t="s">
        <v>107</v>
      </c>
    </row>
    <row r="151" spans="1:9" ht="14.4" customHeight="1" x14ac:dyDescent="0.3">
      <c r="A151"/>
      <c r="B151" s="38" t="s">
        <v>153</v>
      </c>
      <c r="C151" s="38"/>
      <c r="D151" s="33" t="s">
        <v>66</v>
      </c>
      <c r="E151" s="37">
        <v>-0.14217174151820439</v>
      </c>
      <c r="G151" s="28" t="s">
        <v>152</v>
      </c>
      <c r="H151" s="27" t="s">
        <v>107</v>
      </c>
    </row>
    <row r="152" spans="1:9" x14ac:dyDescent="0.3">
      <c r="A152"/>
      <c r="B152" s="38" t="s">
        <v>169</v>
      </c>
      <c r="C152" s="38"/>
      <c r="D152" s="33" t="s">
        <v>66</v>
      </c>
      <c r="E152" s="37">
        <v>0.19208969297495232</v>
      </c>
      <c r="G152" s="28" t="s">
        <v>152</v>
      </c>
      <c r="H152" s="27" t="s">
        <v>107</v>
      </c>
    </row>
    <row r="153" spans="1:9" ht="14.4" customHeight="1" x14ac:dyDescent="0.3">
      <c r="A153"/>
      <c r="B153" s="258" t="s">
        <v>89</v>
      </c>
      <c r="C153" s="258"/>
      <c r="D153" s="33" t="s">
        <v>66</v>
      </c>
      <c r="E153" s="37">
        <v>2.3986258053521552</v>
      </c>
      <c r="G153" s="28" t="s">
        <v>88</v>
      </c>
      <c r="H153" s="27" t="s">
        <v>107</v>
      </c>
    </row>
    <row r="154" spans="1:9" ht="14.4" customHeight="1" x14ac:dyDescent="0.3">
      <c r="A154"/>
      <c r="B154" s="258" t="s">
        <v>87</v>
      </c>
      <c r="C154" s="258"/>
      <c r="D154" s="33" t="s">
        <v>66</v>
      </c>
      <c r="E154" s="37">
        <v>1.8212464856586605</v>
      </c>
      <c r="G154" s="28" t="s">
        <v>86</v>
      </c>
      <c r="H154" s="27" t="s">
        <v>107</v>
      </c>
    </row>
    <row r="155" spans="1:9" x14ac:dyDescent="0.3">
      <c r="A155"/>
      <c r="B155" s="8"/>
      <c r="C155" s="8"/>
      <c r="D155" s="4"/>
      <c r="E155" s="3"/>
      <c r="H155" s="27" t="s">
        <v>107</v>
      </c>
    </row>
    <row r="156" spans="1:9" ht="14.4" customHeight="1" x14ac:dyDescent="0.3">
      <c r="A156"/>
      <c r="B156" s="252" t="s">
        <v>85</v>
      </c>
      <c r="C156" s="243"/>
      <c r="D156" s="4"/>
      <c r="E156" s="4"/>
      <c r="H156" s="27" t="s">
        <v>107</v>
      </c>
    </row>
    <row r="157" spans="1:9" x14ac:dyDescent="0.3">
      <c r="A157"/>
      <c r="B157" s="13"/>
      <c r="C157" s="8"/>
      <c r="D157" s="4"/>
      <c r="E157" s="4"/>
      <c r="H157" s="27" t="s">
        <v>107</v>
      </c>
    </row>
    <row r="158" spans="1:9" x14ac:dyDescent="0.3">
      <c r="A158"/>
      <c r="B158" s="258" t="s">
        <v>84</v>
      </c>
      <c r="C158" s="258"/>
      <c r="D158" s="33" t="s">
        <v>79</v>
      </c>
      <c r="E158" s="37">
        <v>3.2000000000000002E-3</v>
      </c>
      <c r="G158" s="28" t="s">
        <v>83</v>
      </c>
      <c r="H158" s="27" t="s">
        <v>107</v>
      </c>
    </row>
    <row r="159" spans="1:9" x14ac:dyDescent="0.3">
      <c r="A159"/>
      <c r="B159" s="258" t="s">
        <v>82</v>
      </c>
      <c r="C159" s="258"/>
      <c r="D159" s="33" t="s">
        <v>79</v>
      </c>
      <c r="E159" s="37">
        <v>4.0000000000000002E-4</v>
      </c>
      <c r="G159" s="28" t="s">
        <v>81</v>
      </c>
      <c r="H159" s="27" t="s">
        <v>107</v>
      </c>
    </row>
    <row r="160" spans="1:9" ht="14.4" customHeight="1" x14ac:dyDescent="0.3">
      <c r="A160"/>
      <c r="B160" s="258" t="s">
        <v>80</v>
      </c>
      <c r="C160" s="258"/>
      <c r="D160" s="33" t="s">
        <v>79</v>
      </c>
      <c r="E160" s="37">
        <v>2.9999999999999997E-4</v>
      </c>
      <c r="G160" s="28" t="s">
        <v>78</v>
      </c>
      <c r="H160" s="27" t="s">
        <v>107</v>
      </c>
    </row>
    <row r="161" spans="1:8" ht="14.4" customHeight="1" x14ac:dyDescent="0.3">
      <c r="A161"/>
      <c r="B161" s="258" t="s">
        <v>77</v>
      </c>
      <c r="C161" s="258"/>
      <c r="D161" s="33" t="s">
        <v>4</v>
      </c>
      <c r="E161" s="32">
        <v>0.25</v>
      </c>
      <c r="G161" s="28" t="s">
        <v>76</v>
      </c>
      <c r="H161" s="27" t="s">
        <v>107</v>
      </c>
    </row>
    <row r="162" spans="1:8" ht="14.4" customHeight="1" x14ac:dyDescent="0.35">
      <c r="A162" s="36"/>
      <c r="B162" s="249" t="s">
        <v>104</v>
      </c>
      <c r="C162" s="253"/>
      <c r="D162" s="253"/>
      <c r="E162" s="253"/>
    </row>
    <row r="163" spans="1:8" ht="63" customHeight="1" x14ac:dyDescent="0.3">
      <c r="A163"/>
      <c r="B163" s="251" t="s">
        <v>173</v>
      </c>
      <c r="C163" s="251"/>
      <c r="D163" s="251"/>
      <c r="E163" s="251"/>
    </row>
    <row r="164" spans="1:8" ht="14.4" customHeight="1" x14ac:dyDescent="0.3">
      <c r="A164"/>
      <c r="B164" s="10"/>
      <c r="C164" s="10"/>
      <c r="D164" s="10"/>
      <c r="E164" s="10"/>
    </row>
    <row r="165" spans="1:8" x14ac:dyDescent="0.3">
      <c r="A165"/>
      <c r="B165" s="252" t="s">
        <v>72</v>
      </c>
      <c r="C165" s="250"/>
      <c r="D165" s="250"/>
      <c r="E165" s="250"/>
    </row>
    <row r="166" spans="1:8" ht="14.4" customHeight="1" x14ac:dyDescent="0.3">
      <c r="A166"/>
      <c r="B166" s="13"/>
      <c r="C166" s="16"/>
      <c r="D166" s="16"/>
      <c r="E166" s="16"/>
    </row>
    <row r="167" spans="1:8" ht="36" customHeight="1" x14ac:dyDescent="0.3">
      <c r="A167"/>
      <c r="B167" s="251" t="s">
        <v>24</v>
      </c>
      <c r="C167" s="251"/>
      <c r="D167" s="251"/>
      <c r="E167" s="251"/>
    </row>
    <row r="168" spans="1:8" ht="14.4" customHeight="1" x14ac:dyDescent="0.3">
      <c r="A168"/>
      <c r="B168" s="10"/>
      <c r="C168" s="10"/>
      <c r="D168" s="10"/>
      <c r="E168" s="10"/>
    </row>
    <row r="169" spans="1:8" ht="41.4" customHeight="1" x14ac:dyDescent="0.3">
      <c r="A169"/>
      <c r="B169" s="251" t="s">
        <v>23</v>
      </c>
      <c r="C169" s="251"/>
      <c r="D169" s="251"/>
      <c r="E169" s="251"/>
    </row>
    <row r="170" spans="1:8" x14ac:dyDescent="0.3">
      <c r="A170"/>
      <c r="B170" s="10"/>
      <c r="C170" s="10"/>
      <c r="D170" s="10"/>
      <c r="E170" s="10"/>
    </row>
    <row r="171" spans="1:8" ht="38.4" customHeight="1" x14ac:dyDescent="0.3">
      <c r="A171"/>
      <c r="B171" s="251" t="s">
        <v>162</v>
      </c>
      <c r="C171" s="251"/>
      <c r="D171" s="251"/>
      <c r="E171" s="251"/>
    </row>
    <row r="172" spans="1:8" x14ac:dyDescent="0.3">
      <c r="A172"/>
      <c r="B172" s="10"/>
      <c r="C172" s="10"/>
      <c r="D172" s="10"/>
      <c r="E172" s="10"/>
    </row>
    <row r="173" spans="1:8" ht="60" customHeight="1" x14ac:dyDescent="0.3">
      <c r="A173"/>
      <c r="B173" s="251" t="s">
        <v>171</v>
      </c>
      <c r="C173" s="251"/>
      <c r="D173" s="251"/>
      <c r="E173" s="251"/>
    </row>
    <row r="174" spans="1:8" ht="35.4" customHeight="1" x14ac:dyDescent="0.3">
      <c r="A174"/>
      <c r="B174" s="251" t="s">
        <v>62</v>
      </c>
      <c r="C174" s="251"/>
      <c r="D174" s="251"/>
      <c r="E174" s="251"/>
    </row>
    <row r="175" spans="1:8" ht="14.4" customHeight="1" x14ac:dyDescent="0.3">
      <c r="A175"/>
      <c r="B175" s="10"/>
      <c r="C175" s="10"/>
      <c r="D175" s="10"/>
      <c r="E175" s="10"/>
    </row>
    <row r="176" spans="1:8" ht="14.4" customHeight="1" x14ac:dyDescent="0.3">
      <c r="A176"/>
      <c r="B176" s="252" t="s">
        <v>70</v>
      </c>
      <c r="C176" s="251"/>
      <c r="D176" s="251"/>
      <c r="E176" s="251"/>
    </row>
    <row r="177" spans="1:9" ht="14.4" customHeight="1" x14ac:dyDescent="0.3">
      <c r="A177"/>
      <c r="B177" s="13"/>
      <c r="C177" s="10"/>
      <c r="D177" s="10"/>
      <c r="E177" s="10"/>
    </row>
    <row r="178" spans="1:9" ht="14.4" customHeight="1" x14ac:dyDescent="0.3">
      <c r="A178"/>
      <c r="B178" s="258" t="s">
        <v>98</v>
      </c>
      <c r="C178" s="258"/>
      <c r="D178" s="33" t="s">
        <v>4</v>
      </c>
      <c r="E178" s="32">
        <v>5.8274999999999997</v>
      </c>
      <c r="G178" s="28" t="s">
        <v>97</v>
      </c>
      <c r="H178" s="27" t="s">
        <v>104</v>
      </c>
    </row>
    <row r="179" spans="1:9" ht="14.4" customHeight="1" x14ac:dyDescent="0.3">
      <c r="A179"/>
      <c r="B179" s="258" t="s">
        <v>96</v>
      </c>
      <c r="C179" s="258"/>
      <c r="D179" s="33" t="s">
        <v>79</v>
      </c>
      <c r="E179" s="37">
        <v>1.43E-2</v>
      </c>
      <c r="G179" s="28" t="s">
        <v>96</v>
      </c>
      <c r="H179" s="27" t="s">
        <v>104</v>
      </c>
    </row>
    <row r="180" spans="1:9" ht="14.4" customHeight="1" x14ac:dyDescent="0.3">
      <c r="A180"/>
      <c r="B180" s="258" t="s">
        <v>95</v>
      </c>
      <c r="C180" s="258"/>
      <c r="D180" s="33" t="s">
        <v>79</v>
      </c>
      <c r="E180" s="37">
        <v>2.0000000000000001E-4</v>
      </c>
      <c r="G180" s="28" t="s">
        <v>94</v>
      </c>
      <c r="H180" s="27" t="s">
        <v>104</v>
      </c>
    </row>
    <row r="181" spans="1:9" ht="19.8" customHeight="1" x14ac:dyDescent="0.3">
      <c r="A181"/>
      <c r="B181" s="258" t="s">
        <v>160</v>
      </c>
      <c r="C181" s="258"/>
      <c r="D181" s="33" t="s">
        <v>79</v>
      </c>
      <c r="E181" s="37">
        <f>'2.2-TSC Current Schedule'!$E$123</f>
        <v>1.4200000000000001E-2</v>
      </c>
      <c r="H181" s="27" t="s">
        <v>104</v>
      </c>
    </row>
    <row r="182" spans="1:9" ht="19.8" customHeight="1" x14ac:dyDescent="0.3">
      <c r="A182"/>
      <c r="B182" s="258" t="s">
        <v>159</v>
      </c>
      <c r="C182" s="258"/>
      <c r="D182" s="33" t="s">
        <v>79</v>
      </c>
      <c r="E182" s="37">
        <v>3.8237144354832215E-4</v>
      </c>
      <c r="G182" s="28" t="s">
        <v>92</v>
      </c>
      <c r="H182" s="27" t="s">
        <v>104</v>
      </c>
      <c r="I182" s="39"/>
    </row>
    <row r="183" spans="1:9" ht="14.4" customHeight="1" x14ac:dyDescent="0.3">
      <c r="A183"/>
      <c r="B183" s="258" t="s">
        <v>158</v>
      </c>
      <c r="C183" s="258"/>
      <c r="D183" s="33" t="s">
        <v>79</v>
      </c>
      <c r="E183" s="37">
        <f>'2.2-TSC Current Schedule'!$E$124</f>
        <v>-6.3E-3</v>
      </c>
      <c r="H183" s="27" t="s">
        <v>104</v>
      </c>
    </row>
    <row r="184" spans="1:9" ht="14.4" customHeight="1" x14ac:dyDescent="0.3">
      <c r="A184"/>
      <c r="B184" s="258" t="s">
        <v>157</v>
      </c>
      <c r="C184" s="258"/>
      <c r="D184" s="33" t="s">
        <v>79</v>
      </c>
      <c r="E184" s="37">
        <v>-1.385459106756803E-3</v>
      </c>
      <c r="G184" s="28" t="s">
        <v>90</v>
      </c>
      <c r="H184" s="27" t="s">
        <v>104</v>
      </c>
    </row>
    <row r="185" spans="1:9" x14ac:dyDescent="0.3">
      <c r="A185"/>
      <c r="B185" s="38" t="s">
        <v>155</v>
      </c>
      <c r="C185" s="38"/>
      <c r="D185" s="33" t="s">
        <v>79</v>
      </c>
      <c r="E185" s="37">
        <v>9.6648766562609876E-4</v>
      </c>
      <c r="G185" s="28" t="s">
        <v>152</v>
      </c>
      <c r="H185" s="27" t="s">
        <v>104</v>
      </c>
    </row>
    <row r="186" spans="1:9" ht="14.4" customHeight="1" x14ac:dyDescent="0.3">
      <c r="A186"/>
      <c r="B186" s="38" t="s">
        <v>154</v>
      </c>
      <c r="C186" s="38"/>
      <c r="D186" s="33" t="s">
        <v>79</v>
      </c>
      <c r="E186" s="37">
        <v>-2.3783566964355961E-4</v>
      </c>
      <c r="G186" s="28" t="s">
        <v>152</v>
      </c>
      <c r="H186" s="27" t="s">
        <v>104</v>
      </c>
    </row>
    <row r="187" spans="1:9" ht="14.4" customHeight="1" x14ac:dyDescent="0.3">
      <c r="A187"/>
      <c r="B187" s="38" t="s">
        <v>153</v>
      </c>
      <c r="C187" s="38"/>
      <c r="D187" s="33" t="s">
        <v>79</v>
      </c>
      <c r="E187" s="37">
        <v>-3.2341590204165011E-4</v>
      </c>
      <c r="G187" s="28" t="s">
        <v>152</v>
      </c>
      <c r="H187" s="27" t="s">
        <v>104</v>
      </c>
    </row>
    <row r="188" spans="1:9" x14ac:dyDescent="0.3">
      <c r="A188"/>
      <c r="B188" s="38" t="s">
        <v>169</v>
      </c>
      <c r="C188" s="38"/>
      <c r="D188" s="33" t="s">
        <v>66</v>
      </c>
      <c r="E188" s="37">
        <v>-1.0869175677497604E-3</v>
      </c>
      <c r="G188" s="28" t="s">
        <v>152</v>
      </c>
      <c r="H188" s="27" t="s">
        <v>104</v>
      </c>
    </row>
    <row r="189" spans="1:9" ht="14.4" customHeight="1" x14ac:dyDescent="0.3">
      <c r="A189"/>
      <c r="B189" s="258" t="s">
        <v>89</v>
      </c>
      <c r="C189" s="258"/>
      <c r="D189" s="33" t="s">
        <v>79</v>
      </c>
      <c r="E189" s="37">
        <v>5.037675350701403E-3</v>
      </c>
      <c r="G189" s="28" t="s">
        <v>88</v>
      </c>
      <c r="H189" s="27" t="s">
        <v>104</v>
      </c>
    </row>
    <row r="190" spans="1:9" ht="14.4" customHeight="1" x14ac:dyDescent="0.3">
      <c r="A190"/>
      <c r="B190" s="258" t="s">
        <v>87</v>
      </c>
      <c r="C190" s="258"/>
      <c r="D190" s="33" t="s">
        <v>79</v>
      </c>
      <c r="E190" s="37">
        <v>3.9058116232464934E-3</v>
      </c>
      <c r="G190" s="28" t="s">
        <v>86</v>
      </c>
      <c r="H190" s="27" t="s">
        <v>104</v>
      </c>
    </row>
    <row r="191" spans="1:9" x14ac:dyDescent="0.3">
      <c r="A191"/>
      <c r="B191" s="8"/>
      <c r="C191" s="8"/>
      <c r="D191" s="4"/>
      <c r="E191" s="3"/>
      <c r="H191" s="27" t="s">
        <v>104</v>
      </c>
    </row>
    <row r="192" spans="1:9" ht="18" customHeight="1" x14ac:dyDescent="0.3">
      <c r="A192"/>
      <c r="B192" s="252" t="s">
        <v>85</v>
      </c>
      <c r="C192" s="243"/>
      <c r="D192" s="4"/>
      <c r="E192" s="4"/>
      <c r="H192" s="27" t="s">
        <v>104</v>
      </c>
    </row>
    <row r="193" spans="1:8" ht="14.4" customHeight="1" x14ac:dyDescent="0.3">
      <c r="A193"/>
      <c r="B193" s="13"/>
      <c r="C193" s="8"/>
      <c r="D193" s="4"/>
      <c r="E193" s="4"/>
      <c r="H193" s="27" t="s">
        <v>104</v>
      </c>
    </row>
    <row r="194" spans="1:8" ht="14.4" customHeight="1" x14ac:dyDescent="0.3">
      <c r="A194"/>
      <c r="B194" s="258" t="s">
        <v>84</v>
      </c>
      <c r="C194" s="258"/>
      <c r="D194" s="33" t="s">
        <v>79</v>
      </c>
      <c r="E194" s="37">
        <v>3.2000000000000002E-3</v>
      </c>
      <c r="G194" s="28" t="s">
        <v>83</v>
      </c>
      <c r="H194" s="27" t="s">
        <v>104</v>
      </c>
    </row>
    <row r="195" spans="1:8" ht="14.4" customHeight="1" x14ac:dyDescent="0.3">
      <c r="A195"/>
      <c r="B195" s="258" t="s">
        <v>82</v>
      </c>
      <c r="C195" s="258"/>
      <c r="D195" s="33" t="s">
        <v>79</v>
      </c>
      <c r="E195" s="37">
        <v>4.0000000000000002E-4</v>
      </c>
      <c r="G195" s="28" t="s">
        <v>81</v>
      </c>
      <c r="H195" s="27" t="s">
        <v>104</v>
      </c>
    </row>
    <row r="196" spans="1:8" ht="14.4" customHeight="1" x14ac:dyDescent="0.3">
      <c r="A196"/>
      <c r="B196" s="258" t="s">
        <v>80</v>
      </c>
      <c r="C196" s="258"/>
      <c r="D196" s="33" t="s">
        <v>79</v>
      </c>
      <c r="E196" s="37">
        <v>2.9999999999999997E-4</v>
      </c>
      <c r="G196" s="28" t="s">
        <v>78</v>
      </c>
      <c r="H196" s="27" t="s">
        <v>104</v>
      </c>
    </row>
    <row r="197" spans="1:8" ht="14.4" customHeight="1" x14ac:dyDescent="0.3">
      <c r="A197"/>
      <c r="B197" s="258" t="s">
        <v>77</v>
      </c>
      <c r="C197" s="258"/>
      <c r="D197" s="33" t="s">
        <v>4</v>
      </c>
      <c r="E197" s="32">
        <v>0.25</v>
      </c>
      <c r="G197" s="28" t="s">
        <v>76</v>
      </c>
      <c r="H197" s="27" t="s">
        <v>104</v>
      </c>
    </row>
    <row r="198" spans="1:8" ht="18" customHeight="1" x14ac:dyDescent="0.35">
      <c r="A198" s="36"/>
      <c r="B198" s="249" t="s">
        <v>75</v>
      </c>
      <c r="C198" s="253"/>
      <c r="D198" s="253"/>
      <c r="E198" s="253"/>
    </row>
    <row r="199" spans="1:8" ht="60.6" customHeight="1" x14ac:dyDescent="0.3">
      <c r="A199"/>
      <c r="B199" s="251" t="s">
        <v>172</v>
      </c>
      <c r="C199" s="251"/>
      <c r="D199" s="251"/>
      <c r="E199" s="251"/>
    </row>
    <row r="200" spans="1:8" x14ac:dyDescent="0.3">
      <c r="A200"/>
      <c r="B200" s="10"/>
      <c r="C200" s="10"/>
      <c r="D200" s="10"/>
      <c r="E200" s="10"/>
    </row>
    <row r="201" spans="1:8" ht="14.4" customHeight="1" x14ac:dyDescent="0.3">
      <c r="A201"/>
      <c r="B201" s="252" t="s">
        <v>72</v>
      </c>
      <c r="C201" s="250"/>
      <c r="D201" s="250"/>
      <c r="E201" s="250"/>
    </row>
    <row r="202" spans="1:8" x14ac:dyDescent="0.3">
      <c r="A202"/>
      <c r="B202" s="13"/>
      <c r="C202" s="16"/>
      <c r="D202" s="16"/>
      <c r="E202" s="16"/>
    </row>
    <row r="203" spans="1:8" ht="33" customHeight="1" x14ac:dyDescent="0.3">
      <c r="A203"/>
      <c r="B203" s="251" t="s">
        <v>24</v>
      </c>
      <c r="C203" s="251"/>
      <c r="D203" s="251"/>
      <c r="E203" s="251"/>
    </row>
    <row r="204" spans="1:8" x14ac:dyDescent="0.3">
      <c r="A204"/>
      <c r="B204" s="10"/>
      <c r="C204" s="10"/>
      <c r="D204" s="10"/>
      <c r="E204" s="10"/>
    </row>
    <row r="205" spans="1:8" ht="46.2" customHeight="1" x14ac:dyDescent="0.3">
      <c r="A205"/>
      <c r="B205" s="251" t="s">
        <v>23</v>
      </c>
      <c r="C205" s="251"/>
      <c r="D205" s="251"/>
      <c r="E205" s="251"/>
    </row>
    <row r="206" spans="1:8" x14ac:dyDescent="0.3">
      <c r="A206"/>
      <c r="B206" s="10"/>
      <c r="C206" s="10"/>
      <c r="D206" s="10"/>
      <c r="E206" s="10"/>
    </row>
    <row r="207" spans="1:8" ht="39.6" customHeight="1" x14ac:dyDescent="0.3">
      <c r="A207"/>
      <c r="B207" s="251" t="s">
        <v>162</v>
      </c>
      <c r="C207" s="251"/>
      <c r="D207" s="251"/>
      <c r="E207" s="251"/>
    </row>
    <row r="208" spans="1:8" x14ac:dyDescent="0.3">
      <c r="A208"/>
      <c r="B208" s="10"/>
      <c r="C208" s="10"/>
      <c r="D208" s="10"/>
      <c r="E208" s="10"/>
    </row>
    <row r="209" spans="1:9" ht="78.599999999999994" customHeight="1" x14ac:dyDescent="0.3">
      <c r="A209"/>
      <c r="B209" s="251" t="s">
        <v>171</v>
      </c>
      <c r="C209" s="251"/>
      <c r="D209" s="251"/>
      <c r="E209" s="251"/>
    </row>
    <row r="210" spans="1:9" ht="38.4" customHeight="1" x14ac:dyDescent="0.3">
      <c r="A210"/>
      <c r="B210" s="251" t="s">
        <v>62</v>
      </c>
      <c r="C210" s="251"/>
      <c r="D210" s="251"/>
      <c r="E210" s="251"/>
    </row>
    <row r="211" spans="1:9" ht="14.4" customHeight="1" x14ac:dyDescent="0.3">
      <c r="A211"/>
      <c r="B211" s="10"/>
      <c r="C211" s="10"/>
      <c r="D211" s="10"/>
      <c r="E211" s="10"/>
    </row>
    <row r="212" spans="1:9" ht="14.4" customHeight="1" x14ac:dyDescent="0.3">
      <c r="A212"/>
      <c r="B212" s="252" t="s">
        <v>70</v>
      </c>
      <c r="C212" s="251"/>
      <c r="D212" s="251"/>
      <c r="E212" s="251"/>
    </row>
    <row r="213" spans="1:9" x14ac:dyDescent="0.3">
      <c r="A213"/>
      <c r="B213" s="13"/>
      <c r="C213" s="10"/>
      <c r="D213" s="10"/>
      <c r="E213" s="10"/>
    </row>
    <row r="214" spans="1:9" ht="14.4" customHeight="1" x14ac:dyDescent="0.3">
      <c r="A214"/>
      <c r="B214" s="258" t="s">
        <v>98</v>
      </c>
      <c r="C214" s="258"/>
      <c r="D214" s="33" t="s">
        <v>4</v>
      </c>
      <c r="E214" s="32">
        <v>1.9007000000000001</v>
      </c>
      <c r="G214" s="28" t="s">
        <v>97</v>
      </c>
      <c r="H214" s="27" t="s">
        <v>75</v>
      </c>
    </row>
    <row r="215" spans="1:9" ht="14.4" customHeight="1" x14ac:dyDescent="0.3">
      <c r="A215"/>
      <c r="B215" s="258" t="s">
        <v>96</v>
      </c>
      <c r="C215" s="258"/>
      <c r="D215" s="33" t="s">
        <v>66</v>
      </c>
      <c r="E215" s="37">
        <v>15.306900000000001</v>
      </c>
      <c r="G215" s="28" t="s">
        <v>96</v>
      </c>
      <c r="H215" s="27" t="s">
        <v>75</v>
      </c>
    </row>
    <row r="216" spans="1:9" ht="14.4" customHeight="1" x14ac:dyDescent="0.3">
      <c r="A216"/>
      <c r="B216" s="258" t="s">
        <v>95</v>
      </c>
      <c r="C216" s="258"/>
      <c r="D216" s="33" t="s">
        <v>66</v>
      </c>
      <c r="E216" s="37">
        <v>7.3800000000000004E-2</v>
      </c>
      <c r="G216" s="28" t="s">
        <v>94</v>
      </c>
      <c r="H216" s="27" t="s">
        <v>75</v>
      </c>
    </row>
    <row r="217" spans="1:9" ht="21.6" customHeight="1" x14ac:dyDescent="0.3">
      <c r="A217"/>
      <c r="B217" s="258" t="s">
        <v>160</v>
      </c>
      <c r="C217" s="258"/>
      <c r="D217" s="33" t="s">
        <v>79</v>
      </c>
      <c r="E217" s="37">
        <v>3.3E-3</v>
      </c>
      <c r="H217" s="27" t="s">
        <v>75</v>
      </c>
    </row>
    <row r="218" spans="1:9" ht="21.6" customHeight="1" x14ac:dyDescent="0.3">
      <c r="A218"/>
      <c r="B218" s="258" t="s">
        <v>159</v>
      </c>
      <c r="C218" s="258"/>
      <c r="D218" s="33" t="s">
        <v>79</v>
      </c>
      <c r="E218" s="37">
        <v>3.8237144354832221E-4</v>
      </c>
      <c r="G218" s="28" t="s">
        <v>92</v>
      </c>
      <c r="H218" s="27" t="s">
        <v>75</v>
      </c>
      <c r="I218" s="39"/>
    </row>
    <row r="219" spans="1:9" ht="14.4" customHeight="1" x14ac:dyDescent="0.3">
      <c r="A219"/>
      <c r="B219" s="258" t="s">
        <v>158</v>
      </c>
      <c r="C219" s="258"/>
      <c r="D219" s="33" t="s">
        <v>66</v>
      </c>
      <c r="E219" s="37">
        <v>-2.2406999999999999</v>
      </c>
      <c r="H219" s="27" t="s">
        <v>75</v>
      </c>
    </row>
    <row r="220" spans="1:9" x14ac:dyDescent="0.3">
      <c r="A220"/>
      <c r="B220" s="258" t="s">
        <v>157</v>
      </c>
      <c r="C220" s="258"/>
      <c r="D220" s="33" t="s">
        <v>66</v>
      </c>
      <c r="E220" s="37">
        <v>-0.48078026670192014</v>
      </c>
      <c r="G220" s="28" t="s">
        <v>90</v>
      </c>
      <c r="H220" s="27" t="s">
        <v>75</v>
      </c>
    </row>
    <row r="221" spans="1:9" ht="14.4" customHeight="1" x14ac:dyDescent="0.3">
      <c r="A221"/>
      <c r="B221" s="258" t="s">
        <v>170</v>
      </c>
      <c r="C221" s="258"/>
      <c r="D221" s="33" t="s">
        <v>66</v>
      </c>
      <c r="E221" s="37">
        <v>0.15310000000000001</v>
      </c>
      <c r="H221" s="27" t="s">
        <v>75</v>
      </c>
    </row>
    <row r="222" spans="1:9" x14ac:dyDescent="0.3">
      <c r="A222"/>
      <c r="B222" s="38" t="s">
        <v>155</v>
      </c>
      <c r="C222" s="38"/>
      <c r="D222" s="33" t="s">
        <v>66</v>
      </c>
      <c r="E222" s="37">
        <v>3.4078034451365573</v>
      </c>
      <c r="G222" s="28" t="s">
        <v>152</v>
      </c>
      <c r="H222" s="27" t="s">
        <v>75</v>
      </c>
    </row>
    <row r="223" spans="1:9" ht="14.4" customHeight="1" x14ac:dyDescent="0.3">
      <c r="A223"/>
      <c r="B223" s="38" t="s">
        <v>154</v>
      </c>
      <c r="C223" s="38"/>
      <c r="D223" s="33" t="s">
        <v>66</v>
      </c>
      <c r="E223" s="37">
        <v>-8.2533433231481337E-2</v>
      </c>
      <c r="G223" s="28" t="s">
        <v>152</v>
      </c>
      <c r="H223" s="27" t="s">
        <v>75</v>
      </c>
    </row>
    <row r="224" spans="1:9" ht="14.4" customHeight="1" x14ac:dyDescent="0.3">
      <c r="A224"/>
      <c r="B224" s="38" t="s">
        <v>153</v>
      </c>
      <c r="C224" s="38"/>
      <c r="D224" s="33" t="s">
        <v>66</v>
      </c>
      <c r="E224" s="37">
        <v>-0.11223137722427273</v>
      </c>
      <c r="G224" s="28" t="s">
        <v>152</v>
      </c>
      <c r="H224" s="27" t="s">
        <v>75</v>
      </c>
    </row>
    <row r="225" spans="1:8" x14ac:dyDescent="0.3">
      <c r="A225"/>
      <c r="B225" s="38" t="s">
        <v>169</v>
      </c>
      <c r="C225" s="38"/>
      <c r="D225" s="33" t="s">
        <v>66</v>
      </c>
      <c r="E225" s="37">
        <v>5.2893649727769345</v>
      </c>
      <c r="G225" s="28" t="s">
        <v>152</v>
      </c>
      <c r="H225" s="27" t="s">
        <v>75</v>
      </c>
    </row>
    <row r="226" spans="1:8" ht="14.4" customHeight="1" x14ac:dyDescent="0.3">
      <c r="A226"/>
      <c r="B226" s="258" t="s">
        <v>89</v>
      </c>
      <c r="C226" s="258"/>
      <c r="D226" s="33" t="s">
        <v>66</v>
      </c>
      <c r="E226" s="37">
        <v>1.6085766854262999</v>
      </c>
      <c r="G226" s="28" t="s">
        <v>88</v>
      </c>
      <c r="H226" s="27" t="s">
        <v>75</v>
      </c>
    </row>
    <row r="227" spans="1:8" ht="14.4" customHeight="1" x14ac:dyDescent="0.3">
      <c r="A227"/>
      <c r="B227" s="258" t="s">
        <v>87</v>
      </c>
      <c r="C227" s="258"/>
      <c r="D227" s="33" t="s">
        <v>66</v>
      </c>
      <c r="E227" s="37">
        <v>1.2081464437186153</v>
      </c>
      <c r="G227" s="28" t="s">
        <v>86</v>
      </c>
      <c r="H227" s="27" t="s">
        <v>75</v>
      </c>
    </row>
    <row r="228" spans="1:8" ht="18" customHeight="1" x14ac:dyDescent="0.3">
      <c r="A228"/>
      <c r="B228" s="8"/>
      <c r="C228" s="8"/>
      <c r="D228" s="4"/>
      <c r="E228" s="3"/>
      <c r="H228" s="27" t="s">
        <v>75</v>
      </c>
    </row>
    <row r="229" spans="1:8" ht="14.4" customHeight="1" x14ac:dyDescent="0.3">
      <c r="A229"/>
      <c r="B229" s="252" t="s">
        <v>85</v>
      </c>
      <c r="C229" s="243"/>
      <c r="D229" s="4"/>
      <c r="E229" s="4"/>
      <c r="H229" s="27" t="s">
        <v>75</v>
      </c>
    </row>
    <row r="230" spans="1:8" x14ac:dyDescent="0.3">
      <c r="A230"/>
      <c r="B230" s="13"/>
      <c r="C230" s="8"/>
      <c r="D230" s="4"/>
      <c r="E230" s="4"/>
      <c r="H230" s="27" t="s">
        <v>75</v>
      </c>
    </row>
    <row r="231" spans="1:8" ht="14.4" customHeight="1" x14ac:dyDescent="0.3">
      <c r="A231"/>
      <c r="B231" s="258" t="s">
        <v>84</v>
      </c>
      <c r="C231" s="258"/>
      <c r="D231" s="33" t="s">
        <v>79</v>
      </c>
      <c r="E231" s="37">
        <v>3.2000000000000002E-3</v>
      </c>
      <c r="G231" s="28" t="s">
        <v>83</v>
      </c>
      <c r="H231" s="27" t="s">
        <v>75</v>
      </c>
    </row>
    <row r="232" spans="1:8" ht="14.4" customHeight="1" x14ac:dyDescent="0.3">
      <c r="A232"/>
      <c r="B232" s="258" t="s">
        <v>82</v>
      </c>
      <c r="C232" s="258"/>
      <c r="D232" s="33" t="s">
        <v>79</v>
      </c>
      <c r="E232" s="37">
        <v>4.0000000000000002E-4</v>
      </c>
      <c r="G232" s="28" t="s">
        <v>81</v>
      </c>
      <c r="H232" s="27" t="s">
        <v>75</v>
      </c>
    </row>
    <row r="233" spans="1:8" ht="14.4" customHeight="1" x14ac:dyDescent="0.3">
      <c r="A233"/>
      <c r="B233" s="258" t="s">
        <v>80</v>
      </c>
      <c r="C233" s="258"/>
      <c r="D233" s="33" t="s">
        <v>79</v>
      </c>
      <c r="E233" s="37">
        <v>2.9999999999999997E-4</v>
      </c>
      <c r="G233" s="28" t="s">
        <v>78</v>
      </c>
      <c r="H233" s="27" t="s">
        <v>75</v>
      </c>
    </row>
    <row r="234" spans="1:8" ht="14.4" customHeight="1" x14ac:dyDescent="0.3">
      <c r="A234"/>
      <c r="B234" s="258" t="s">
        <v>77</v>
      </c>
      <c r="C234" s="258"/>
      <c r="D234" s="33" t="s">
        <v>4</v>
      </c>
      <c r="E234" s="32">
        <v>0.25</v>
      </c>
      <c r="G234" s="28" t="s">
        <v>76</v>
      </c>
      <c r="H234" s="27" t="s">
        <v>75</v>
      </c>
    </row>
    <row r="235" spans="1:8" s="2" customFormat="1" ht="18" x14ac:dyDescent="0.3">
      <c r="A235" s="17"/>
      <c r="B235" s="249" t="s">
        <v>103</v>
      </c>
      <c r="C235" s="253"/>
      <c r="D235" s="253"/>
      <c r="E235" s="253"/>
      <c r="G235" s="28"/>
      <c r="H235" s="27"/>
    </row>
    <row r="236" spans="1:8" s="2" customFormat="1" ht="39.6" customHeight="1" x14ac:dyDescent="0.3">
      <c r="B236" s="251" t="s">
        <v>102</v>
      </c>
      <c r="C236" s="251"/>
      <c r="D236" s="251"/>
      <c r="E236" s="251"/>
      <c r="G236" s="28"/>
      <c r="H236" s="27"/>
    </row>
    <row r="237" spans="1:8" s="2" customFormat="1" x14ac:dyDescent="0.3">
      <c r="B237" s="10"/>
      <c r="C237" s="10"/>
      <c r="D237" s="10"/>
      <c r="E237" s="10"/>
      <c r="G237" s="28"/>
      <c r="H237" s="27"/>
    </row>
    <row r="238" spans="1:8" s="2" customFormat="1" x14ac:dyDescent="0.3">
      <c r="B238" s="252" t="s">
        <v>72</v>
      </c>
      <c r="C238" s="250"/>
      <c r="D238" s="250"/>
      <c r="E238" s="250"/>
      <c r="G238" s="28"/>
      <c r="H238" s="27"/>
    </row>
    <row r="239" spans="1:8" s="2" customFormat="1" x14ac:dyDescent="0.3">
      <c r="B239" s="13"/>
      <c r="C239" s="16"/>
      <c r="D239" s="16"/>
      <c r="E239" s="16"/>
      <c r="G239" s="28"/>
      <c r="H239" s="27"/>
    </row>
    <row r="240" spans="1:8" s="2" customFormat="1" ht="34.799999999999997" customHeight="1" x14ac:dyDescent="0.3">
      <c r="B240" s="251" t="s">
        <v>24</v>
      </c>
      <c r="C240" s="251"/>
      <c r="D240" s="251"/>
      <c r="E240" s="251"/>
      <c r="G240" s="28"/>
      <c r="H240" s="27"/>
    </row>
    <row r="241" spans="1:8" s="2" customFormat="1" x14ac:dyDescent="0.3">
      <c r="B241" s="10"/>
      <c r="C241" s="10"/>
      <c r="D241" s="10"/>
      <c r="E241" s="10"/>
      <c r="G241" s="28"/>
      <c r="H241" s="27"/>
    </row>
    <row r="242" spans="1:8" s="2" customFormat="1" ht="42.6" customHeight="1" x14ac:dyDescent="0.3">
      <c r="B242" s="251" t="s">
        <v>23</v>
      </c>
      <c r="C242" s="251"/>
      <c r="D242" s="251"/>
      <c r="E242" s="251"/>
      <c r="G242" s="28"/>
      <c r="H242" s="27"/>
    </row>
    <row r="243" spans="1:8" s="2" customFormat="1" x14ac:dyDescent="0.3">
      <c r="B243" s="10"/>
      <c r="C243" s="10"/>
      <c r="D243" s="10"/>
      <c r="E243" s="10"/>
      <c r="G243" s="28"/>
      <c r="H243" s="27"/>
    </row>
    <row r="244" spans="1:8" s="2" customFormat="1" ht="45" customHeight="1" x14ac:dyDescent="0.3">
      <c r="B244" s="251" t="s">
        <v>99</v>
      </c>
      <c r="C244" s="251"/>
      <c r="D244" s="251"/>
      <c r="E244" s="251"/>
      <c r="G244" s="28"/>
      <c r="H244" s="27"/>
    </row>
    <row r="245" spans="1:8" s="2" customFormat="1" x14ac:dyDescent="0.3">
      <c r="B245" s="10"/>
      <c r="C245" s="10"/>
      <c r="D245" s="10"/>
      <c r="E245" s="10"/>
      <c r="G245" s="28"/>
      <c r="H245" s="27"/>
    </row>
    <row r="246" spans="1:8" s="2" customFormat="1" ht="34.799999999999997" customHeight="1" x14ac:dyDescent="0.3">
      <c r="B246" s="251" t="s">
        <v>62</v>
      </c>
      <c r="C246" s="251"/>
      <c r="D246" s="251"/>
      <c r="E246" s="251"/>
      <c r="G246" s="28"/>
      <c r="H246" s="27"/>
    </row>
    <row r="247" spans="1:8" s="2" customFormat="1" x14ac:dyDescent="0.3">
      <c r="B247" s="10"/>
      <c r="C247" s="10"/>
      <c r="D247" s="10"/>
      <c r="E247" s="10"/>
      <c r="G247" s="28"/>
      <c r="H247" s="27"/>
    </row>
    <row r="248" spans="1:8" s="2" customFormat="1" x14ac:dyDescent="0.3">
      <c r="B248" s="252" t="s">
        <v>70</v>
      </c>
      <c r="C248" s="251"/>
      <c r="D248" s="251"/>
      <c r="E248" s="251"/>
      <c r="G248" s="28"/>
      <c r="H248" s="27"/>
    </row>
    <row r="249" spans="1:8" s="2" customFormat="1" x14ac:dyDescent="0.3">
      <c r="B249" s="13"/>
      <c r="C249" s="10"/>
      <c r="D249" s="10"/>
      <c r="E249" s="10"/>
      <c r="G249" s="28"/>
      <c r="H249" s="27"/>
    </row>
    <row r="250" spans="1:8" ht="14.4" customHeight="1" x14ac:dyDescent="0.3">
      <c r="A250"/>
      <c r="B250" s="258" t="s">
        <v>98</v>
      </c>
      <c r="C250" s="258"/>
      <c r="D250" s="33" t="s">
        <v>4</v>
      </c>
      <c r="E250" s="32">
        <v>2.8260999999999998</v>
      </c>
      <c r="G250" s="28" t="s">
        <v>97</v>
      </c>
      <c r="H250" s="27" t="s">
        <v>101</v>
      </c>
    </row>
    <row r="251" spans="1:8" ht="14.4" customHeight="1" x14ac:dyDescent="0.3">
      <c r="A251"/>
      <c r="B251" s="258" t="s">
        <v>96</v>
      </c>
      <c r="C251" s="258"/>
      <c r="D251" s="33" t="s">
        <v>66</v>
      </c>
      <c r="E251" s="37">
        <v>42.256900000000002</v>
      </c>
      <c r="G251" s="28" t="s">
        <v>96</v>
      </c>
      <c r="H251" s="27" t="s">
        <v>101</v>
      </c>
    </row>
    <row r="252" spans="1:8" ht="14.4" customHeight="1" x14ac:dyDescent="0.3">
      <c r="A252"/>
      <c r="B252" s="258" t="s">
        <v>95</v>
      </c>
      <c r="C252" s="258"/>
      <c r="D252" s="33" t="s">
        <v>66</v>
      </c>
      <c r="E252" s="37">
        <v>5.21E-2</v>
      </c>
      <c r="G252" s="28" t="s">
        <v>94</v>
      </c>
      <c r="H252" s="27" t="s">
        <v>101</v>
      </c>
    </row>
    <row r="253" spans="1:8" ht="21.6" customHeight="1" x14ac:dyDescent="0.3">
      <c r="A253"/>
      <c r="B253" s="258" t="s">
        <v>93</v>
      </c>
      <c r="C253" s="258"/>
      <c r="D253" s="33" t="s">
        <v>79</v>
      </c>
      <c r="E253" s="37">
        <v>1.4200000000000001E-2</v>
      </c>
      <c r="H253" s="27" t="s">
        <v>101</v>
      </c>
    </row>
    <row r="254" spans="1:8" ht="21.6" customHeight="1" x14ac:dyDescent="0.3">
      <c r="A254"/>
      <c r="B254" s="258" t="s">
        <v>159</v>
      </c>
      <c r="C254" s="258"/>
      <c r="D254" s="33" t="s">
        <v>79</v>
      </c>
      <c r="E254" s="37">
        <v>3.8237144354832221E-4</v>
      </c>
      <c r="G254" s="28" t="s">
        <v>92</v>
      </c>
      <c r="H254" s="27" t="s">
        <v>101</v>
      </c>
    </row>
    <row r="255" spans="1:8" x14ac:dyDescent="0.3">
      <c r="A255"/>
      <c r="B255" s="258" t="s">
        <v>91</v>
      </c>
      <c r="C255" s="258"/>
      <c r="D255" s="33" t="s">
        <v>66</v>
      </c>
      <c r="E255" s="37">
        <f>'2.2-TSC Current Schedule'!E153</f>
        <v>-2.0787</v>
      </c>
      <c r="H255" s="27" t="s">
        <v>101</v>
      </c>
    </row>
    <row r="256" spans="1:8" x14ac:dyDescent="0.3">
      <c r="A256"/>
      <c r="B256" s="258" t="s">
        <v>157</v>
      </c>
      <c r="C256" s="258"/>
      <c r="D256" s="33" t="s">
        <v>66</v>
      </c>
      <c r="E256" s="37">
        <v>-0.51305863323206469</v>
      </c>
      <c r="G256" s="28" t="s">
        <v>90</v>
      </c>
      <c r="H256" s="27" t="s">
        <v>101</v>
      </c>
    </row>
    <row r="257" spans="1:13" x14ac:dyDescent="0.3">
      <c r="A257"/>
      <c r="B257" s="38" t="s">
        <v>155</v>
      </c>
      <c r="C257" s="38"/>
      <c r="D257" s="33" t="s">
        <v>66</v>
      </c>
      <c r="E257" s="37">
        <v>2.0199293953040574</v>
      </c>
      <c r="G257" s="28" t="s">
        <v>152</v>
      </c>
      <c r="H257" s="27" t="s">
        <v>101</v>
      </c>
    </row>
    <row r="258" spans="1:13" x14ac:dyDescent="0.3">
      <c r="A258"/>
      <c r="B258" s="38" t="s">
        <v>154</v>
      </c>
      <c r="C258" s="38"/>
      <c r="D258" s="33" t="s">
        <v>66</v>
      </c>
      <c r="E258" s="37">
        <v>-8.8074518407692731E-2</v>
      </c>
      <c r="G258" s="28" t="s">
        <v>152</v>
      </c>
      <c r="H258" s="27" t="s">
        <v>101</v>
      </c>
    </row>
    <row r="259" spans="1:13" x14ac:dyDescent="0.3">
      <c r="A259"/>
      <c r="B259" s="38" t="s">
        <v>153</v>
      </c>
      <c r="C259" s="38"/>
      <c r="D259" s="33" t="s">
        <v>66</v>
      </c>
      <c r="E259" s="37">
        <v>-0.11976630696479383</v>
      </c>
      <c r="G259" s="28" t="s">
        <v>152</v>
      </c>
      <c r="H259" s="27" t="s">
        <v>101</v>
      </c>
    </row>
    <row r="260" spans="1:13" x14ac:dyDescent="0.3">
      <c r="A260"/>
      <c r="B260" s="38" t="s">
        <v>169</v>
      </c>
      <c r="C260" s="38"/>
      <c r="D260" s="33" t="s">
        <v>66</v>
      </c>
      <c r="E260" s="37">
        <v>0</v>
      </c>
      <c r="G260" s="28" t="s">
        <v>152</v>
      </c>
      <c r="H260" s="27" t="s">
        <v>101</v>
      </c>
    </row>
    <row r="261" spans="1:13" ht="14.4" customHeight="1" x14ac:dyDescent="0.3">
      <c r="A261"/>
      <c r="B261" s="258" t="s">
        <v>89</v>
      </c>
      <c r="C261" s="258"/>
      <c r="D261" s="33" t="s">
        <v>66</v>
      </c>
      <c r="E261" s="37">
        <v>1.5727</v>
      </c>
      <c r="G261" s="28" t="s">
        <v>88</v>
      </c>
      <c r="H261" s="27" t="s">
        <v>101</v>
      </c>
    </row>
    <row r="262" spans="1:13" x14ac:dyDescent="0.3">
      <c r="A262"/>
      <c r="B262" s="258" t="s">
        <v>87</v>
      </c>
      <c r="C262" s="258"/>
      <c r="D262" s="33" t="s">
        <v>66</v>
      </c>
      <c r="E262" s="37">
        <v>1.0356000000000001</v>
      </c>
      <c r="G262" s="28" t="s">
        <v>86</v>
      </c>
      <c r="H262" s="27" t="s">
        <v>101</v>
      </c>
    </row>
    <row r="263" spans="1:13" s="2" customFormat="1" x14ac:dyDescent="0.3">
      <c r="B263" s="8"/>
      <c r="C263" s="8"/>
      <c r="D263" s="4"/>
      <c r="E263" s="3"/>
      <c r="G263" s="28"/>
      <c r="H263" s="27" t="s">
        <v>101</v>
      </c>
      <c r="I263"/>
      <c r="J263"/>
      <c r="K263"/>
      <c r="L263"/>
      <c r="M263"/>
    </row>
    <row r="264" spans="1:13" s="2" customFormat="1" x14ac:dyDescent="0.3">
      <c r="B264" s="252" t="s">
        <v>85</v>
      </c>
      <c r="C264" s="243"/>
      <c r="D264" s="4"/>
      <c r="E264" s="4"/>
      <c r="G264" s="28"/>
      <c r="H264" s="27" t="s">
        <v>101</v>
      </c>
      <c r="I264"/>
      <c r="J264"/>
      <c r="K264"/>
      <c r="L264"/>
      <c r="M264"/>
    </row>
    <row r="265" spans="1:13" s="2" customFormat="1" x14ac:dyDescent="0.3">
      <c r="B265" s="13"/>
      <c r="C265" s="8"/>
      <c r="D265" s="4"/>
      <c r="E265" s="4"/>
      <c r="G265" s="28"/>
      <c r="H265" s="27" t="s">
        <v>101</v>
      </c>
      <c r="I265"/>
      <c r="J265"/>
      <c r="K265"/>
      <c r="L265"/>
      <c r="M265"/>
    </row>
    <row r="266" spans="1:13" ht="14.4" customHeight="1" x14ac:dyDescent="0.3">
      <c r="A266"/>
      <c r="B266" s="258" t="s">
        <v>84</v>
      </c>
      <c r="C266" s="258"/>
      <c r="D266" s="33" t="s">
        <v>79</v>
      </c>
      <c r="E266" s="37">
        <v>3.2000000000000002E-3</v>
      </c>
      <c r="G266" s="28" t="s">
        <v>83</v>
      </c>
      <c r="H266" s="27" t="s">
        <v>101</v>
      </c>
    </row>
    <row r="267" spans="1:13" ht="14.4" customHeight="1" x14ac:dyDescent="0.3">
      <c r="A267"/>
      <c r="B267" s="258" t="s">
        <v>82</v>
      </c>
      <c r="C267" s="258"/>
      <c r="D267" s="33" t="s">
        <v>79</v>
      </c>
      <c r="E267" s="37">
        <v>4.0000000000000002E-4</v>
      </c>
      <c r="G267" s="28" t="s">
        <v>81</v>
      </c>
      <c r="H267" s="27" t="s">
        <v>101</v>
      </c>
    </row>
    <row r="268" spans="1:13" ht="14.4" customHeight="1" x14ac:dyDescent="0.3">
      <c r="A268"/>
      <c r="B268" s="258" t="s">
        <v>80</v>
      </c>
      <c r="C268" s="258"/>
      <c r="D268" s="33" t="s">
        <v>79</v>
      </c>
      <c r="E268" s="37">
        <v>2.9999999999999997E-4</v>
      </c>
      <c r="G268" s="28" t="s">
        <v>78</v>
      </c>
      <c r="H268" s="27" t="s">
        <v>101</v>
      </c>
    </row>
    <row r="269" spans="1:13" ht="14.4" customHeight="1" x14ac:dyDescent="0.3">
      <c r="A269"/>
      <c r="B269" s="258" t="s">
        <v>77</v>
      </c>
      <c r="C269" s="258"/>
      <c r="D269" s="33" t="s">
        <v>4</v>
      </c>
      <c r="E269" s="32">
        <v>0.25</v>
      </c>
      <c r="G269" s="28" t="s">
        <v>76</v>
      </c>
      <c r="H269" s="27" t="s">
        <v>101</v>
      </c>
    </row>
    <row r="270" spans="1:13" ht="14.4" customHeight="1" x14ac:dyDescent="0.35">
      <c r="A270" s="36"/>
      <c r="B270" s="249" t="s">
        <v>168</v>
      </c>
      <c r="C270" s="253"/>
      <c r="D270" s="253"/>
      <c r="E270" s="253"/>
    </row>
    <row r="271" spans="1:13" ht="39" customHeight="1" x14ac:dyDescent="0.3">
      <c r="A271"/>
      <c r="B271" s="251" t="s">
        <v>163</v>
      </c>
      <c r="C271" s="251"/>
      <c r="D271" s="251"/>
      <c r="E271" s="251"/>
    </row>
    <row r="272" spans="1:13" ht="14.4" customHeight="1" x14ac:dyDescent="0.3">
      <c r="A272"/>
      <c r="B272" s="10"/>
      <c r="C272" s="10"/>
      <c r="D272" s="10"/>
      <c r="E272" s="10"/>
    </row>
    <row r="273" spans="1:9" x14ac:dyDescent="0.3">
      <c r="A273"/>
      <c r="B273" s="252" t="s">
        <v>72</v>
      </c>
      <c r="C273" s="250"/>
      <c r="D273" s="250"/>
      <c r="E273" s="250"/>
    </row>
    <row r="274" spans="1:9" ht="14.4" customHeight="1" x14ac:dyDescent="0.3">
      <c r="A274"/>
      <c r="B274" s="13"/>
      <c r="C274" s="16"/>
      <c r="D274" s="16"/>
      <c r="E274" s="16"/>
    </row>
    <row r="275" spans="1:9" ht="32.4" customHeight="1" x14ac:dyDescent="0.3">
      <c r="A275"/>
      <c r="B275" s="251" t="s">
        <v>24</v>
      </c>
      <c r="C275" s="251"/>
      <c r="D275" s="251"/>
      <c r="E275" s="251"/>
    </row>
    <row r="276" spans="1:9" x14ac:dyDescent="0.3">
      <c r="A276"/>
      <c r="B276" s="10"/>
      <c r="C276" s="10"/>
      <c r="D276" s="10"/>
      <c r="E276" s="10"/>
    </row>
    <row r="277" spans="1:9" ht="40.799999999999997" customHeight="1" x14ac:dyDescent="0.3">
      <c r="A277"/>
      <c r="B277" s="251" t="s">
        <v>23</v>
      </c>
      <c r="C277" s="251"/>
      <c r="D277" s="251"/>
      <c r="E277" s="251"/>
    </row>
    <row r="278" spans="1:9" ht="14.4" customHeight="1" x14ac:dyDescent="0.3">
      <c r="A278"/>
      <c r="B278" s="10"/>
      <c r="C278" s="10"/>
      <c r="D278" s="10"/>
      <c r="E278" s="10"/>
    </row>
    <row r="279" spans="1:9" ht="47.4" customHeight="1" x14ac:dyDescent="0.3">
      <c r="A279"/>
      <c r="B279" s="251" t="s">
        <v>162</v>
      </c>
      <c r="C279" s="251"/>
      <c r="D279" s="251"/>
      <c r="E279" s="251"/>
    </row>
    <row r="280" spans="1:9" ht="14.4" customHeight="1" x14ac:dyDescent="0.3">
      <c r="A280"/>
      <c r="B280" s="10"/>
      <c r="C280" s="10"/>
      <c r="D280" s="10"/>
      <c r="E280" s="10"/>
    </row>
    <row r="281" spans="1:9" ht="35.4" customHeight="1" x14ac:dyDescent="0.3">
      <c r="A281"/>
      <c r="B281" s="251" t="s">
        <v>62</v>
      </c>
      <c r="C281" s="251"/>
      <c r="D281" s="251"/>
      <c r="E281" s="251"/>
    </row>
    <row r="282" spans="1:9" x14ac:dyDescent="0.3">
      <c r="A282"/>
      <c r="B282" s="10"/>
      <c r="C282" s="10"/>
      <c r="D282" s="10"/>
      <c r="E282" s="10"/>
    </row>
    <row r="283" spans="1:9" ht="14.4" customHeight="1" x14ac:dyDescent="0.3">
      <c r="A283"/>
      <c r="B283" s="252" t="s">
        <v>70</v>
      </c>
      <c r="C283" s="251"/>
      <c r="D283" s="251"/>
      <c r="E283" s="251"/>
    </row>
    <row r="284" spans="1:9" x14ac:dyDescent="0.3">
      <c r="A284"/>
      <c r="B284" s="13"/>
      <c r="C284" s="10"/>
      <c r="D284" s="10"/>
      <c r="E284" s="10"/>
    </row>
    <row r="285" spans="1:9" ht="14.4" customHeight="1" x14ac:dyDescent="0.3">
      <c r="A285"/>
      <c r="B285" s="258" t="s">
        <v>96</v>
      </c>
      <c r="C285" s="258"/>
      <c r="D285" s="33" t="s">
        <v>66</v>
      </c>
      <c r="E285" s="32">
        <v>11.7019</v>
      </c>
      <c r="G285" s="28" t="s">
        <v>96</v>
      </c>
      <c r="H285" s="27" t="s">
        <v>167</v>
      </c>
    </row>
    <row r="286" spans="1:9" ht="28.8" customHeight="1" x14ac:dyDescent="0.3">
      <c r="A286"/>
      <c r="B286" s="258" t="s">
        <v>160</v>
      </c>
      <c r="C286" s="258"/>
      <c r="D286" s="33" t="s">
        <v>79</v>
      </c>
      <c r="E286" s="37">
        <f>'2.2-TSC Current Schedule'!E90</f>
        <v>1.4200000000000001E-2</v>
      </c>
      <c r="H286" s="27" t="s">
        <v>167</v>
      </c>
    </row>
    <row r="287" spans="1:9" ht="20.399999999999999" customHeight="1" x14ac:dyDescent="0.3">
      <c r="A287"/>
      <c r="B287" s="258" t="s">
        <v>159</v>
      </c>
      <c r="C287" s="258"/>
      <c r="D287" s="33" t="s">
        <v>79</v>
      </c>
      <c r="E287" s="37">
        <v>3.8237144354832221E-4</v>
      </c>
      <c r="G287" s="28" t="s">
        <v>92</v>
      </c>
      <c r="H287" s="27" t="s">
        <v>167</v>
      </c>
      <c r="I287" s="39"/>
    </row>
    <row r="288" spans="1:9" ht="14.4" customHeight="1" x14ac:dyDescent="0.3">
      <c r="A288"/>
      <c r="B288" s="258" t="s">
        <v>158</v>
      </c>
      <c r="C288" s="258"/>
      <c r="D288" s="33" t="s">
        <v>66</v>
      </c>
      <c r="E288" s="37">
        <f>'2.2-TSC Current Schedule'!E91</f>
        <v>-2.8760694640552322</v>
      </c>
      <c r="H288" s="27" t="s">
        <v>167</v>
      </c>
    </row>
    <row r="289" spans="1:8" ht="14.4" customHeight="1" x14ac:dyDescent="0.3">
      <c r="A289"/>
      <c r="B289" s="258" t="s">
        <v>157</v>
      </c>
      <c r="C289" s="258"/>
      <c r="D289" s="33" t="s">
        <v>66</v>
      </c>
      <c r="E289" s="37">
        <v>-0.4482050853401246</v>
      </c>
      <c r="G289" s="28" t="s">
        <v>90</v>
      </c>
      <c r="H289" s="27" t="s">
        <v>167</v>
      </c>
    </row>
    <row r="290" spans="1:8" x14ac:dyDescent="0.3">
      <c r="A290"/>
      <c r="B290" s="38" t="s">
        <v>155</v>
      </c>
      <c r="C290" s="38"/>
      <c r="D290" s="33" t="s">
        <v>66</v>
      </c>
      <c r="E290" s="37">
        <v>0.28842131400043575</v>
      </c>
      <c r="G290" s="28" t="s">
        <v>152</v>
      </c>
      <c r="H290" s="27" t="s">
        <v>167</v>
      </c>
    </row>
    <row r="291" spans="1:8" ht="14.4" customHeight="1" x14ac:dyDescent="0.3">
      <c r="A291"/>
      <c r="B291" s="38" t="s">
        <v>154</v>
      </c>
      <c r="C291" s="38"/>
      <c r="D291" s="33" t="s">
        <v>66</v>
      </c>
      <c r="E291" s="37">
        <v>-7.6941395158932877E-2</v>
      </c>
      <c r="G291" s="28" t="s">
        <v>152</v>
      </c>
      <c r="H291" s="27" t="s">
        <v>167</v>
      </c>
    </row>
    <row r="292" spans="1:8" ht="14.4" customHeight="1" x14ac:dyDescent="0.3">
      <c r="A292"/>
      <c r="B292" s="38" t="s">
        <v>153</v>
      </c>
      <c r="C292" s="38"/>
      <c r="D292" s="33" t="s">
        <v>66</v>
      </c>
      <c r="E292" s="37">
        <v>-0.10462716024456163</v>
      </c>
      <c r="G292" s="28" t="s">
        <v>152</v>
      </c>
      <c r="H292" s="27" t="s">
        <v>167</v>
      </c>
    </row>
    <row r="293" spans="1:8" ht="14.4" customHeight="1" x14ac:dyDescent="0.3">
      <c r="A293"/>
      <c r="B293" s="258" t="s">
        <v>89</v>
      </c>
      <c r="C293" s="258"/>
      <c r="D293" s="33" t="s">
        <v>66</v>
      </c>
      <c r="E293" s="37">
        <v>2.2633000000000001</v>
      </c>
      <c r="G293" s="28" t="s">
        <v>88</v>
      </c>
      <c r="H293" s="27" t="s">
        <v>167</v>
      </c>
    </row>
    <row r="294" spans="1:8" ht="14.4" customHeight="1" x14ac:dyDescent="0.3">
      <c r="A294"/>
      <c r="B294" s="258" t="s">
        <v>87</v>
      </c>
      <c r="C294" s="258"/>
      <c r="D294" s="33" t="s">
        <v>66</v>
      </c>
      <c r="E294" s="37">
        <v>1.4162999999999999</v>
      </c>
      <c r="G294" s="28" t="s">
        <v>86</v>
      </c>
      <c r="H294" s="27" t="s">
        <v>167</v>
      </c>
    </row>
    <row r="295" spans="1:8" x14ac:dyDescent="0.3">
      <c r="A295"/>
      <c r="B295" s="8"/>
      <c r="C295" s="8"/>
      <c r="D295" s="4"/>
      <c r="E295" s="3"/>
      <c r="H295" s="27" t="s">
        <v>167</v>
      </c>
    </row>
    <row r="296" spans="1:8" ht="14.4" customHeight="1" x14ac:dyDescent="0.3">
      <c r="A296"/>
      <c r="B296" s="252" t="s">
        <v>85</v>
      </c>
      <c r="C296" s="243"/>
      <c r="D296" s="4"/>
      <c r="E296" s="4"/>
      <c r="H296" s="27" t="s">
        <v>167</v>
      </c>
    </row>
    <row r="297" spans="1:8" x14ac:dyDescent="0.3">
      <c r="A297"/>
      <c r="B297" s="13"/>
      <c r="C297" s="8"/>
      <c r="D297" s="4"/>
      <c r="E297" s="4"/>
      <c r="H297" s="27" t="s">
        <v>167</v>
      </c>
    </row>
    <row r="298" spans="1:8" ht="14.4" customHeight="1" x14ac:dyDescent="0.3">
      <c r="A298"/>
      <c r="B298" s="258" t="s">
        <v>84</v>
      </c>
      <c r="C298" s="258"/>
      <c r="D298" s="33" t="s">
        <v>79</v>
      </c>
      <c r="E298" s="37">
        <v>3.2000000000000002E-3</v>
      </c>
      <c r="G298" s="28" t="s">
        <v>83</v>
      </c>
      <c r="H298" s="27" t="s">
        <v>167</v>
      </c>
    </row>
    <row r="299" spans="1:8" ht="14.4" customHeight="1" x14ac:dyDescent="0.3">
      <c r="A299"/>
      <c r="B299" s="258" t="s">
        <v>82</v>
      </c>
      <c r="C299" s="258"/>
      <c r="D299" s="33" t="s">
        <v>79</v>
      </c>
      <c r="E299" s="37">
        <v>4.0000000000000002E-4</v>
      </c>
      <c r="G299" s="28" t="s">
        <v>81</v>
      </c>
      <c r="H299" s="27" t="s">
        <v>167</v>
      </c>
    </row>
    <row r="300" spans="1:8" ht="14.4" customHeight="1" x14ac:dyDescent="0.3">
      <c r="A300"/>
      <c r="B300" s="258" t="s">
        <v>80</v>
      </c>
      <c r="C300" s="258"/>
      <c r="D300" s="33" t="s">
        <v>79</v>
      </c>
      <c r="E300" s="37">
        <v>2.9999999999999997E-4</v>
      </c>
      <c r="G300" s="28" t="s">
        <v>78</v>
      </c>
      <c r="H300" s="27" t="s">
        <v>167</v>
      </c>
    </row>
    <row r="301" spans="1:8" ht="14.4" customHeight="1" x14ac:dyDescent="0.3">
      <c r="A301"/>
      <c r="B301" s="258" t="s">
        <v>77</v>
      </c>
      <c r="C301" s="258"/>
      <c r="D301" s="33" t="s">
        <v>4</v>
      </c>
      <c r="E301" s="32">
        <v>0.25</v>
      </c>
      <c r="G301" s="28" t="s">
        <v>76</v>
      </c>
      <c r="H301" s="27" t="s">
        <v>167</v>
      </c>
    </row>
    <row r="302" spans="1:8" ht="14.4" customHeight="1" x14ac:dyDescent="0.35">
      <c r="A302" s="36"/>
      <c r="B302" s="249" t="s">
        <v>166</v>
      </c>
      <c r="C302" s="253"/>
      <c r="D302" s="253"/>
      <c r="E302" s="253"/>
    </row>
    <row r="303" spans="1:8" ht="39" customHeight="1" x14ac:dyDescent="0.3">
      <c r="A303"/>
      <c r="B303" s="251" t="s">
        <v>163</v>
      </c>
      <c r="C303" s="251"/>
      <c r="D303" s="251"/>
      <c r="E303" s="251"/>
    </row>
    <row r="304" spans="1:8" ht="14.4" customHeight="1" x14ac:dyDescent="0.3">
      <c r="A304"/>
      <c r="B304" s="10"/>
      <c r="C304" s="10"/>
      <c r="D304" s="10"/>
      <c r="E304" s="10"/>
    </row>
    <row r="305" spans="1:9" x14ac:dyDescent="0.3">
      <c r="A305"/>
      <c r="B305" s="252" t="s">
        <v>72</v>
      </c>
      <c r="C305" s="250"/>
      <c r="D305" s="250"/>
      <c r="E305" s="250"/>
    </row>
    <row r="306" spans="1:9" ht="14.4" customHeight="1" x14ac:dyDescent="0.3">
      <c r="A306"/>
      <c r="B306" s="13"/>
      <c r="C306" s="16"/>
      <c r="D306" s="16"/>
      <c r="E306" s="16"/>
    </row>
    <row r="307" spans="1:9" ht="32.4" customHeight="1" x14ac:dyDescent="0.3">
      <c r="A307"/>
      <c r="B307" s="251" t="s">
        <v>24</v>
      </c>
      <c r="C307" s="251"/>
      <c r="D307" s="251"/>
      <c r="E307" s="251"/>
    </row>
    <row r="308" spans="1:9" x14ac:dyDescent="0.3">
      <c r="A308"/>
      <c r="B308" s="10"/>
      <c r="C308" s="10"/>
      <c r="D308" s="10"/>
      <c r="E308" s="10"/>
    </row>
    <row r="309" spans="1:9" ht="40.799999999999997" customHeight="1" x14ac:dyDescent="0.3">
      <c r="A309"/>
      <c r="B309" s="251" t="s">
        <v>23</v>
      </c>
      <c r="C309" s="251"/>
      <c r="D309" s="251"/>
      <c r="E309" s="251"/>
    </row>
    <row r="310" spans="1:9" ht="14.4" customHeight="1" x14ac:dyDescent="0.3">
      <c r="A310"/>
      <c r="B310" s="10"/>
      <c r="C310" s="10"/>
      <c r="D310" s="10"/>
      <c r="E310" s="10"/>
    </row>
    <row r="311" spans="1:9" ht="47.4" customHeight="1" x14ac:dyDescent="0.3">
      <c r="A311"/>
      <c r="B311" s="251" t="s">
        <v>162</v>
      </c>
      <c r="C311" s="251"/>
      <c r="D311" s="251"/>
      <c r="E311" s="251"/>
    </row>
    <row r="312" spans="1:9" ht="14.4" customHeight="1" x14ac:dyDescent="0.3">
      <c r="A312"/>
      <c r="B312" s="10"/>
      <c r="C312" s="10"/>
      <c r="D312" s="10"/>
      <c r="E312" s="10"/>
    </row>
    <row r="313" spans="1:9" ht="35.4" customHeight="1" x14ac:dyDescent="0.3">
      <c r="A313"/>
      <c r="B313" s="251" t="s">
        <v>62</v>
      </c>
      <c r="C313" s="251"/>
      <c r="D313" s="251"/>
      <c r="E313" s="251"/>
    </row>
    <row r="314" spans="1:9" x14ac:dyDescent="0.3">
      <c r="A314"/>
      <c r="B314" s="10"/>
      <c r="C314" s="10"/>
      <c r="D314" s="10"/>
      <c r="E314" s="10"/>
    </row>
    <row r="315" spans="1:9" ht="14.4" customHeight="1" x14ac:dyDescent="0.3">
      <c r="A315"/>
      <c r="B315" s="252" t="s">
        <v>70</v>
      </c>
      <c r="C315" s="251"/>
      <c r="D315" s="251"/>
      <c r="E315" s="251"/>
    </row>
    <row r="316" spans="1:9" x14ac:dyDescent="0.3">
      <c r="A316"/>
      <c r="B316" s="13"/>
      <c r="C316" s="10"/>
      <c r="D316" s="10"/>
      <c r="E316" s="10"/>
    </row>
    <row r="317" spans="1:9" ht="14.4" customHeight="1" x14ac:dyDescent="0.3">
      <c r="A317"/>
      <c r="B317" s="258" t="s">
        <v>161</v>
      </c>
      <c r="C317" s="258"/>
      <c r="D317" s="33" t="s">
        <v>4</v>
      </c>
      <c r="E317" s="37">
        <v>58.48</v>
      </c>
      <c r="G317" s="28" t="s">
        <v>97</v>
      </c>
      <c r="H317" s="27" t="s">
        <v>165</v>
      </c>
    </row>
    <row r="318" spans="1:9" ht="14.4" customHeight="1" x14ac:dyDescent="0.3">
      <c r="A318"/>
      <c r="B318" s="258" t="s">
        <v>96</v>
      </c>
      <c r="C318" s="258"/>
      <c r="D318" s="33" t="s">
        <v>66</v>
      </c>
      <c r="E318" s="37">
        <v>0.9738</v>
      </c>
      <c r="G318" s="28" t="s">
        <v>96</v>
      </c>
      <c r="H318" s="27" t="s">
        <v>165</v>
      </c>
    </row>
    <row r="319" spans="1:9" ht="31.2" customHeight="1" x14ac:dyDescent="0.3">
      <c r="A319"/>
      <c r="B319" s="258" t="s">
        <v>160</v>
      </c>
      <c r="C319" s="258"/>
      <c r="D319" s="33" t="s">
        <v>79</v>
      </c>
      <c r="E319" s="37">
        <f>'2.2-TSC Current Schedule'!E90</f>
        <v>1.4200000000000001E-2</v>
      </c>
      <c r="H319" s="27" t="s">
        <v>165</v>
      </c>
    </row>
    <row r="320" spans="1:9" ht="20.399999999999999" customHeight="1" x14ac:dyDescent="0.3">
      <c r="A320"/>
      <c r="B320" s="258" t="s">
        <v>159</v>
      </c>
      <c r="C320" s="258"/>
      <c r="D320" s="33" t="s">
        <v>79</v>
      </c>
      <c r="E320" s="37">
        <v>3.8237144354832221E-4</v>
      </c>
      <c r="G320" s="28" t="s">
        <v>92</v>
      </c>
      <c r="H320" s="27" t="s">
        <v>165</v>
      </c>
      <c r="I320" s="39"/>
    </row>
    <row r="321" spans="1:8" ht="14.4" customHeight="1" x14ac:dyDescent="0.3">
      <c r="A321"/>
      <c r="B321" s="258" t="s">
        <v>158</v>
      </c>
      <c r="C321" s="258"/>
      <c r="D321" s="33" t="s">
        <v>66</v>
      </c>
      <c r="E321" s="37">
        <f>'2.2-TSC Current Schedule'!E91</f>
        <v>-2.8760694640552322</v>
      </c>
      <c r="H321" s="27" t="s">
        <v>165</v>
      </c>
    </row>
    <row r="322" spans="1:8" ht="14.4" customHeight="1" x14ac:dyDescent="0.3">
      <c r="A322"/>
      <c r="B322" s="258" t="s">
        <v>157</v>
      </c>
      <c r="C322" s="258"/>
      <c r="D322" s="33" t="s">
        <v>66</v>
      </c>
      <c r="E322" s="37">
        <v>-0.56313893412314897</v>
      </c>
      <c r="G322" s="28" t="s">
        <v>90</v>
      </c>
      <c r="H322" s="27" t="s">
        <v>165</v>
      </c>
    </row>
    <row r="323" spans="1:8" ht="23.4" customHeight="1" x14ac:dyDescent="0.3">
      <c r="A323"/>
      <c r="B323" s="258" t="s">
        <v>156</v>
      </c>
      <c r="C323" s="258"/>
      <c r="D323" s="33" t="s">
        <v>66</v>
      </c>
      <c r="E323" s="37">
        <v>3.6799999999999999E-2</v>
      </c>
      <c r="H323" s="27" t="s">
        <v>165</v>
      </c>
    </row>
    <row r="324" spans="1:8" ht="22.8" customHeight="1" x14ac:dyDescent="0.3">
      <c r="A324"/>
      <c r="B324" s="38" t="s">
        <v>155</v>
      </c>
      <c r="C324" s="38"/>
      <c r="D324" s="33" t="s">
        <v>66</v>
      </c>
      <c r="E324" s="32">
        <v>1.9181950168644081E-2</v>
      </c>
      <c r="G324" s="28" t="s">
        <v>152</v>
      </c>
      <c r="H324" s="27" t="s">
        <v>165</v>
      </c>
    </row>
    <row r="325" spans="1:8" ht="14.4" customHeight="1" x14ac:dyDescent="0.3">
      <c r="A325"/>
      <c r="B325" s="38" t="s">
        <v>154</v>
      </c>
      <c r="C325" s="38"/>
      <c r="D325" s="33" t="s">
        <v>66</v>
      </c>
      <c r="E325" s="32">
        <v>-9.6671583337500699E-2</v>
      </c>
      <c r="G325" s="28" t="s">
        <v>152</v>
      </c>
      <c r="H325" s="27" t="s">
        <v>165</v>
      </c>
    </row>
    <row r="326" spans="1:8" ht="14.4" customHeight="1" x14ac:dyDescent="0.3">
      <c r="A326"/>
      <c r="B326" s="38" t="s">
        <v>153</v>
      </c>
      <c r="C326" s="38"/>
      <c r="D326" s="33" t="s">
        <v>66</v>
      </c>
      <c r="E326" s="32">
        <v>-0.1314568473843678</v>
      </c>
      <c r="G326" s="28" t="s">
        <v>152</v>
      </c>
      <c r="H326" s="27" t="s">
        <v>165</v>
      </c>
    </row>
    <row r="327" spans="1:8" ht="14.4" customHeight="1" x14ac:dyDescent="0.3">
      <c r="A327"/>
      <c r="B327" s="258" t="s">
        <v>89</v>
      </c>
      <c r="C327" s="258"/>
      <c r="D327" s="33" t="s">
        <v>66</v>
      </c>
      <c r="E327" s="37">
        <v>2.2633000000000001</v>
      </c>
      <c r="G327" s="28" t="s">
        <v>88</v>
      </c>
      <c r="H327" s="27" t="s">
        <v>165</v>
      </c>
    </row>
    <row r="328" spans="1:8" ht="14.4" customHeight="1" x14ac:dyDescent="0.3">
      <c r="A328"/>
      <c r="B328" s="258" t="s">
        <v>87</v>
      </c>
      <c r="C328" s="258"/>
      <c r="D328" s="33" t="s">
        <v>66</v>
      </c>
      <c r="E328" s="37">
        <v>1.4162999999999999</v>
      </c>
      <c r="G328" s="28" t="s">
        <v>86</v>
      </c>
      <c r="H328" s="27" t="s">
        <v>165</v>
      </c>
    </row>
    <row r="329" spans="1:8" x14ac:dyDescent="0.3">
      <c r="A329"/>
      <c r="B329" s="8"/>
      <c r="C329" s="8"/>
      <c r="D329" s="4"/>
      <c r="E329" s="3"/>
      <c r="H329" s="27" t="s">
        <v>165</v>
      </c>
    </row>
    <row r="330" spans="1:8" ht="14.4" customHeight="1" x14ac:dyDescent="0.3">
      <c r="A330"/>
      <c r="B330" s="252" t="s">
        <v>85</v>
      </c>
      <c r="C330" s="243"/>
      <c r="D330" s="4"/>
      <c r="E330" s="4"/>
      <c r="H330" s="27" t="s">
        <v>165</v>
      </c>
    </row>
    <row r="331" spans="1:8" x14ac:dyDescent="0.3">
      <c r="A331"/>
      <c r="B331" s="13"/>
      <c r="C331" s="8"/>
      <c r="D331" s="4"/>
      <c r="E331" s="4"/>
      <c r="H331" s="27" t="s">
        <v>165</v>
      </c>
    </row>
    <row r="332" spans="1:8" ht="14.4" customHeight="1" x14ac:dyDescent="0.3">
      <c r="A332"/>
      <c r="B332" s="258" t="s">
        <v>84</v>
      </c>
      <c r="C332" s="258"/>
      <c r="D332" s="33" t="s">
        <v>79</v>
      </c>
      <c r="E332" s="37">
        <v>3.2000000000000002E-3</v>
      </c>
      <c r="G332" s="28" t="s">
        <v>83</v>
      </c>
      <c r="H332" s="27" t="s">
        <v>165</v>
      </c>
    </row>
    <row r="333" spans="1:8" ht="14.4" customHeight="1" x14ac:dyDescent="0.3">
      <c r="A333"/>
      <c r="B333" s="258" t="s">
        <v>82</v>
      </c>
      <c r="C333" s="258"/>
      <c r="D333" s="33" t="s">
        <v>79</v>
      </c>
      <c r="E333" s="37">
        <v>4.0000000000000002E-4</v>
      </c>
      <c r="G333" s="28" t="s">
        <v>81</v>
      </c>
      <c r="H333" s="27" t="s">
        <v>165</v>
      </c>
    </row>
    <row r="334" spans="1:8" ht="14.4" customHeight="1" x14ac:dyDescent="0.3">
      <c r="A334"/>
      <c r="B334" s="258" t="s">
        <v>80</v>
      </c>
      <c r="C334" s="258"/>
      <c r="D334" s="33" t="s">
        <v>79</v>
      </c>
      <c r="E334" s="37">
        <v>2.9999999999999997E-4</v>
      </c>
      <c r="G334" s="28" t="s">
        <v>78</v>
      </c>
      <c r="H334" s="27" t="s">
        <v>165</v>
      </c>
    </row>
    <row r="335" spans="1:8" ht="14.4" customHeight="1" x14ac:dyDescent="0.3">
      <c r="A335"/>
      <c r="B335" s="258" t="s">
        <v>77</v>
      </c>
      <c r="C335" s="258"/>
      <c r="D335" s="33" t="s">
        <v>4</v>
      </c>
      <c r="E335" s="32">
        <v>0.25</v>
      </c>
      <c r="G335" s="28" t="s">
        <v>76</v>
      </c>
      <c r="H335" s="27" t="s">
        <v>165</v>
      </c>
    </row>
    <row r="336" spans="1:8" ht="14.4" customHeight="1" x14ac:dyDescent="0.35">
      <c r="A336" s="36"/>
      <c r="B336" s="249" t="s">
        <v>164</v>
      </c>
      <c r="C336" s="253"/>
      <c r="D336" s="253"/>
      <c r="E336" s="253"/>
    </row>
    <row r="337" spans="1:8" ht="39" customHeight="1" x14ac:dyDescent="0.3">
      <c r="A337"/>
      <c r="B337" s="251" t="s">
        <v>163</v>
      </c>
      <c r="C337" s="251"/>
      <c r="D337" s="251"/>
      <c r="E337" s="251"/>
    </row>
    <row r="338" spans="1:8" ht="14.4" customHeight="1" x14ac:dyDescent="0.3">
      <c r="A338"/>
      <c r="B338" s="10"/>
      <c r="C338" s="10"/>
      <c r="D338" s="10"/>
      <c r="E338" s="10"/>
    </row>
    <row r="339" spans="1:8" x14ac:dyDescent="0.3">
      <c r="A339"/>
      <c r="B339" s="252" t="s">
        <v>72</v>
      </c>
      <c r="C339" s="250"/>
      <c r="D339" s="250"/>
      <c r="E339" s="250"/>
    </row>
    <row r="340" spans="1:8" ht="14.4" customHeight="1" x14ac:dyDescent="0.3">
      <c r="A340"/>
      <c r="B340" s="13"/>
      <c r="C340" s="16"/>
      <c r="D340" s="16"/>
      <c r="E340" s="16"/>
    </row>
    <row r="341" spans="1:8" ht="32.4" customHeight="1" x14ac:dyDescent="0.3">
      <c r="A341"/>
      <c r="B341" s="251" t="s">
        <v>24</v>
      </c>
      <c r="C341" s="251"/>
      <c r="D341" s="251"/>
      <c r="E341" s="251"/>
    </row>
    <row r="342" spans="1:8" x14ac:dyDescent="0.3">
      <c r="A342"/>
      <c r="B342" s="10"/>
      <c r="C342" s="10"/>
      <c r="D342" s="10"/>
      <c r="E342" s="10"/>
    </row>
    <row r="343" spans="1:8" ht="40.799999999999997" customHeight="1" x14ac:dyDescent="0.3">
      <c r="A343"/>
      <c r="B343" s="251" t="s">
        <v>23</v>
      </c>
      <c r="C343" s="251"/>
      <c r="D343" s="251"/>
      <c r="E343" s="251"/>
    </row>
    <row r="344" spans="1:8" ht="14.4" customHeight="1" x14ac:dyDescent="0.3">
      <c r="A344"/>
      <c r="B344" s="10"/>
      <c r="C344" s="10"/>
      <c r="D344" s="10"/>
      <c r="E344" s="10"/>
    </row>
    <row r="345" spans="1:8" ht="47.4" customHeight="1" x14ac:dyDescent="0.3">
      <c r="A345"/>
      <c r="B345" s="251" t="s">
        <v>162</v>
      </c>
      <c r="C345" s="251"/>
      <c r="D345" s="251"/>
      <c r="E345" s="251"/>
    </row>
    <row r="346" spans="1:8" ht="14.4" customHeight="1" x14ac:dyDescent="0.3">
      <c r="A346"/>
      <c r="B346" s="10"/>
      <c r="C346" s="10"/>
      <c r="D346" s="10"/>
      <c r="E346" s="10"/>
    </row>
    <row r="347" spans="1:8" ht="35.4" customHeight="1" x14ac:dyDescent="0.3">
      <c r="A347"/>
      <c r="B347" s="251" t="s">
        <v>62</v>
      </c>
      <c r="C347" s="251"/>
      <c r="D347" s="251"/>
      <c r="E347" s="251"/>
    </row>
    <row r="348" spans="1:8" x14ac:dyDescent="0.3">
      <c r="A348"/>
      <c r="B348" s="10"/>
      <c r="C348" s="10"/>
      <c r="D348" s="10"/>
      <c r="E348" s="10"/>
    </row>
    <row r="349" spans="1:8" ht="14.4" customHeight="1" x14ac:dyDescent="0.3">
      <c r="A349"/>
      <c r="B349" s="252" t="s">
        <v>70</v>
      </c>
      <c r="C349" s="251"/>
      <c r="D349" s="251"/>
      <c r="E349" s="251"/>
    </row>
    <row r="350" spans="1:8" x14ac:dyDescent="0.3">
      <c r="A350"/>
      <c r="B350" s="13"/>
      <c r="C350" s="10"/>
      <c r="D350" s="10"/>
      <c r="E350" s="10"/>
    </row>
    <row r="351" spans="1:8" ht="14.4" customHeight="1" x14ac:dyDescent="0.3">
      <c r="A351"/>
      <c r="B351" s="258" t="s">
        <v>161</v>
      </c>
      <c r="C351" s="258"/>
      <c r="D351" s="33" t="s">
        <v>4</v>
      </c>
      <c r="E351" s="37">
        <v>58.48</v>
      </c>
      <c r="G351" s="28" t="s">
        <v>97</v>
      </c>
      <c r="H351" s="27" t="s">
        <v>151</v>
      </c>
    </row>
    <row r="352" spans="1:8" ht="31.2" customHeight="1" x14ac:dyDescent="0.3">
      <c r="A352"/>
      <c r="B352" s="258" t="s">
        <v>160</v>
      </c>
      <c r="C352" s="258"/>
      <c r="D352" s="33" t="s">
        <v>79</v>
      </c>
      <c r="E352" s="37"/>
      <c r="H352" s="27" t="s">
        <v>151</v>
      </c>
    </row>
    <row r="353" spans="1:9" ht="20.399999999999999" customHeight="1" x14ac:dyDescent="0.3">
      <c r="A353"/>
      <c r="B353" s="258" t="s">
        <v>159</v>
      </c>
      <c r="C353" s="258"/>
      <c r="D353" s="33" t="s">
        <v>79</v>
      </c>
      <c r="E353" s="37">
        <v>3.8237144354832221E-4</v>
      </c>
      <c r="G353" s="28" t="s">
        <v>92</v>
      </c>
      <c r="H353" s="27" t="s">
        <v>151</v>
      </c>
      <c r="I353" s="39"/>
    </row>
    <row r="354" spans="1:9" ht="14.4" customHeight="1" x14ac:dyDescent="0.3">
      <c r="A354"/>
      <c r="B354" s="258" t="s">
        <v>158</v>
      </c>
      <c r="C354" s="258"/>
      <c r="D354" s="33" t="s">
        <v>66</v>
      </c>
      <c r="E354" s="37"/>
      <c r="H354" s="27" t="s">
        <v>151</v>
      </c>
    </row>
    <row r="355" spans="1:9" ht="14.4" customHeight="1" x14ac:dyDescent="0.3">
      <c r="A355"/>
      <c r="B355" s="258" t="s">
        <v>157</v>
      </c>
      <c r="C355" s="258"/>
      <c r="D355" s="33" t="s">
        <v>66</v>
      </c>
      <c r="E355" s="37">
        <v>-0.58223592693322634</v>
      </c>
      <c r="G355" s="28" t="s">
        <v>90</v>
      </c>
      <c r="H355" s="27" t="s">
        <v>151</v>
      </c>
    </row>
    <row r="356" spans="1:9" ht="23.4" customHeight="1" x14ac:dyDescent="0.3">
      <c r="A356"/>
      <c r="B356" s="258" t="s">
        <v>156</v>
      </c>
      <c r="C356" s="258"/>
      <c r="D356" s="33" t="s">
        <v>66</v>
      </c>
      <c r="E356" s="37"/>
      <c r="H356" s="27" t="s">
        <v>151</v>
      </c>
    </row>
    <row r="357" spans="1:9" ht="22.8" customHeight="1" x14ac:dyDescent="0.3">
      <c r="A357"/>
      <c r="B357" s="38" t="s">
        <v>155</v>
      </c>
      <c r="C357" s="38"/>
      <c r="D357" s="33" t="s">
        <v>66</v>
      </c>
      <c r="E357" s="37">
        <v>6.2539915864637035E-4</v>
      </c>
      <c r="G357" s="28" t="s">
        <v>152</v>
      </c>
      <c r="H357" s="27" t="s">
        <v>151</v>
      </c>
    </row>
    <row r="358" spans="1:9" ht="14.4" customHeight="1" x14ac:dyDescent="0.3">
      <c r="A358"/>
      <c r="B358" s="38" t="s">
        <v>154</v>
      </c>
      <c r="C358" s="38"/>
      <c r="D358" s="33" t="s">
        <v>66</v>
      </c>
      <c r="E358" s="37">
        <v>-9.994988007755759E-2</v>
      </c>
      <c r="G358" s="28" t="s">
        <v>152</v>
      </c>
      <c r="H358" s="27" t="s">
        <v>151</v>
      </c>
    </row>
    <row r="359" spans="1:9" ht="14.4" customHeight="1" x14ac:dyDescent="0.3">
      <c r="A359"/>
      <c r="B359" s="38" t="s">
        <v>153</v>
      </c>
      <c r="C359" s="38"/>
      <c r="D359" s="33" t="s">
        <v>66</v>
      </c>
      <c r="E359" s="37">
        <v>-0.13591477120603293</v>
      </c>
      <c r="G359" s="28" t="s">
        <v>152</v>
      </c>
      <c r="H359" s="27" t="s">
        <v>151</v>
      </c>
    </row>
    <row r="360" spans="1:9" ht="14.4" customHeight="1" x14ac:dyDescent="0.3">
      <c r="A360"/>
      <c r="B360" s="258" t="s">
        <v>89</v>
      </c>
      <c r="C360" s="258"/>
      <c r="D360" s="33" t="s">
        <v>66</v>
      </c>
      <c r="E360" s="37">
        <v>2.2633000000000001</v>
      </c>
      <c r="G360" s="28" t="s">
        <v>88</v>
      </c>
    </row>
    <row r="361" spans="1:9" ht="14.4" customHeight="1" x14ac:dyDescent="0.3">
      <c r="A361"/>
      <c r="B361" s="258" t="s">
        <v>87</v>
      </c>
      <c r="C361" s="258"/>
      <c r="D361" s="33" t="s">
        <v>66</v>
      </c>
      <c r="E361" s="37">
        <v>1.4163000000000001</v>
      </c>
      <c r="G361" s="28" t="s">
        <v>86</v>
      </c>
    </row>
    <row r="362" spans="1:9" x14ac:dyDescent="0.3">
      <c r="A362"/>
      <c r="B362" s="8"/>
      <c r="C362" s="8"/>
      <c r="D362" s="4"/>
      <c r="E362" s="3"/>
      <c r="H362" s="27" t="s">
        <v>151</v>
      </c>
    </row>
    <row r="363" spans="1:9" ht="14.4" customHeight="1" x14ac:dyDescent="0.3">
      <c r="A363"/>
      <c r="B363" s="252" t="s">
        <v>85</v>
      </c>
      <c r="C363" s="243"/>
      <c r="D363" s="4"/>
      <c r="E363" s="4"/>
      <c r="H363" s="27" t="s">
        <v>151</v>
      </c>
    </row>
    <row r="364" spans="1:9" x14ac:dyDescent="0.3">
      <c r="A364"/>
      <c r="B364" s="13"/>
      <c r="C364" s="8"/>
      <c r="D364" s="4"/>
      <c r="E364" s="4"/>
      <c r="H364" s="27" t="s">
        <v>151</v>
      </c>
    </row>
    <row r="365" spans="1:9" ht="14.4" customHeight="1" x14ac:dyDescent="0.3">
      <c r="A365"/>
      <c r="B365" s="258" t="s">
        <v>84</v>
      </c>
      <c r="C365" s="258"/>
      <c r="D365" s="33" t="s">
        <v>79</v>
      </c>
      <c r="E365" s="37">
        <v>3.2000000000000002E-3</v>
      </c>
      <c r="G365" s="28" t="s">
        <v>83</v>
      </c>
      <c r="H365" s="27" t="s">
        <v>151</v>
      </c>
    </row>
    <row r="366" spans="1:9" ht="14.4" customHeight="1" x14ac:dyDescent="0.3">
      <c r="A366"/>
      <c r="B366" s="258" t="s">
        <v>82</v>
      </c>
      <c r="C366" s="258"/>
      <c r="D366" s="33" t="s">
        <v>79</v>
      </c>
      <c r="E366" s="37">
        <v>4.0000000000000002E-4</v>
      </c>
      <c r="G366" s="28" t="s">
        <v>81</v>
      </c>
      <c r="H366" s="27" t="s">
        <v>151</v>
      </c>
    </row>
    <row r="367" spans="1:9" ht="14.4" customHeight="1" x14ac:dyDescent="0.3">
      <c r="A367"/>
      <c r="B367" s="258" t="s">
        <v>80</v>
      </c>
      <c r="C367" s="258"/>
      <c r="D367" s="33" t="s">
        <v>79</v>
      </c>
      <c r="E367" s="37">
        <v>2.9999999999999997E-4</v>
      </c>
      <c r="G367" s="28" t="s">
        <v>78</v>
      </c>
      <c r="H367" s="27" t="s">
        <v>151</v>
      </c>
    </row>
    <row r="368" spans="1:9" ht="14.4" customHeight="1" x14ac:dyDescent="0.3">
      <c r="A368"/>
      <c r="B368" s="258" t="s">
        <v>77</v>
      </c>
      <c r="C368" s="258"/>
      <c r="D368" s="33" t="s">
        <v>4</v>
      </c>
      <c r="E368" s="32">
        <v>0.25</v>
      </c>
      <c r="G368" s="28" t="s">
        <v>76</v>
      </c>
      <c r="H368" s="27" t="s">
        <v>151</v>
      </c>
    </row>
    <row r="369" spans="1:5" ht="14.4" customHeight="1" x14ac:dyDescent="0.35">
      <c r="A369" s="36"/>
      <c r="B369" s="249" t="s">
        <v>74</v>
      </c>
      <c r="C369" s="253"/>
      <c r="D369" s="253"/>
      <c r="E369" s="253"/>
    </row>
    <row r="370" spans="1:5" ht="32.4" customHeight="1" x14ac:dyDescent="0.3">
      <c r="A370"/>
      <c r="B370" s="251" t="s">
        <v>150</v>
      </c>
      <c r="C370" s="251"/>
      <c r="D370" s="251"/>
      <c r="E370" s="251"/>
    </row>
    <row r="371" spans="1:5" ht="14.4" customHeight="1" x14ac:dyDescent="0.3">
      <c r="A371"/>
      <c r="B371" s="10"/>
      <c r="C371" s="10"/>
      <c r="D371" s="10"/>
      <c r="E371" s="10"/>
    </row>
    <row r="372" spans="1:5" x14ac:dyDescent="0.3">
      <c r="A372"/>
      <c r="B372" s="252" t="s">
        <v>72</v>
      </c>
      <c r="C372" s="250"/>
      <c r="D372" s="250"/>
      <c r="E372" s="250"/>
    </row>
    <row r="373" spans="1:5" ht="14.4" customHeight="1" x14ac:dyDescent="0.3">
      <c r="A373"/>
      <c r="B373" s="13"/>
      <c r="C373" s="16"/>
      <c r="D373" s="16"/>
      <c r="E373" s="16"/>
    </row>
    <row r="374" spans="1:5" ht="22.8" customHeight="1" x14ac:dyDescent="0.3">
      <c r="A374"/>
      <c r="B374" s="251" t="s">
        <v>24</v>
      </c>
      <c r="C374" s="251"/>
      <c r="D374" s="251"/>
      <c r="E374" s="251"/>
    </row>
    <row r="375" spans="1:5" x14ac:dyDescent="0.3">
      <c r="A375"/>
      <c r="B375" s="10"/>
      <c r="C375" s="10"/>
      <c r="D375" s="10"/>
      <c r="E375" s="10"/>
    </row>
    <row r="376" spans="1:5" ht="38.4" customHeight="1" x14ac:dyDescent="0.3">
      <c r="A376"/>
      <c r="B376" s="251" t="s">
        <v>23</v>
      </c>
      <c r="C376" s="251"/>
      <c r="D376" s="251"/>
      <c r="E376" s="251"/>
    </row>
    <row r="377" spans="1:5" x14ac:dyDescent="0.3">
      <c r="A377"/>
      <c r="B377" s="10"/>
      <c r="C377" s="10"/>
      <c r="D377" s="10"/>
      <c r="E377" s="10"/>
    </row>
    <row r="378" spans="1:5" ht="33.6" customHeight="1" x14ac:dyDescent="0.3">
      <c r="A378"/>
      <c r="B378" s="251" t="s">
        <v>22</v>
      </c>
      <c r="C378" s="251"/>
      <c r="D378" s="251"/>
      <c r="E378" s="251"/>
    </row>
    <row r="379" spans="1:5" x14ac:dyDescent="0.3">
      <c r="A379"/>
      <c r="B379" s="10"/>
      <c r="C379" s="10"/>
      <c r="D379" s="10"/>
      <c r="E379" s="10"/>
    </row>
    <row r="380" spans="1:5" ht="31.2" customHeight="1" x14ac:dyDescent="0.3">
      <c r="A380"/>
      <c r="B380" s="251" t="s">
        <v>62</v>
      </c>
      <c r="C380" s="251"/>
      <c r="D380" s="251"/>
      <c r="E380" s="251"/>
    </row>
    <row r="381" spans="1:5" ht="14.4" customHeight="1" x14ac:dyDescent="0.3">
      <c r="A381"/>
      <c r="B381" s="10"/>
      <c r="C381" s="10"/>
      <c r="D381" s="10"/>
      <c r="E381" s="10"/>
    </row>
    <row r="382" spans="1:5" ht="18" customHeight="1" x14ac:dyDescent="0.3">
      <c r="A382"/>
      <c r="B382" s="252" t="s">
        <v>70</v>
      </c>
      <c r="C382" s="251"/>
      <c r="D382" s="251"/>
      <c r="E382" s="251"/>
    </row>
    <row r="383" spans="1:5" ht="14.4" customHeight="1" x14ac:dyDescent="0.3">
      <c r="A383"/>
      <c r="B383" s="13"/>
      <c r="C383" s="10"/>
      <c r="D383" s="10"/>
      <c r="E383" s="10"/>
    </row>
    <row r="384" spans="1:5" ht="15.6" customHeight="1" x14ac:dyDescent="0.3">
      <c r="A384"/>
      <c r="B384" s="258" t="s">
        <v>69</v>
      </c>
      <c r="C384" s="258"/>
      <c r="D384" s="33" t="s">
        <v>4</v>
      </c>
      <c r="E384" s="32">
        <v>5.4</v>
      </c>
    </row>
    <row r="385" spans="1:5" ht="14.4" customHeight="1" x14ac:dyDescent="0.3">
      <c r="A385"/>
      <c r="B385" s="15"/>
      <c r="C385" s="8"/>
      <c r="D385" s="4"/>
      <c r="E385" s="7"/>
    </row>
    <row r="386" spans="1:5" ht="18" x14ac:dyDescent="0.3">
      <c r="A386"/>
      <c r="B386" s="6" t="s">
        <v>68</v>
      </c>
      <c r="C386" s="5"/>
      <c r="D386" s="5"/>
      <c r="E386" s="5"/>
    </row>
    <row r="387" spans="1:5" ht="14.4" customHeight="1" x14ac:dyDescent="0.3">
      <c r="A387"/>
      <c r="B387" s="258" t="s">
        <v>67</v>
      </c>
      <c r="C387" s="258"/>
      <c r="D387" s="33" t="s">
        <v>66</v>
      </c>
      <c r="E387" s="35">
        <v>-0.6</v>
      </c>
    </row>
    <row r="388" spans="1:5" ht="14.4" customHeight="1" x14ac:dyDescent="0.3">
      <c r="A388"/>
      <c r="B388" s="258" t="s">
        <v>65</v>
      </c>
      <c r="C388" s="258"/>
      <c r="D388" s="33" t="s">
        <v>41</v>
      </c>
      <c r="E388" s="32">
        <v>-1</v>
      </c>
    </row>
    <row r="389" spans="1:5" ht="18" x14ac:dyDescent="0.3">
      <c r="A389"/>
      <c r="B389" s="6" t="s">
        <v>64</v>
      </c>
      <c r="C389" s="5"/>
      <c r="D389" s="5"/>
      <c r="E389" s="5"/>
    </row>
    <row r="390" spans="1:5" ht="43.8" customHeight="1" x14ac:dyDescent="0.3">
      <c r="A390"/>
      <c r="B390" s="251" t="s">
        <v>24</v>
      </c>
      <c r="C390" s="251"/>
      <c r="D390" s="251"/>
      <c r="E390" s="251"/>
    </row>
    <row r="391" spans="1:5" x14ac:dyDescent="0.3">
      <c r="A391"/>
      <c r="B391" s="10"/>
      <c r="C391" s="10"/>
      <c r="D391" s="10"/>
      <c r="E391" s="10"/>
    </row>
    <row r="392" spans="1:5" ht="32.4" customHeight="1" x14ac:dyDescent="0.3">
      <c r="A392"/>
      <c r="B392" s="251" t="s">
        <v>63</v>
      </c>
      <c r="C392" s="251"/>
      <c r="D392" s="251"/>
      <c r="E392" s="251"/>
    </row>
    <row r="393" spans="1:5" x14ac:dyDescent="0.3">
      <c r="A393"/>
      <c r="B393" s="10"/>
      <c r="C393" s="10"/>
      <c r="D393" s="10"/>
      <c r="E393" s="10"/>
    </row>
    <row r="394" spans="1:5" ht="31.8" customHeight="1" x14ac:dyDescent="0.3">
      <c r="A394"/>
      <c r="B394" s="251" t="s">
        <v>62</v>
      </c>
      <c r="C394" s="251"/>
      <c r="D394" s="251"/>
      <c r="E394" s="251"/>
    </row>
    <row r="395" spans="1:5" x14ac:dyDescent="0.3">
      <c r="A395"/>
      <c r="B395" s="10"/>
      <c r="C395" s="10"/>
      <c r="D395" s="10"/>
      <c r="E395" s="10"/>
    </row>
    <row r="396" spans="1:5" x14ac:dyDescent="0.3">
      <c r="A396"/>
      <c r="B396" s="13" t="s">
        <v>61</v>
      </c>
      <c r="C396" s="12"/>
      <c r="D396" s="12"/>
      <c r="E396" s="12"/>
    </row>
    <row r="397" spans="1:5" x14ac:dyDescent="0.3">
      <c r="A397"/>
      <c r="B397" s="258" t="s">
        <v>60</v>
      </c>
      <c r="C397" s="258"/>
      <c r="D397" s="33" t="s">
        <v>4</v>
      </c>
      <c r="E397" s="32">
        <v>15</v>
      </c>
    </row>
    <row r="398" spans="1:5" ht="14.4" customHeight="1" x14ac:dyDescent="0.3">
      <c r="A398"/>
      <c r="B398" s="258" t="s">
        <v>59</v>
      </c>
      <c r="C398" s="258"/>
      <c r="D398" s="33" t="s">
        <v>4</v>
      </c>
      <c r="E398" s="32">
        <v>15</v>
      </c>
    </row>
    <row r="399" spans="1:5" ht="14.4" customHeight="1" x14ac:dyDescent="0.3">
      <c r="A399"/>
      <c r="B399" s="258" t="s">
        <v>58</v>
      </c>
      <c r="C399" s="258"/>
      <c r="D399" s="33" t="s">
        <v>4</v>
      </c>
      <c r="E399" s="32">
        <v>15</v>
      </c>
    </row>
    <row r="400" spans="1:5" ht="14.4" customHeight="1" x14ac:dyDescent="0.3">
      <c r="A400"/>
      <c r="B400" s="258" t="s">
        <v>57</v>
      </c>
      <c r="C400" s="258"/>
      <c r="D400" s="33" t="s">
        <v>4</v>
      </c>
      <c r="E400" s="32">
        <v>15</v>
      </c>
    </row>
    <row r="401" spans="1:5" ht="14.4" customHeight="1" x14ac:dyDescent="0.3">
      <c r="A401"/>
      <c r="B401" s="258" t="s">
        <v>56</v>
      </c>
      <c r="C401" s="258"/>
      <c r="D401" s="33" t="s">
        <v>4</v>
      </c>
      <c r="E401" s="32">
        <v>15</v>
      </c>
    </row>
    <row r="402" spans="1:5" ht="14.4" customHeight="1" x14ac:dyDescent="0.3">
      <c r="A402"/>
      <c r="B402" s="258" t="s">
        <v>55</v>
      </c>
      <c r="C402" s="258"/>
      <c r="D402" s="33" t="s">
        <v>4</v>
      </c>
      <c r="E402" s="32">
        <v>15</v>
      </c>
    </row>
    <row r="403" spans="1:5" x14ac:dyDescent="0.3">
      <c r="A403"/>
      <c r="B403" s="258" t="s">
        <v>54</v>
      </c>
      <c r="C403" s="258"/>
      <c r="D403" s="33" t="s">
        <v>4</v>
      </c>
      <c r="E403" s="32">
        <v>15</v>
      </c>
    </row>
    <row r="404" spans="1:5" x14ac:dyDescent="0.3">
      <c r="A404"/>
      <c r="B404" s="258" t="s">
        <v>53</v>
      </c>
      <c r="C404" s="258"/>
      <c r="D404" s="33" t="s">
        <v>4</v>
      </c>
      <c r="E404" s="32">
        <v>15</v>
      </c>
    </row>
    <row r="405" spans="1:5" x14ac:dyDescent="0.3">
      <c r="A405"/>
      <c r="B405" s="258" t="s">
        <v>52</v>
      </c>
      <c r="C405" s="258"/>
      <c r="D405" s="33" t="s">
        <v>4</v>
      </c>
      <c r="E405" s="32">
        <v>15</v>
      </c>
    </row>
    <row r="406" spans="1:5" ht="14.4" customHeight="1" x14ac:dyDescent="0.3">
      <c r="A406"/>
      <c r="B406" s="258" t="s">
        <v>50</v>
      </c>
      <c r="C406" s="258"/>
      <c r="D406" s="33" t="s">
        <v>4</v>
      </c>
      <c r="E406" s="32">
        <v>15</v>
      </c>
    </row>
    <row r="407" spans="1:5" ht="14.4" customHeight="1" x14ac:dyDescent="0.3">
      <c r="A407"/>
      <c r="B407" s="258" t="s">
        <v>49</v>
      </c>
      <c r="C407" s="258"/>
      <c r="D407" s="33" t="s">
        <v>4</v>
      </c>
      <c r="E407" s="32">
        <v>15</v>
      </c>
    </row>
    <row r="408" spans="1:5" x14ac:dyDescent="0.3">
      <c r="A408"/>
      <c r="B408" s="258" t="s">
        <v>48</v>
      </c>
      <c r="C408" s="258"/>
      <c r="D408" s="33" t="s">
        <v>4</v>
      </c>
      <c r="E408" s="32">
        <v>15</v>
      </c>
    </row>
    <row r="409" spans="1:5" ht="14.4" customHeight="1" x14ac:dyDescent="0.3">
      <c r="A409"/>
      <c r="B409" s="258" t="s">
        <v>46</v>
      </c>
      <c r="C409" s="258"/>
      <c r="D409" s="33" t="s">
        <v>4</v>
      </c>
      <c r="E409" s="32">
        <v>30</v>
      </c>
    </row>
    <row r="410" spans="1:5" ht="14.4" customHeight="1" x14ac:dyDescent="0.3">
      <c r="A410"/>
      <c r="B410" s="258" t="s">
        <v>47</v>
      </c>
      <c r="C410" s="258"/>
      <c r="D410" s="33" t="s">
        <v>4</v>
      </c>
      <c r="E410" s="32">
        <v>30</v>
      </c>
    </row>
    <row r="411" spans="1:5" ht="14.4" customHeight="1" x14ac:dyDescent="0.3">
      <c r="A411"/>
      <c r="B411" s="258" t="s">
        <v>45</v>
      </c>
      <c r="C411" s="258"/>
      <c r="D411" s="33" t="s">
        <v>4</v>
      </c>
      <c r="E411" s="32">
        <v>30</v>
      </c>
    </row>
    <row r="412" spans="1:5" ht="14.4" customHeight="1" x14ac:dyDescent="0.3">
      <c r="A412"/>
      <c r="B412" s="258" t="s">
        <v>149</v>
      </c>
      <c r="C412" s="258"/>
      <c r="D412" s="33" t="s">
        <v>4</v>
      </c>
      <c r="E412" s="32">
        <v>15</v>
      </c>
    </row>
    <row r="413" spans="1:5" x14ac:dyDescent="0.3">
      <c r="A413"/>
      <c r="B413" s="8"/>
      <c r="C413" s="8"/>
      <c r="D413" s="4"/>
      <c r="E413" s="7"/>
    </row>
    <row r="414" spans="1:5" x14ac:dyDescent="0.3">
      <c r="A414"/>
      <c r="B414" s="13" t="s">
        <v>44</v>
      </c>
      <c r="C414" s="12"/>
      <c r="D414" s="12"/>
      <c r="E414" s="12"/>
    </row>
    <row r="415" spans="1:5" ht="14.4" customHeight="1" x14ac:dyDescent="0.3">
      <c r="A415"/>
      <c r="B415" s="258" t="s">
        <v>43</v>
      </c>
      <c r="C415" s="258"/>
      <c r="D415" s="33" t="s">
        <v>41</v>
      </c>
      <c r="E415" s="32">
        <v>1.5</v>
      </c>
    </row>
    <row r="416" spans="1:5" ht="14.4" customHeight="1" x14ac:dyDescent="0.3">
      <c r="A416"/>
      <c r="B416" s="258" t="s">
        <v>42</v>
      </c>
      <c r="C416" s="258"/>
      <c r="D416" s="33" t="s">
        <v>41</v>
      </c>
      <c r="E416" s="32">
        <v>19.559999999999999</v>
      </c>
    </row>
    <row r="417" spans="1:5" ht="14.4" customHeight="1" x14ac:dyDescent="0.3">
      <c r="A417"/>
      <c r="B417" s="258" t="s">
        <v>148</v>
      </c>
      <c r="C417" s="258"/>
      <c r="D417" s="33" t="s">
        <v>4</v>
      </c>
      <c r="E417" s="32">
        <v>30</v>
      </c>
    </row>
    <row r="418" spans="1:5" ht="14.4" customHeight="1" x14ac:dyDescent="0.3">
      <c r="A418"/>
      <c r="B418" s="258" t="s">
        <v>39</v>
      </c>
      <c r="C418" s="258"/>
      <c r="D418" s="33" t="s">
        <v>4</v>
      </c>
      <c r="E418" s="32">
        <v>165</v>
      </c>
    </row>
    <row r="419" spans="1:5" ht="14.4" customHeight="1" x14ac:dyDescent="0.3">
      <c r="A419"/>
      <c r="B419" s="258" t="s">
        <v>38</v>
      </c>
      <c r="C419" s="258"/>
      <c r="D419" s="33" t="s">
        <v>4</v>
      </c>
      <c r="E419" s="32">
        <v>65</v>
      </c>
    </row>
    <row r="420" spans="1:5" ht="14.4" customHeight="1" x14ac:dyDescent="0.3">
      <c r="A420"/>
      <c r="B420" s="258" t="s">
        <v>37</v>
      </c>
      <c r="C420" s="258"/>
      <c r="D420" s="33" t="s">
        <v>4</v>
      </c>
      <c r="E420" s="32">
        <v>185</v>
      </c>
    </row>
    <row r="421" spans="1:5" ht="14.4" customHeight="1" x14ac:dyDescent="0.3">
      <c r="A421"/>
      <c r="B421" s="258" t="s">
        <v>36</v>
      </c>
      <c r="C421" s="258"/>
      <c r="D421" s="33" t="s">
        <v>4</v>
      </c>
      <c r="E421" s="32">
        <v>185</v>
      </c>
    </row>
    <row r="422" spans="1:5" ht="14.4" customHeight="1" x14ac:dyDescent="0.3">
      <c r="A422"/>
      <c r="B422" s="258" t="s">
        <v>35</v>
      </c>
      <c r="C422" s="258"/>
      <c r="D422" s="33" t="s">
        <v>4</v>
      </c>
      <c r="E422" s="32">
        <v>415</v>
      </c>
    </row>
    <row r="423" spans="1:5" ht="18" customHeight="1" x14ac:dyDescent="0.3">
      <c r="A423"/>
      <c r="B423" s="258" t="s">
        <v>147</v>
      </c>
      <c r="C423" s="258"/>
      <c r="D423" s="33" t="s">
        <v>4</v>
      </c>
      <c r="E423" s="32">
        <v>65</v>
      </c>
    </row>
    <row r="424" spans="1:5" ht="14.4" customHeight="1" x14ac:dyDescent="0.3">
      <c r="A424"/>
      <c r="B424" s="258" t="s">
        <v>146</v>
      </c>
      <c r="C424" s="258"/>
      <c r="D424" s="33" t="s">
        <v>4</v>
      </c>
      <c r="E424" s="32">
        <v>185</v>
      </c>
    </row>
    <row r="425" spans="1:5" ht="14.4" customHeight="1" x14ac:dyDescent="0.3">
      <c r="A425"/>
      <c r="B425" s="8"/>
      <c r="C425" s="8"/>
      <c r="D425" s="4"/>
      <c r="E425" s="7"/>
    </row>
    <row r="426" spans="1:5" x14ac:dyDescent="0.3">
      <c r="A426"/>
      <c r="B426" s="13" t="s">
        <v>34</v>
      </c>
      <c r="C426" s="4"/>
      <c r="D426" s="4"/>
      <c r="E426" s="7"/>
    </row>
    <row r="427" spans="1:5" ht="25.8" customHeight="1" x14ac:dyDescent="0.3">
      <c r="A427"/>
      <c r="B427" s="258" t="s">
        <v>145</v>
      </c>
      <c r="C427" s="258"/>
      <c r="D427" s="33" t="s">
        <v>4</v>
      </c>
      <c r="E427" s="32">
        <v>22.35</v>
      </c>
    </row>
    <row r="428" spans="1:5" ht="14.4" customHeight="1" x14ac:dyDescent="0.3">
      <c r="A428"/>
      <c r="B428" s="258" t="s">
        <v>33</v>
      </c>
      <c r="C428" s="258"/>
      <c r="D428" s="33" t="s">
        <v>4</v>
      </c>
      <c r="E428" s="32">
        <v>30</v>
      </c>
    </row>
    <row r="429" spans="1:5" ht="14.4" customHeight="1" x14ac:dyDescent="0.3">
      <c r="A429"/>
      <c r="B429" s="258" t="s">
        <v>144</v>
      </c>
      <c r="C429" s="258"/>
      <c r="D429" s="33" t="s">
        <v>4</v>
      </c>
      <c r="E429" s="32">
        <v>165</v>
      </c>
    </row>
    <row r="430" spans="1:5" ht="17.399999999999999" customHeight="1" x14ac:dyDescent="0.3">
      <c r="A430"/>
      <c r="B430" s="249" t="s">
        <v>25</v>
      </c>
      <c r="C430" s="249"/>
      <c r="D430" s="249"/>
      <c r="E430" s="249"/>
    </row>
    <row r="431" spans="1:5" ht="14.4" customHeight="1" x14ac:dyDescent="0.3">
      <c r="A431"/>
      <c r="B431" s="6"/>
      <c r="C431" s="6"/>
      <c r="D431" s="6"/>
      <c r="E431" s="6"/>
    </row>
    <row r="432" spans="1:5" ht="34.200000000000003" customHeight="1" x14ac:dyDescent="0.3">
      <c r="A432"/>
      <c r="B432" s="251" t="s">
        <v>24</v>
      </c>
      <c r="C432" s="251"/>
      <c r="D432" s="251"/>
      <c r="E432" s="251"/>
    </row>
    <row r="433" spans="1:5" ht="14.4" customHeight="1" x14ac:dyDescent="0.3">
      <c r="A433"/>
      <c r="B433" s="10"/>
      <c r="C433" s="10"/>
      <c r="D433" s="10"/>
      <c r="E433" s="10"/>
    </row>
    <row r="434" spans="1:5" ht="34.799999999999997" customHeight="1" x14ac:dyDescent="0.3">
      <c r="A434"/>
      <c r="B434" s="251" t="s">
        <v>23</v>
      </c>
      <c r="C434" s="251"/>
      <c r="D434" s="251"/>
      <c r="E434" s="251"/>
    </row>
    <row r="435" spans="1:5" x14ac:dyDescent="0.3">
      <c r="A435"/>
      <c r="B435" s="10"/>
      <c r="C435" s="10"/>
      <c r="D435" s="10"/>
      <c r="E435" s="10"/>
    </row>
    <row r="436" spans="1:5" ht="27" customHeight="1" x14ac:dyDescent="0.3">
      <c r="A436"/>
      <c r="B436" s="251" t="s">
        <v>22</v>
      </c>
      <c r="C436" s="251"/>
      <c r="D436" s="251"/>
      <c r="E436" s="251"/>
    </row>
    <row r="437" spans="1:5" x14ac:dyDescent="0.3">
      <c r="A437"/>
      <c r="B437" s="10"/>
      <c r="C437" s="10"/>
      <c r="D437" s="10"/>
      <c r="E437" s="10"/>
    </row>
    <row r="438" spans="1:5" ht="25.8" customHeight="1" x14ac:dyDescent="0.3">
      <c r="A438"/>
      <c r="B438" s="251" t="s">
        <v>62</v>
      </c>
      <c r="C438" s="251"/>
      <c r="D438" s="251"/>
      <c r="E438" s="251"/>
    </row>
    <row r="439" spans="1:5" x14ac:dyDescent="0.3">
      <c r="A439"/>
      <c r="B439" s="10"/>
      <c r="C439" s="10"/>
      <c r="D439" s="10"/>
      <c r="E439" s="10"/>
    </row>
    <row r="440" spans="1:5" ht="14.4" customHeight="1" x14ac:dyDescent="0.3">
      <c r="A440"/>
      <c r="B440" s="251" t="s">
        <v>20</v>
      </c>
      <c r="C440" s="251"/>
      <c r="D440" s="251"/>
      <c r="E440" s="251"/>
    </row>
    <row r="441" spans="1:5" ht="14.4" customHeight="1" x14ac:dyDescent="0.3">
      <c r="A441"/>
      <c r="B441" s="258" t="s">
        <v>19</v>
      </c>
      <c r="C441" s="258"/>
      <c r="D441" s="33" t="s">
        <v>4</v>
      </c>
      <c r="E441" s="32">
        <v>100</v>
      </c>
    </row>
    <row r="442" spans="1:5" ht="14.4" customHeight="1" x14ac:dyDescent="0.3">
      <c r="A442"/>
      <c r="B442" s="258" t="s">
        <v>18</v>
      </c>
      <c r="C442" s="258"/>
      <c r="D442" s="33" t="s">
        <v>4</v>
      </c>
      <c r="E442" s="32">
        <v>20</v>
      </c>
    </row>
    <row r="443" spans="1:5" ht="14.4" customHeight="1" x14ac:dyDescent="0.3">
      <c r="A443"/>
      <c r="B443" s="258" t="s">
        <v>17</v>
      </c>
      <c r="C443" s="258"/>
      <c r="D443" s="33" t="s">
        <v>14</v>
      </c>
      <c r="E443" s="32">
        <v>0.5</v>
      </c>
    </row>
    <row r="444" spans="1:5" ht="14.4" customHeight="1" x14ac:dyDescent="0.3">
      <c r="A444"/>
      <c r="B444" s="258" t="s">
        <v>16</v>
      </c>
      <c r="C444" s="258"/>
      <c r="D444" s="33" t="s">
        <v>14</v>
      </c>
      <c r="E444" s="32">
        <v>0.3</v>
      </c>
    </row>
    <row r="445" spans="1:5" ht="14.4" customHeight="1" x14ac:dyDescent="0.3">
      <c r="A445"/>
      <c r="B445" s="258" t="s">
        <v>15</v>
      </c>
      <c r="C445" s="258"/>
      <c r="D445" s="33" t="s">
        <v>14</v>
      </c>
      <c r="E445" s="32">
        <v>-0.3</v>
      </c>
    </row>
    <row r="446" spans="1:5" ht="14.4" customHeight="1" x14ac:dyDescent="0.3">
      <c r="A446"/>
      <c r="B446" s="258" t="s">
        <v>13</v>
      </c>
      <c r="C446" s="258"/>
      <c r="D446" s="33"/>
      <c r="E446" s="34"/>
    </row>
    <row r="447" spans="1:5" ht="14.4" customHeight="1" x14ac:dyDescent="0.3">
      <c r="A447"/>
      <c r="B447" s="258" t="s">
        <v>12</v>
      </c>
      <c r="C447" s="258"/>
      <c r="D447" s="33" t="s">
        <v>4</v>
      </c>
      <c r="E447" s="32">
        <v>0.25</v>
      </c>
    </row>
    <row r="448" spans="1:5" ht="18" customHeight="1" x14ac:dyDescent="0.3">
      <c r="A448"/>
      <c r="B448" s="258" t="s">
        <v>11</v>
      </c>
      <c r="C448" s="258"/>
      <c r="D448" s="33" t="s">
        <v>4</v>
      </c>
      <c r="E448" s="32">
        <v>0.5</v>
      </c>
    </row>
    <row r="449" spans="1:5" ht="14.4" customHeight="1" x14ac:dyDescent="0.3">
      <c r="A449"/>
      <c r="B449" s="258" t="s">
        <v>10</v>
      </c>
      <c r="C449" s="258"/>
      <c r="D449" s="33"/>
      <c r="E449" s="34"/>
    </row>
    <row r="450" spans="1:5" ht="14.4" customHeight="1" x14ac:dyDescent="0.3">
      <c r="A450"/>
      <c r="B450" s="258" t="s">
        <v>9</v>
      </c>
      <c r="C450" s="258"/>
      <c r="D450" s="33"/>
      <c r="E450" s="34"/>
    </row>
    <row r="451" spans="1:5" ht="14.4" customHeight="1" x14ac:dyDescent="0.3">
      <c r="A451"/>
      <c r="B451" s="258" t="s">
        <v>8</v>
      </c>
      <c r="C451" s="258"/>
      <c r="D451" s="33"/>
      <c r="E451" s="34"/>
    </row>
    <row r="452" spans="1:5" ht="14.4" customHeight="1" x14ac:dyDescent="0.3">
      <c r="A452"/>
      <c r="B452" s="258" t="s">
        <v>7</v>
      </c>
      <c r="C452" s="258"/>
      <c r="D452" s="33" t="s">
        <v>4</v>
      </c>
      <c r="E452" s="34" t="s">
        <v>6</v>
      </c>
    </row>
    <row r="453" spans="1:5" ht="14.4" customHeight="1" x14ac:dyDescent="0.3">
      <c r="A453"/>
      <c r="B453" s="258" t="s">
        <v>5</v>
      </c>
      <c r="C453" s="258"/>
      <c r="D453" s="33" t="s">
        <v>4</v>
      </c>
      <c r="E453" s="32">
        <v>2</v>
      </c>
    </row>
    <row r="454" spans="1:5" x14ac:dyDescent="0.3">
      <c r="A454"/>
      <c r="B454" s="8"/>
      <c r="C454" s="8"/>
      <c r="D454" s="4"/>
      <c r="E454" s="7"/>
    </row>
    <row r="455" spans="1:5" ht="18" x14ac:dyDescent="0.3">
      <c r="A455"/>
      <c r="B455" s="6" t="s">
        <v>3</v>
      </c>
      <c r="C455" s="5"/>
      <c r="D455" s="5"/>
      <c r="E455" s="5"/>
    </row>
    <row r="456" spans="1:5" ht="18" x14ac:dyDescent="0.3">
      <c r="A456"/>
      <c r="B456" s="6"/>
      <c r="C456" s="5"/>
      <c r="D456" s="5"/>
      <c r="E456" s="5"/>
    </row>
    <row r="457" spans="1:5" ht="26.4" customHeight="1" x14ac:dyDescent="0.3">
      <c r="A457"/>
      <c r="B457" s="243" t="s">
        <v>2</v>
      </c>
      <c r="C457" s="243"/>
      <c r="D457" s="243"/>
      <c r="E457" s="243"/>
    </row>
    <row r="458" spans="1:5" x14ac:dyDescent="0.3">
      <c r="A458"/>
      <c r="B458" s="258" t="s">
        <v>1</v>
      </c>
      <c r="C458" s="258"/>
      <c r="D458" s="4"/>
      <c r="E458" s="31">
        <v>1.030684649944027</v>
      </c>
    </row>
    <row r="459" spans="1:5" x14ac:dyDescent="0.3">
      <c r="A459"/>
      <c r="B459" s="258" t="s">
        <v>143</v>
      </c>
      <c r="C459" s="258"/>
      <c r="D459" s="4"/>
      <c r="E459" s="31">
        <v>1.014545</v>
      </c>
    </row>
    <row r="460" spans="1:5" x14ac:dyDescent="0.3">
      <c r="A460"/>
      <c r="B460" s="258" t="s">
        <v>0</v>
      </c>
      <c r="C460" s="258"/>
      <c r="D460" s="4"/>
      <c r="E460" s="31">
        <v>1.0203778034445867</v>
      </c>
    </row>
    <row r="461" spans="1:5" x14ac:dyDescent="0.3">
      <c r="A461"/>
      <c r="B461" s="258" t="s">
        <v>142</v>
      </c>
      <c r="C461" s="258"/>
      <c r="D461" s="4"/>
      <c r="E461" s="31">
        <v>1.0044999999999999</v>
      </c>
    </row>
  </sheetData>
  <mergeCells count="307">
    <mergeCell ref="B1:E1"/>
    <mergeCell ref="B2:E2"/>
    <mergeCell ref="B3:E3"/>
    <mergeCell ref="B4:E4"/>
    <mergeCell ref="B5:E5"/>
    <mergeCell ref="B6:E6"/>
    <mergeCell ref="B7:E7"/>
    <mergeCell ref="B8:E8"/>
    <mergeCell ref="B9:E9"/>
    <mergeCell ref="B11:E11"/>
    <mergeCell ref="B13:E13"/>
    <mergeCell ref="B15:E15"/>
    <mergeCell ref="B35:C35"/>
    <mergeCell ref="B17:E17"/>
    <mergeCell ref="B19:E19"/>
    <mergeCell ref="B20:E20"/>
    <mergeCell ref="B22:E22"/>
    <mergeCell ref="B24:C24"/>
    <mergeCell ref="B25:C25"/>
    <mergeCell ref="B26:C26"/>
    <mergeCell ref="B37:C37"/>
    <mergeCell ref="B38:C38"/>
    <mergeCell ref="B40:C40"/>
    <mergeCell ref="B42:C42"/>
    <mergeCell ref="B43:C43"/>
    <mergeCell ref="B30:C30"/>
    <mergeCell ref="B31:C31"/>
    <mergeCell ref="B32:C32"/>
    <mergeCell ref="B33:C33"/>
    <mergeCell ref="B34:C34"/>
    <mergeCell ref="B44:C44"/>
    <mergeCell ref="B45:C45"/>
    <mergeCell ref="B46:E46"/>
    <mergeCell ref="B47:E47"/>
    <mergeCell ref="B49:E49"/>
    <mergeCell ref="B51:E51"/>
    <mergeCell ref="B69:C69"/>
    <mergeCell ref="B53:E53"/>
    <mergeCell ref="B55:E55"/>
    <mergeCell ref="B57:E57"/>
    <mergeCell ref="B58:E58"/>
    <mergeCell ref="B60:E60"/>
    <mergeCell ref="B62:C62"/>
    <mergeCell ref="B64:C64"/>
    <mergeCell ref="B70:C70"/>
    <mergeCell ref="B75:C75"/>
    <mergeCell ref="B76:C76"/>
    <mergeCell ref="B78:C78"/>
    <mergeCell ref="B80:C80"/>
    <mergeCell ref="B63:C63"/>
    <mergeCell ref="B65:C65"/>
    <mergeCell ref="B66:C66"/>
    <mergeCell ref="B67:C67"/>
    <mergeCell ref="B68:C68"/>
    <mergeCell ref="B81:C81"/>
    <mergeCell ref="B82:C82"/>
    <mergeCell ref="B83:C83"/>
    <mergeCell ref="B84:E84"/>
    <mergeCell ref="B85:E85"/>
    <mergeCell ref="B87:E87"/>
    <mergeCell ref="B89:E89"/>
    <mergeCell ref="B91:E91"/>
    <mergeCell ref="B93:E93"/>
    <mergeCell ref="B95:E95"/>
    <mergeCell ref="B96:E96"/>
    <mergeCell ref="B98:E98"/>
    <mergeCell ref="B116:C116"/>
    <mergeCell ref="B100:C100"/>
    <mergeCell ref="B102:C102"/>
    <mergeCell ref="B103:C103"/>
    <mergeCell ref="B104:C104"/>
    <mergeCell ref="B105:C105"/>
    <mergeCell ref="B106:C106"/>
    <mergeCell ref="B107:C107"/>
    <mergeCell ref="B108:C108"/>
    <mergeCell ref="B113:C113"/>
    <mergeCell ref="B114:C114"/>
    <mergeCell ref="B115:C115"/>
    <mergeCell ref="B118:C118"/>
    <mergeCell ref="B120:C120"/>
    <mergeCell ref="B121:C121"/>
    <mergeCell ref="B122:C122"/>
    <mergeCell ref="B123:C123"/>
    <mergeCell ref="B124:E124"/>
    <mergeCell ref="B143:C143"/>
    <mergeCell ref="B125:E125"/>
    <mergeCell ref="B127:E127"/>
    <mergeCell ref="B129:E129"/>
    <mergeCell ref="B131:E131"/>
    <mergeCell ref="B133:E133"/>
    <mergeCell ref="B135:E135"/>
    <mergeCell ref="B144:C144"/>
    <mergeCell ref="B145:C145"/>
    <mergeCell ref="B146:C146"/>
    <mergeCell ref="B147:C147"/>
    <mergeCell ref="B148:C148"/>
    <mergeCell ref="B136:E136"/>
    <mergeCell ref="B137:E137"/>
    <mergeCell ref="B139:E139"/>
    <mergeCell ref="B141:C141"/>
    <mergeCell ref="B142:C142"/>
    <mergeCell ref="B160:C160"/>
    <mergeCell ref="B161:C161"/>
    <mergeCell ref="B153:C153"/>
    <mergeCell ref="B154:C154"/>
    <mergeCell ref="B156:C156"/>
    <mergeCell ref="B158:C158"/>
    <mergeCell ref="B159:C159"/>
    <mergeCell ref="B179:C179"/>
    <mergeCell ref="B162:E162"/>
    <mergeCell ref="B163:E163"/>
    <mergeCell ref="B165:E165"/>
    <mergeCell ref="B167:E167"/>
    <mergeCell ref="B169:E169"/>
    <mergeCell ref="B180:C180"/>
    <mergeCell ref="B181:C181"/>
    <mergeCell ref="B182:C182"/>
    <mergeCell ref="B183:C183"/>
    <mergeCell ref="B184:C184"/>
    <mergeCell ref="B171:E171"/>
    <mergeCell ref="B173:E173"/>
    <mergeCell ref="B174:E174"/>
    <mergeCell ref="B176:E176"/>
    <mergeCell ref="B178:C178"/>
    <mergeCell ref="B189:C189"/>
    <mergeCell ref="B190:C190"/>
    <mergeCell ref="B192:C192"/>
    <mergeCell ref="B194:C194"/>
    <mergeCell ref="B195:C195"/>
    <mergeCell ref="B196:C196"/>
    <mergeCell ref="B197:C197"/>
    <mergeCell ref="B198:E198"/>
    <mergeCell ref="B199:E199"/>
    <mergeCell ref="B201:E201"/>
    <mergeCell ref="B203:E203"/>
    <mergeCell ref="B205:E205"/>
    <mergeCell ref="B207:E207"/>
    <mergeCell ref="B209:E209"/>
    <mergeCell ref="B210:E210"/>
    <mergeCell ref="B212:E212"/>
    <mergeCell ref="B214:C214"/>
    <mergeCell ref="B215:C215"/>
    <mergeCell ref="B216:C216"/>
    <mergeCell ref="B217:C217"/>
    <mergeCell ref="B218:C218"/>
    <mergeCell ref="B219:C219"/>
    <mergeCell ref="B220:C220"/>
    <mergeCell ref="B221:C221"/>
    <mergeCell ref="B226:C226"/>
    <mergeCell ref="B227:C227"/>
    <mergeCell ref="B229:C229"/>
    <mergeCell ref="B231:C231"/>
    <mergeCell ref="B232:C232"/>
    <mergeCell ref="B233:C233"/>
    <mergeCell ref="B253:C253"/>
    <mergeCell ref="B261:C261"/>
    <mergeCell ref="B262:C262"/>
    <mergeCell ref="B264:C264"/>
    <mergeCell ref="B266:C266"/>
    <mergeCell ref="B267:C267"/>
    <mergeCell ref="B234:C234"/>
    <mergeCell ref="B270:E270"/>
    <mergeCell ref="B271:E271"/>
    <mergeCell ref="B273:E273"/>
    <mergeCell ref="B275:E275"/>
    <mergeCell ref="B277:E277"/>
    <mergeCell ref="B250:C250"/>
    <mergeCell ref="B251:C251"/>
    <mergeCell ref="B252:C252"/>
    <mergeCell ref="B246:E246"/>
    <mergeCell ref="B248:E248"/>
    <mergeCell ref="B254:C254"/>
    <mergeCell ref="B256:C256"/>
    <mergeCell ref="B255:C255"/>
    <mergeCell ref="B288:C288"/>
    <mergeCell ref="B289:C289"/>
    <mergeCell ref="B293:C293"/>
    <mergeCell ref="B294:C294"/>
    <mergeCell ref="B296:C296"/>
    <mergeCell ref="B279:E279"/>
    <mergeCell ref="B281:E281"/>
    <mergeCell ref="B283:E283"/>
    <mergeCell ref="B285:C285"/>
    <mergeCell ref="B286:C286"/>
    <mergeCell ref="B287:C287"/>
    <mergeCell ref="B335:C335"/>
    <mergeCell ref="B336:E336"/>
    <mergeCell ref="B337:E337"/>
    <mergeCell ref="B309:E309"/>
    <mergeCell ref="B311:E311"/>
    <mergeCell ref="B313:E313"/>
    <mergeCell ref="B315:E315"/>
    <mergeCell ref="B298:C298"/>
    <mergeCell ref="B299:C299"/>
    <mergeCell ref="B300:C300"/>
    <mergeCell ref="B301:C301"/>
    <mergeCell ref="B302:E302"/>
    <mergeCell ref="B303:E303"/>
    <mergeCell ref="B305:E305"/>
    <mergeCell ref="B307:E307"/>
    <mergeCell ref="B369:E369"/>
    <mergeCell ref="B370:E370"/>
    <mergeCell ref="B372:E372"/>
    <mergeCell ref="B374:E374"/>
    <mergeCell ref="B376:E376"/>
    <mergeCell ref="B339:E339"/>
    <mergeCell ref="B341:E341"/>
    <mergeCell ref="B343:E343"/>
    <mergeCell ref="B345:E345"/>
    <mergeCell ref="B355:C355"/>
    <mergeCell ref="B356:C356"/>
    <mergeCell ref="B360:C360"/>
    <mergeCell ref="B361:C361"/>
    <mergeCell ref="B363:C363"/>
    <mergeCell ref="B365:C365"/>
    <mergeCell ref="B347:E347"/>
    <mergeCell ref="B349:E349"/>
    <mergeCell ref="B351:C351"/>
    <mergeCell ref="B352:C352"/>
    <mergeCell ref="B378:E378"/>
    <mergeCell ref="B380:E380"/>
    <mergeCell ref="B382:E382"/>
    <mergeCell ref="B384:C384"/>
    <mergeCell ref="B387:C387"/>
    <mergeCell ref="B388:C388"/>
    <mergeCell ref="B390:E390"/>
    <mergeCell ref="B392:E392"/>
    <mergeCell ref="B394:E394"/>
    <mergeCell ref="B397:C397"/>
    <mergeCell ref="B398:C398"/>
    <mergeCell ref="B399:C399"/>
    <mergeCell ref="B400:C400"/>
    <mergeCell ref="B401:C401"/>
    <mergeCell ref="B402:C402"/>
    <mergeCell ref="B403:C403"/>
    <mergeCell ref="B404:C404"/>
    <mergeCell ref="B405:C405"/>
    <mergeCell ref="B406:C406"/>
    <mergeCell ref="B407:C407"/>
    <mergeCell ref="B408:C408"/>
    <mergeCell ref="B409:C409"/>
    <mergeCell ref="B410:C410"/>
    <mergeCell ref="B411:C411"/>
    <mergeCell ref="B412:C412"/>
    <mergeCell ref="B415:C415"/>
    <mergeCell ref="B416:C416"/>
    <mergeCell ref="B430:E430"/>
    <mergeCell ref="B432:E432"/>
    <mergeCell ref="B434:E434"/>
    <mergeCell ref="B417:C417"/>
    <mergeCell ref="B418:C418"/>
    <mergeCell ref="B419:C419"/>
    <mergeCell ref="B436:E436"/>
    <mergeCell ref="B420:C420"/>
    <mergeCell ref="B421:C421"/>
    <mergeCell ref="B422:C422"/>
    <mergeCell ref="B423:C423"/>
    <mergeCell ref="B424:C424"/>
    <mergeCell ref="B427:C427"/>
    <mergeCell ref="B269:C269"/>
    <mergeCell ref="B458:C458"/>
    <mergeCell ref="B459:C459"/>
    <mergeCell ref="B445:C445"/>
    <mergeCell ref="B446:C446"/>
    <mergeCell ref="B447:C447"/>
    <mergeCell ref="B366:C366"/>
    <mergeCell ref="B367:C367"/>
    <mergeCell ref="B368:C368"/>
    <mergeCell ref="B448:C448"/>
    <mergeCell ref="B449:C449"/>
    <mergeCell ref="B451:C451"/>
    <mergeCell ref="B452:C452"/>
    <mergeCell ref="B453:C453"/>
    <mergeCell ref="B457:E457"/>
    <mergeCell ref="B450:C450"/>
    <mergeCell ref="B438:E438"/>
    <mergeCell ref="B440:E440"/>
    <mergeCell ref="B441:C441"/>
    <mergeCell ref="B442:C442"/>
    <mergeCell ref="B443:C443"/>
    <mergeCell ref="B444:C444"/>
    <mergeCell ref="B428:C428"/>
    <mergeCell ref="B429:C429"/>
    <mergeCell ref="B318:C318"/>
    <mergeCell ref="B460:C460"/>
    <mergeCell ref="B461:C461"/>
    <mergeCell ref="B235:E235"/>
    <mergeCell ref="B236:E236"/>
    <mergeCell ref="B238:E238"/>
    <mergeCell ref="B240:E240"/>
    <mergeCell ref="B242:E242"/>
    <mergeCell ref="B244:E244"/>
    <mergeCell ref="B317:C317"/>
    <mergeCell ref="B319:C319"/>
    <mergeCell ref="B320:C320"/>
    <mergeCell ref="B321:C321"/>
    <mergeCell ref="B322:C322"/>
    <mergeCell ref="B323:C323"/>
    <mergeCell ref="B327:C327"/>
    <mergeCell ref="B328:C328"/>
    <mergeCell ref="B330:C330"/>
    <mergeCell ref="B332:C332"/>
    <mergeCell ref="B333:C333"/>
    <mergeCell ref="B334:C334"/>
    <mergeCell ref="B353:C353"/>
    <mergeCell ref="B354:C354"/>
    <mergeCell ref="B268:C268"/>
  </mergeCells>
  <pageMargins left="0.7" right="0.7" top="0.75" bottom="0.75" header="0.3" footer="0.3"/>
  <pageSetup scale="51" orientation="portrait" r:id="rId1"/>
  <rowBreaks count="12" manualBreakCount="12">
    <brk id="45" max="16383" man="1"/>
    <brk id="83" max="16383" man="1"/>
    <brk id="123" max="16383" man="1"/>
    <brk id="161" max="16383" man="1"/>
    <brk id="197" max="16383" man="1"/>
    <brk id="234" max="5" man="1"/>
    <brk id="269" max="16383" man="1"/>
    <brk id="301" max="16383" man="1"/>
    <brk id="335" max="16383" man="1"/>
    <brk id="368" max="16383" man="1"/>
    <brk id="388" max="5" man="1"/>
    <brk id="429"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A663"/>
  <sheetViews>
    <sheetView showGridLines="0" topLeftCell="C1" zoomScale="70" zoomScaleNormal="70" workbookViewId="0"/>
  </sheetViews>
  <sheetFormatPr defaultColWidth="9.109375" defaultRowHeight="13.2" x14ac:dyDescent="0.25"/>
  <cols>
    <col min="1" max="1" width="65.5546875" style="40" hidden="1" customWidth="1"/>
    <col min="2" max="2" width="25.6640625" style="40" hidden="1" customWidth="1"/>
    <col min="3" max="3" width="3.44140625" style="41" customWidth="1"/>
    <col min="4" max="4" width="55.21875" style="40" customWidth="1"/>
    <col min="5" max="5" width="13.109375" style="40" customWidth="1"/>
    <col min="6" max="6" width="25.44140625" style="40" customWidth="1"/>
    <col min="7" max="7" width="11.5546875" style="40" customWidth="1"/>
    <col min="8" max="8" width="18.109375" style="40" customWidth="1"/>
    <col min="9" max="9" width="17" style="40" customWidth="1"/>
    <col min="10" max="10" width="17.5546875" style="40" customWidth="1"/>
    <col min="11" max="11" width="20.109375" style="40" customWidth="1"/>
    <col min="12" max="12" width="17.44140625" style="40" customWidth="1"/>
    <col min="13" max="13" width="15.88671875" style="40" customWidth="1"/>
    <col min="14" max="14" width="22.109375" style="40" customWidth="1"/>
    <col min="15" max="15" width="14.44140625" style="40" customWidth="1"/>
    <col min="16" max="16" width="36.5546875" style="40" customWidth="1"/>
    <col min="17" max="17" width="11.33203125" style="40" customWidth="1"/>
    <col min="18" max="82" width="9.109375" style="40" customWidth="1"/>
    <col min="83" max="16384" width="9.109375" style="40"/>
  </cols>
  <sheetData>
    <row r="1" spans="3:79" s="190" customFormat="1" ht="22.8" x14ac:dyDescent="0.25">
      <c r="C1" s="199"/>
      <c r="D1" s="198"/>
      <c r="E1" s="198"/>
      <c r="F1" s="198"/>
      <c r="G1" s="198"/>
      <c r="H1" s="198"/>
      <c r="I1" s="198"/>
      <c r="J1" s="198"/>
      <c r="K1" s="198"/>
      <c r="L1" s="193"/>
      <c r="M1" s="191"/>
      <c r="P1" s="163"/>
      <c r="AZ1" s="190" t="s">
        <v>254</v>
      </c>
      <c r="CA1" s="190">
        <v>1</v>
      </c>
    </row>
    <row r="2" spans="3:79" s="190" customFormat="1" ht="17.399999999999999" x14ac:dyDescent="0.3">
      <c r="C2" s="197"/>
      <c r="D2" s="196"/>
      <c r="E2" s="196"/>
      <c r="F2" s="196"/>
      <c r="G2" s="196"/>
      <c r="H2" s="196"/>
      <c r="I2" s="196"/>
      <c r="J2" s="196"/>
      <c r="K2" s="196"/>
      <c r="L2" s="193"/>
      <c r="M2" s="191"/>
      <c r="P2" s="163"/>
    </row>
    <row r="3" spans="3:79" s="190" customFormat="1" ht="17.399999999999999" x14ac:dyDescent="0.3">
      <c r="C3" s="278"/>
      <c r="D3" s="278"/>
      <c r="E3" s="278"/>
      <c r="F3" s="278"/>
      <c r="G3" s="278"/>
      <c r="H3" s="278"/>
      <c r="I3" s="278"/>
      <c r="J3" s="278"/>
      <c r="K3" s="278"/>
      <c r="L3" s="193"/>
      <c r="M3" s="191"/>
      <c r="P3" s="163"/>
    </row>
    <row r="4" spans="3:79" s="190" customFormat="1" ht="17.399999999999999" x14ac:dyDescent="0.3">
      <c r="C4" s="197"/>
      <c r="D4" s="196"/>
      <c r="E4" s="196"/>
      <c r="F4" s="196"/>
      <c r="G4" s="196"/>
      <c r="H4" s="196"/>
      <c r="I4" s="195"/>
      <c r="J4" s="195"/>
      <c r="K4" s="195"/>
      <c r="L4" s="193"/>
      <c r="M4" s="191"/>
      <c r="P4" s="163"/>
    </row>
    <row r="5" spans="3:79" s="190" customFormat="1" ht="15.6" x14ac:dyDescent="0.3">
      <c r="C5" s="192"/>
      <c r="E5" s="194"/>
      <c r="L5" s="193"/>
      <c r="M5" s="191"/>
      <c r="P5" s="163"/>
    </row>
    <row r="6" spans="3:79" s="190" customFormat="1" x14ac:dyDescent="0.25">
      <c r="C6" s="192"/>
      <c r="L6" s="193"/>
      <c r="M6" s="191"/>
      <c r="P6" s="163"/>
    </row>
    <row r="7" spans="3:79" s="190" customFormat="1" ht="9.75" customHeight="1" x14ac:dyDescent="0.25">
      <c r="C7" s="192"/>
      <c r="L7" s="193"/>
      <c r="M7" s="191"/>
      <c r="P7" s="163"/>
    </row>
    <row r="8" spans="3:79" s="190" customFormat="1" ht="2.25" customHeight="1" x14ac:dyDescent="0.25">
      <c r="C8" s="192"/>
      <c r="M8" s="191"/>
      <c r="N8" s="163"/>
      <c r="O8" s="163"/>
      <c r="P8" s="163"/>
    </row>
    <row r="9" spans="3:79" s="163" customFormat="1" ht="2.25" customHeight="1" x14ac:dyDescent="0.25">
      <c r="C9" s="164"/>
    </row>
    <row r="10" spans="3:79" s="163" customFormat="1" ht="2.25" customHeight="1" x14ac:dyDescent="0.3">
      <c r="C10" s="164"/>
      <c r="D10" s="279"/>
      <c r="E10" s="279"/>
      <c r="F10" s="279"/>
      <c r="G10" s="279"/>
      <c r="H10" s="279"/>
      <c r="I10" s="279"/>
      <c r="J10" s="279"/>
      <c r="K10" s="279"/>
      <c r="L10" s="279"/>
      <c r="M10" s="279"/>
      <c r="N10" s="189"/>
      <c r="O10" s="189"/>
    </row>
    <row r="11" spans="3:79" s="163" customFormat="1" ht="2.25" customHeight="1" x14ac:dyDescent="0.3">
      <c r="C11" s="164"/>
      <c r="D11" s="279"/>
      <c r="E11" s="279"/>
      <c r="F11" s="279"/>
      <c r="G11" s="279"/>
      <c r="H11" s="279"/>
      <c r="I11" s="279"/>
      <c r="J11" s="279"/>
      <c r="K11" s="279"/>
      <c r="L11" s="279"/>
      <c r="M11" s="279"/>
      <c r="N11" s="279"/>
      <c r="O11" s="279"/>
    </row>
    <row r="12" spans="3:79" s="163" customFormat="1" ht="177.75" customHeight="1" x14ac:dyDescent="0.25">
      <c r="C12" s="164"/>
      <c r="D12" s="280" t="s">
        <v>253</v>
      </c>
      <c r="E12" s="280"/>
      <c r="F12" s="280"/>
      <c r="G12" s="280"/>
      <c r="H12" s="280"/>
      <c r="I12" s="280"/>
      <c r="J12" s="280"/>
      <c r="K12" s="280"/>
      <c r="L12" s="280"/>
      <c r="M12" s="280"/>
      <c r="N12" s="280"/>
      <c r="R12" s="40"/>
      <c r="S12" s="40"/>
      <c r="T12" s="40"/>
      <c r="U12" s="40"/>
      <c r="V12" s="40"/>
    </row>
    <row r="13" spans="3:79" s="163" customFormat="1" ht="13.5" customHeight="1" x14ac:dyDescent="0.25">
      <c r="C13" s="188"/>
      <c r="D13" s="163" t="s">
        <v>252</v>
      </c>
      <c r="R13" s="40"/>
      <c r="S13" s="40"/>
      <c r="T13" s="40"/>
      <c r="U13" s="40"/>
      <c r="V13" s="40"/>
    </row>
    <row r="14" spans="3:79" s="163" customFormat="1" x14ac:dyDescent="0.25">
      <c r="C14" s="164"/>
      <c r="R14" s="40"/>
      <c r="S14" s="40"/>
      <c r="T14" s="40"/>
      <c r="U14" s="40"/>
      <c r="V14" s="40"/>
    </row>
    <row r="15" spans="3:79" s="163" customFormat="1" ht="27.75" hidden="1" customHeight="1" x14ac:dyDescent="0.25">
      <c r="C15" s="164"/>
      <c r="R15" s="40"/>
      <c r="S15" s="40"/>
      <c r="T15" s="40"/>
      <c r="U15" s="40"/>
      <c r="V15" s="40"/>
    </row>
    <row r="16" spans="3:79" s="163" customFormat="1" hidden="1" x14ac:dyDescent="0.25">
      <c r="C16" s="164"/>
      <c r="R16" s="40"/>
      <c r="S16" s="40"/>
      <c r="T16" s="40"/>
      <c r="U16" s="40"/>
      <c r="V16" s="40"/>
    </row>
    <row r="17" spans="2:45" s="163" customFormat="1" hidden="1" x14ac:dyDescent="0.25">
      <c r="C17" s="164"/>
      <c r="R17" s="40"/>
      <c r="S17" s="40"/>
      <c r="T17" s="40"/>
      <c r="U17" s="40"/>
      <c r="V17" s="40"/>
    </row>
    <row r="18" spans="2:45" s="163" customFormat="1" hidden="1" x14ac:dyDescent="0.25">
      <c r="C18" s="164"/>
      <c r="R18" s="40"/>
      <c r="S18" s="40"/>
      <c r="T18" s="40"/>
      <c r="U18" s="40"/>
      <c r="V18" s="40"/>
    </row>
    <row r="19" spans="2:45" s="163" customFormat="1" hidden="1" x14ac:dyDescent="0.25">
      <c r="C19" s="164"/>
      <c r="R19" s="40"/>
      <c r="S19" s="40"/>
      <c r="T19" s="40"/>
      <c r="U19" s="40"/>
      <c r="V19" s="40"/>
    </row>
    <row r="20" spans="2:45" s="163" customFormat="1" hidden="1" x14ac:dyDescent="0.25">
      <c r="C20" s="164"/>
      <c r="R20" s="40"/>
      <c r="S20" s="40"/>
      <c r="T20" s="40"/>
      <c r="U20" s="40"/>
      <c r="V20" s="40"/>
    </row>
    <row r="21" spans="2:45" s="163" customFormat="1" hidden="1" x14ac:dyDescent="0.25">
      <c r="C21" s="164"/>
      <c r="R21" s="40"/>
      <c r="S21" s="40"/>
      <c r="T21" s="40"/>
      <c r="U21" s="40"/>
      <c r="V21" s="40"/>
    </row>
    <row r="22" spans="2:45" s="163" customFormat="1" hidden="1" x14ac:dyDescent="0.25">
      <c r="C22" s="164"/>
      <c r="R22" s="40"/>
      <c r="S22" s="40"/>
      <c r="T22" s="40"/>
      <c r="U22" s="40"/>
      <c r="V22" s="40"/>
    </row>
    <row r="23" spans="2:45" s="163" customFormat="1" hidden="1" x14ac:dyDescent="0.25">
      <c r="C23" s="164"/>
      <c r="R23" s="40"/>
      <c r="S23" s="40"/>
      <c r="T23" s="40"/>
      <c r="U23" s="40"/>
      <c r="V23" s="40"/>
    </row>
    <row r="24" spans="2:45" s="163" customFormat="1" hidden="1" x14ac:dyDescent="0.25">
      <c r="C24" s="164"/>
      <c r="R24" s="40"/>
      <c r="S24" s="40"/>
      <c r="T24" s="40"/>
      <c r="U24" s="40"/>
      <c r="V24" s="40"/>
    </row>
    <row r="25" spans="2:45" s="163" customFormat="1" hidden="1" x14ac:dyDescent="0.25">
      <c r="C25" s="164"/>
      <c r="R25" s="40"/>
      <c r="S25" s="40"/>
      <c r="T25" s="40"/>
      <c r="U25" s="40"/>
      <c r="V25" s="40"/>
    </row>
    <row r="26" spans="2:45" s="163" customFormat="1" hidden="1" x14ac:dyDescent="0.25">
      <c r="C26" s="164"/>
      <c r="R26" s="40"/>
      <c r="S26" s="40"/>
      <c r="T26" s="40"/>
      <c r="U26" s="40"/>
      <c r="V26" s="40"/>
    </row>
    <row r="27" spans="2:45" s="163" customFormat="1" hidden="1" x14ac:dyDescent="0.25">
      <c r="C27" s="164"/>
      <c r="R27" s="40"/>
      <c r="S27" s="40"/>
      <c r="T27" s="40"/>
      <c r="U27" s="40"/>
      <c r="V27" s="40"/>
    </row>
    <row r="28" spans="2:45" s="163" customFormat="1" ht="15.6" x14ac:dyDescent="0.3">
      <c r="C28" s="164"/>
      <c r="D28" s="169" t="s">
        <v>251</v>
      </c>
      <c r="R28" s="40"/>
      <c r="S28" s="40"/>
      <c r="T28" s="40"/>
      <c r="U28" s="40"/>
      <c r="V28" s="40"/>
    </row>
    <row r="29" spans="2:45" s="163" customFormat="1" ht="66" x14ac:dyDescent="0.25">
      <c r="C29" s="164"/>
      <c r="D29" s="281" t="s">
        <v>238</v>
      </c>
      <c r="E29" s="282"/>
      <c r="F29" s="283"/>
      <c r="G29" s="187" t="s">
        <v>237</v>
      </c>
      <c r="H29" s="186" t="s">
        <v>250</v>
      </c>
      <c r="I29" s="186" t="s">
        <v>249</v>
      </c>
      <c r="J29" s="186" t="s">
        <v>248</v>
      </c>
      <c r="K29" s="186" t="s">
        <v>247</v>
      </c>
      <c r="L29" s="186" t="s">
        <v>246</v>
      </c>
      <c r="M29" s="185" t="s">
        <v>245</v>
      </c>
      <c r="N29" s="184" t="s">
        <v>244</v>
      </c>
      <c r="R29" s="40"/>
      <c r="S29" s="40"/>
      <c r="T29" s="40"/>
      <c r="U29" s="40"/>
      <c r="V29" s="40"/>
    </row>
    <row r="30" spans="2:45" s="163" customFormat="1" ht="16.2" x14ac:dyDescent="0.3">
      <c r="B30" s="163">
        <v>1</v>
      </c>
      <c r="C30" s="179">
        <v>1</v>
      </c>
      <c r="D30" s="182" t="s">
        <v>122</v>
      </c>
      <c r="E30" s="177"/>
      <c r="F30" s="176"/>
      <c r="G30" s="175" t="s">
        <v>219</v>
      </c>
      <c r="H30" s="174" t="s">
        <v>197</v>
      </c>
      <c r="I30" s="173">
        <v>1.0495000000000001</v>
      </c>
      <c r="J30" s="181">
        <v>1.030684649944027</v>
      </c>
      <c r="K30" s="172">
        <v>750</v>
      </c>
      <c r="L30" s="183"/>
      <c r="M30" s="171" t="s">
        <v>242</v>
      </c>
      <c r="N30" s="170"/>
      <c r="R30" s="40"/>
      <c r="S30" s="40"/>
      <c r="T30" s="40">
        <f t="shared" ref="T30:T69" si="0">SUM(I30:L30)</f>
        <v>752.08018464994404</v>
      </c>
      <c r="U30" s="40">
        <v>78</v>
      </c>
      <c r="V30" s="40"/>
      <c r="AS30" s="163">
        <v>1</v>
      </c>
    </row>
    <row r="31" spans="2:45" s="163" customFormat="1" ht="16.2" x14ac:dyDescent="0.3">
      <c r="B31" s="163">
        <v>2</v>
      </c>
      <c r="C31" s="179">
        <v>2</v>
      </c>
      <c r="D31" s="182" t="s">
        <v>122</v>
      </c>
      <c r="E31" s="177"/>
      <c r="F31" s="176"/>
      <c r="G31" s="175" t="s">
        <v>219</v>
      </c>
      <c r="H31" s="174" t="s">
        <v>197</v>
      </c>
      <c r="I31" s="173">
        <v>1.0495000000000001</v>
      </c>
      <c r="J31" s="181">
        <v>1.030684649944027</v>
      </c>
      <c r="K31" s="172">
        <v>357</v>
      </c>
      <c r="L31" s="183"/>
      <c r="M31" s="171" t="s">
        <v>242</v>
      </c>
      <c r="N31" s="170"/>
      <c r="R31" s="40"/>
      <c r="S31" s="40"/>
      <c r="T31" s="40">
        <f t="shared" si="0"/>
        <v>359.08018464994404</v>
      </c>
      <c r="U31" s="40">
        <f t="shared" ref="U31:U36" si="1">U30+68</f>
        <v>146</v>
      </c>
      <c r="V31" s="40"/>
      <c r="AS31" s="163">
        <v>2</v>
      </c>
    </row>
    <row r="32" spans="2:45" s="163" customFormat="1" ht="16.2" x14ac:dyDescent="0.3">
      <c r="B32" s="163">
        <v>3</v>
      </c>
      <c r="C32" s="179">
        <v>3</v>
      </c>
      <c r="D32" s="182" t="s">
        <v>243</v>
      </c>
      <c r="E32" s="177"/>
      <c r="F32" s="176"/>
      <c r="G32" s="175" t="s">
        <v>219</v>
      </c>
      <c r="H32" s="174" t="s">
        <v>197</v>
      </c>
      <c r="I32" s="173">
        <v>1.0495000000000001</v>
      </c>
      <c r="J32" s="181">
        <v>1.030684649944027</v>
      </c>
      <c r="K32" s="172">
        <v>2000</v>
      </c>
      <c r="L32" s="183"/>
      <c r="M32" s="171" t="s">
        <v>242</v>
      </c>
      <c r="N32" s="170"/>
      <c r="R32" s="40"/>
      <c r="S32" s="40"/>
      <c r="T32" s="40">
        <f t="shared" si="0"/>
        <v>2002.0801846499439</v>
      </c>
      <c r="U32" s="40">
        <f t="shared" si="1"/>
        <v>214</v>
      </c>
      <c r="V32" s="40"/>
      <c r="AS32" s="163">
        <v>3</v>
      </c>
    </row>
    <row r="33" spans="2:45" s="163" customFormat="1" ht="16.2" x14ac:dyDescent="0.3">
      <c r="B33" s="163">
        <v>4</v>
      </c>
      <c r="C33" s="179">
        <v>4</v>
      </c>
      <c r="D33" s="178" t="s">
        <v>110</v>
      </c>
      <c r="E33" s="177"/>
      <c r="F33" s="176"/>
      <c r="G33" s="175" t="s">
        <v>217</v>
      </c>
      <c r="H33" s="174" t="s">
        <v>188</v>
      </c>
      <c r="I33" s="173">
        <v>1.0495000000000001</v>
      </c>
      <c r="J33" s="181">
        <v>1.030684649944027</v>
      </c>
      <c r="K33" s="172">
        <v>20000</v>
      </c>
      <c r="L33" s="180">
        <v>60</v>
      </c>
      <c r="M33" s="171" t="s">
        <v>242</v>
      </c>
      <c r="N33" s="170"/>
      <c r="R33" s="40"/>
      <c r="S33" s="40"/>
      <c r="T33" s="40">
        <f t="shared" si="0"/>
        <v>20062.080184649945</v>
      </c>
      <c r="U33" s="40">
        <f t="shared" si="1"/>
        <v>282</v>
      </c>
      <c r="V33" s="40"/>
      <c r="AS33" s="163">
        <v>4</v>
      </c>
    </row>
    <row r="34" spans="2:45" s="163" customFormat="1" ht="16.2" x14ac:dyDescent="0.3">
      <c r="B34" s="163">
        <v>5</v>
      </c>
      <c r="C34" s="179">
        <v>5</v>
      </c>
      <c r="D34" s="182" t="s">
        <v>106</v>
      </c>
      <c r="E34" s="177"/>
      <c r="F34" s="176"/>
      <c r="G34" s="175" t="s">
        <v>217</v>
      </c>
      <c r="H34" s="174" t="s">
        <v>188</v>
      </c>
      <c r="I34" s="173">
        <v>1.0495000000000001</v>
      </c>
      <c r="J34" s="181">
        <v>1.030684649944027</v>
      </c>
      <c r="K34" s="172">
        <v>20000</v>
      </c>
      <c r="L34" s="180">
        <v>60</v>
      </c>
      <c r="M34" s="171" t="s">
        <v>242</v>
      </c>
      <c r="N34" s="170"/>
      <c r="R34" s="40"/>
      <c r="S34" s="40"/>
      <c r="T34" s="40">
        <f t="shared" si="0"/>
        <v>20062.080184649945</v>
      </c>
      <c r="U34" s="40">
        <f t="shared" si="1"/>
        <v>350</v>
      </c>
      <c r="V34" s="40"/>
      <c r="AS34" s="163">
        <v>5</v>
      </c>
    </row>
    <row r="35" spans="2:45" s="163" customFormat="1" ht="16.2" x14ac:dyDescent="0.3">
      <c r="B35" s="163">
        <v>6</v>
      </c>
      <c r="C35" s="179">
        <v>6</v>
      </c>
      <c r="D35" s="182" t="s">
        <v>107</v>
      </c>
      <c r="E35" s="177"/>
      <c r="F35" s="176"/>
      <c r="G35" s="175" t="s">
        <v>217</v>
      </c>
      <c r="H35" s="174" t="s">
        <v>188</v>
      </c>
      <c r="I35" s="173">
        <v>1.0495000000000001</v>
      </c>
      <c r="J35" s="181">
        <v>1.030684649944027</v>
      </c>
      <c r="K35" s="172">
        <v>800000</v>
      </c>
      <c r="L35" s="180">
        <v>2000</v>
      </c>
      <c r="M35" s="171" t="s">
        <v>242</v>
      </c>
      <c r="N35" s="170"/>
      <c r="R35" s="40"/>
      <c r="S35" s="40"/>
      <c r="T35" s="40">
        <f t="shared" si="0"/>
        <v>802002.08018464991</v>
      </c>
      <c r="U35" s="40">
        <f t="shared" si="1"/>
        <v>418</v>
      </c>
      <c r="V35" s="40"/>
      <c r="AS35" s="163">
        <v>6</v>
      </c>
    </row>
    <row r="36" spans="2:45" s="163" customFormat="1" ht="16.2" x14ac:dyDescent="0.3">
      <c r="B36" s="163">
        <v>7</v>
      </c>
      <c r="C36" s="179">
        <v>7</v>
      </c>
      <c r="D36" s="182" t="s">
        <v>104</v>
      </c>
      <c r="E36" s="177"/>
      <c r="F36" s="176"/>
      <c r="G36" s="175" t="s">
        <v>219</v>
      </c>
      <c r="H36" s="174" t="s">
        <v>197</v>
      </c>
      <c r="I36" s="173">
        <v>1.0495000000000001</v>
      </c>
      <c r="J36" s="181">
        <v>1.030684649944027</v>
      </c>
      <c r="K36" s="172">
        <v>100</v>
      </c>
      <c r="L36" s="183"/>
      <c r="M36" s="171" t="s">
        <v>242</v>
      </c>
      <c r="N36" s="170"/>
      <c r="R36" s="40"/>
      <c r="S36" s="40"/>
      <c r="T36" s="40">
        <f t="shared" si="0"/>
        <v>102.08018464994403</v>
      </c>
      <c r="U36" s="40">
        <f t="shared" si="1"/>
        <v>486</v>
      </c>
      <c r="V36" s="40"/>
      <c r="AS36" s="163">
        <v>7</v>
      </c>
    </row>
    <row r="37" spans="2:45" s="163" customFormat="1" ht="16.2" x14ac:dyDescent="0.3">
      <c r="B37" s="163">
        <v>8</v>
      </c>
      <c r="C37" s="179">
        <v>8</v>
      </c>
      <c r="D37" s="182" t="s">
        <v>75</v>
      </c>
      <c r="E37" s="177"/>
      <c r="F37" s="176"/>
      <c r="G37" s="175" t="s">
        <v>217</v>
      </c>
      <c r="H37" s="174" t="s">
        <v>188</v>
      </c>
      <c r="I37" s="173">
        <v>1.0495000000000001</v>
      </c>
      <c r="J37" s="181">
        <v>1.030684649944027</v>
      </c>
      <c r="K37" s="172">
        <v>600000</v>
      </c>
      <c r="L37" s="180">
        <v>176</v>
      </c>
      <c r="M37" s="171" t="s">
        <v>242</v>
      </c>
      <c r="N37" s="170"/>
      <c r="R37" s="40"/>
      <c r="S37" s="40"/>
      <c r="T37" s="40">
        <f t="shared" si="0"/>
        <v>600178.08018464991</v>
      </c>
      <c r="U37" s="40"/>
      <c r="V37" s="40"/>
      <c r="AS37" s="163">
        <v>8</v>
      </c>
    </row>
    <row r="38" spans="2:45" s="163" customFormat="1" ht="16.2" x14ac:dyDescent="0.3">
      <c r="B38" s="163">
        <v>9</v>
      </c>
      <c r="C38" s="179">
        <v>9</v>
      </c>
      <c r="D38" s="178" t="s">
        <v>101</v>
      </c>
      <c r="E38" s="177"/>
      <c r="F38" s="176"/>
      <c r="G38" s="175" t="s">
        <v>217</v>
      </c>
      <c r="H38" s="174" t="s">
        <v>188</v>
      </c>
      <c r="I38" s="173">
        <v>1.0495000000000001</v>
      </c>
      <c r="J38" s="181">
        <v>1.030684649944027</v>
      </c>
      <c r="K38" s="172">
        <v>10000</v>
      </c>
      <c r="L38" s="180">
        <v>29</v>
      </c>
      <c r="M38" s="171" t="s">
        <v>242</v>
      </c>
      <c r="N38" s="170"/>
      <c r="R38" s="40"/>
      <c r="S38" s="40"/>
      <c r="T38" s="40">
        <f t="shared" si="0"/>
        <v>10031.080184649943</v>
      </c>
      <c r="U38" s="40"/>
      <c r="V38" s="40"/>
      <c r="AS38" s="163">
        <v>9</v>
      </c>
    </row>
    <row r="39" spans="2:45" s="163" customFormat="1" ht="16.2" x14ac:dyDescent="0.3">
      <c r="B39" s="163">
        <v>10</v>
      </c>
      <c r="C39" s="179">
        <f>IF(ISERROR(VLOOKUP(D39, D30:AS69, 42, FALSE)),"", VLOOKUP(D39, D30:AS69, 42, FALSE))</f>
        <v>0</v>
      </c>
      <c r="D39" s="178" t="s">
        <v>167</v>
      </c>
      <c r="E39" s="177"/>
      <c r="F39" s="176"/>
      <c r="G39" s="175" t="s">
        <v>217</v>
      </c>
      <c r="H39" s="174" t="s">
        <v>188</v>
      </c>
      <c r="I39" s="173">
        <v>1.0389999999999899</v>
      </c>
      <c r="J39" s="181">
        <v>1.0203778034445801</v>
      </c>
      <c r="K39" s="172">
        <v>50000</v>
      </c>
      <c r="L39" s="180">
        <v>27</v>
      </c>
      <c r="M39" s="171" t="s">
        <v>242</v>
      </c>
      <c r="N39" s="170"/>
      <c r="R39" s="40"/>
      <c r="S39" s="40"/>
      <c r="T39" s="40">
        <f t="shared" si="0"/>
        <v>50029.059377803445</v>
      </c>
      <c r="U39" s="40"/>
      <c r="V39" s="40"/>
    </row>
    <row r="40" spans="2:45" s="163" customFormat="1" ht="16.2" x14ac:dyDescent="0.3">
      <c r="B40" s="163">
        <v>11</v>
      </c>
      <c r="C40" s="179">
        <f>IF(ISERROR(VLOOKUP(D40, D30:AS69, 42, FALSE)),"", VLOOKUP(D40, D30:AS69, 42, FALSE))</f>
        <v>0</v>
      </c>
      <c r="D40" s="178" t="s">
        <v>165</v>
      </c>
      <c r="E40" s="177"/>
      <c r="F40" s="176"/>
      <c r="G40" s="175" t="s">
        <v>217</v>
      </c>
      <c r="H40" s="174" t="s">
        <v>188</v>
      </c>
      <c r="I40" s="173">
        <v>1.0495000000000001</v>
      </c>
      <c r="J40" s="181">
        <v>1.0203778034445801</v>
      </c>
      <c r="K40" s="172">
        <v>1300000</v>
      </c>
      <c r="L40" s="180">
        <v>2340</v>
      </c>
      <c r="M40" s="171" t="s">
        <v>242</v>
      </c>
      <c r="N40" s="170"/>
      <c r="R40" s="40"/>
      <c r="S40" s="40"/>
      <c r="T40" s="40">
        <f t="shared" si="0"/>
        <v>1302342.0698778036</v>
      </c>
      <c r="U40" s="40"/>
      <c r="V40" s="40"/>
    </row>
    <row r="41" spans="2:45" s="163" customFormat="1" ht="16.2" x14ac:dyDescent="0.3">
      <c r="B41" s="163">
        <v>12</v>
      </c>
      <c r="C41" s="179">
        <f>IF(ISERROR(VLOOKUP(D41, D30:AS69, 42, FALSE)),"", VLOOKUP(D41, D30:AS69, 42, FALSE))</f>
        <v>0</v>
      </c>
      <c r="D41" s="178" t="s">
        <v>151</v>
      </c>
      <c r="E41" s="177"/>
      <c r="F41" s="176"/>
      <c r="G41" s="175" t="s">
        <v>217</v>
      </c>
      <c r="H41" s="174" t="s">
        <v>188</v>
      </c>
      <c r="I41" s="173">
        <v>1.0495000000000001</v>
      </c>
      <c r="J41" s="181">
        <v>1.0203778034445801</v>
      </c>
      <c r="K41" s="172">
        <v>1990000</v>
      </c>
      <c r="L41" s="180">
        <v>4050</v>
      </c>
      <c r="M41" s="171" t="s">
        <v>242</v>
      </c>
      <c r="N41" s="170"/>
      <c r="R41" s="40"/>
      <c r="S41" s="40"/>
      <c r="T41" s="40">
        <f t="shared" si="0"/>
        <v>1994052.0698778036</v>
      </c>
      <c r="U41" s="40"/>
      <c r="V41" s="40"/>
    </row>
    <row r="42" spans="2:45" s="163" customFormat="1" ht="16.2" x14ac:dyDescent="0.3">
      <c r="B42" s="163">
        <v>13</v>
      </c>
      <c r="C42" s="179">
        <f>IF(ISERROR(VLOOKUP(D42, D30:AS69, 42, FALSE)),"", VLOOKUP(D42, D30:AS69, 42, FALSE))</f>
        <v>0</v>
      </c>
      <c r="D42" s="178" t="s">
        <v>240</v>
      </c>
      <c r="E42" s="177"/>
      <c r="F42" s="176"/>
      <c r="G42" s="175"/>
      <c r="H42" s="174"/>
      <c r="I42" s="173"/>
      <c r="J42" s="173"/>
      <c r="K42" s="172"/>
      <c r="L42" s="172"/>
      <c r="M42" s="171"/>
      <c r="N42" s="170"/>
      <c r="R42" s="40"/>
      <c r="S42" s="40"/>
      <c r="T42" s="40">
        <f t="shared" si="0"/>
        <v>0</v>
      </c>
      <c r="U42" s="40"/>
      <c r="V42" s="40"/>
    </row>
    <row r="43" spans="2:45" s="163" customFormat="1" ht="16.2" x14ac:dyDescent="0.3">
      <c r="B43" s="163">
        <v>14</v>
      </c>
      <c r="C43" s="179">
        <f>IF(ISERROR(VLOOKUP(D43, D30:AS69, 42, FALSE)),"", VLOOKUP(D43, D30:AS69, 42, FALSE))</f>
        <v>0</v>
      </c>
      <c r="D43" s="178" t="s">
        <v>240</v>
      </c>
      <c r="E43" s="177"/>
      <c r="F43" s="176"/>
      <c r="G43" s="175"/>
      <c r="H43" s="174"/>
      <c r="I43" s="173"/>
      <c r="J43" s="173"/>
      <c r="K43" s="172"/>
      <c r="L43" s="172"/>
      <c r="M43" s="171"/>
      <c r="N43" s="170"/>
      <c r="R43" s="40"/>
      <c r="S43" s="40"/>
      <c r="T43" s="40">
        <f t="shared" si="0"/>
        <v>0</v>
      </c>
      <c r="U43" s="40"/>
      <c r="V43" s="40"/>
    </row>
    <row r="44" spans="2:45" s="163" customFormat="1" ht="16.2" x14ac:dyDescent="0.3">
      <c r="B44" s="163">
        <v>15</v>
      </c>
      <c r="C44" s="179">
        <f>IF(ISERROR(VLOOKUP(D44, D30:AS69, 42, FALSE)),"", VLOOKUP(D44, D30:AS69, 42, FALSE))</f>
        <v>0</v>
      </c>
      <c r="D44" s="178" t="s">
        <v>240</v>
      </c>
      <c r="E44" s="177"/>
      <c r="F44" s="176"/>
      <c r="G44" s="175"/>
      <c r="H44" s="174"/>
      <c r="I44" s="173"/>
      <c r="J44" s="173"/>
      <c r="K44" s="172"/>
      <c r="L44" s="172"/>
      <c r="M44" s="171"/>
      <c r="N44" s="170"/>
      <c r="R44" s="40"/>
      <c r="S44" s="40"/>
      <c r="T44" s="40">
        <f t="shared" si="0"/>
        <v>0</v>
      </c>
      <c r="U44" s="40"/>
      <c r="V44" s="40"/>
    </row>
    <row r="45" spans="2:45" s="163" customFormat="1" ht="16.2" x14ac:dyDescent="0.3">
      <c r="B45" s="163">
        <v>16</v>
      </c>
      <c r="C45" s="179">
        <f>IF(ISERROR(VLOOKUP(D45, D30:AS69, 42, FALSE)),"", VLOOKUP(D45, D30:AS69, 42, FALSE))</f>
        <v>0</v>
      </c>
      <c r="D45" s="178" t="s">
        <v>240</v>
      </c>
      <c r="E45" s="177"/>
      <c r="F45" s="176"/>
      <c r="G45" s="175"/>
      <c r="H45" s="174"/>
      <c r="I45" s="173"/>
      <c r="J45" s="173"/>
      <c r="K45" s="172"/>
      <c r="L45" s="172"/>
      <c r="M45" s="171"/>
      <c r="N45" s="170"/>
      <c r="R45" s="40"/>
      <c r="S45" s="40"/>
      <c r="T45" s="40">
        <f t="shared" si="0"/>
        <v>0</v>
      </c>
      <c r="U45" s="40"/>
      <c r="V45" s="40"/>
    </row>
    <row r="46" spans="2:45" s="163" customFormat="1" ht="16.2" x14ac:dyDescent="0.3">
      <c r="B46" s="163">
        <v>17</v>
      </c>
      <c r="C46" s="179">
        <f>IF(ISERROR(VLOOKUP(D46, D30:AS69, 42, FALSE)),"", VLOOKUP(D46, D30:AS69, 42, FALSE))</f>
        <v>0</v>
      </c>
      <c r="D46" s="178" t="s">
        <v>240</v>
      </c>
      <c r="E46" s="177"/>
      <c r="F46" s="176"/>
      <c r="G46" s="175"/>
      <c r="H46" s="174"/>
      <c r="I46" s="173"/>
      <c r="J46" s="173"/>
      <c r="K46" s="172"/>
      <c r="L46" s="172"/>
      <c r="M46" s="171"/>
      <c r="N46" s="170"/>
      <c r="R46" s="40"/>
      <c r="S46" s="40"/>
      <c r="T46" s="40">
        <f t="shared" si="0"/>
        <v>0</v>
      </c>
      <c r="U46" s="40"/>
      <c r="V46" s="40"/>
    </row>
    <row r="47" spans="2:45" s="163" customFormat="1" ht="16.2" x14ac:dyDescent="0.3">
      <c r="B47" s="163">
        <v>18</v>
      </c>
      <c r="C47" s="179">
        <f>IF(ISERROR(VLOOKUP(D47, D30:AS69, 42, FALSE)),"", VLOOKUP(D47, D30:AS69, 42, FALSE))</f>
        <v>0</v>
      </c>
      <c r="D47" s="178" t="s">
        <v>240</v>
      </c>
      <c r="E47" s="177"/>
      <c r="F47" s="176"/>
      <c r="G47" s="175"/>
      <c r="H47" s="174"/>
      <c r="I47" s="173"/>
      <c r="J47" s="173"/>
      <c r="K47" s="172"/>
      <c r="L47" s="172"/>
      <c r="M47" s="171"/>
      <c r="N47" s="170"/>
      <c r="R47" s="40"/>
      <c r="S47" s="40"/>
      <c r="T47" s="40">
        <f t="shared" si="0"/>
        <v>0</v>
      </c>
      <c r="U47" s="40"/>
      <c r="V47" s="40"/>
    </row>
    <row r="48" spans="2:45" s="163" customFormat="1" ht="16.2" x14ac:dyDescent="0.3">
      <c r="B48" s="163">
        <v>19</v>
      </c>
      <c r="C48" s="179">
        <f>IF(ISERROR(VLOOKUP(D48, D30:AS69, 42, FALSE)),"", VLOOKUP(D48, D30:AS69, 42, FALSE))</f>
        <v>0</v>
      </c>
      <c r="D48" s="178" t="s">
        <v>240</v>
      </c>
      <c r="E48" s="177"/>
      <c r="F48" s="176" t="s">
        <v>241</v>
      </c>
      <c r="G48" s="175"/>
      <c r="H48" s="174"/>
      <c r="I48" s="173"/>
      <c r="J48" s="173"/>
      <c r="K48" s="172"/>
      <c r="L48" s="172"/>
      <c r="M48" s="171"/>
      <c r="N48" s="170"/>
      <c r="R48" s="40"/>
      <c r="S48" s="40"/>
      <c r="T48" s="40">
        <f t="shared" si="0"/>
        <v>0</v>
      </c>
      <c r="U48" s="40"/>
      <c r="V48" s="40"/>
    </row>
    <row r="49" spans="2:45" s="163" customFormat="1" ht="16.2" x14ac:dyDescent="0.3">
      <c r="B49" s="163">
        <v>20</v>
      </c>
      <c r="C49" s="179">
        <f>IF(ISERROR(VLOOKUP(D49, D30:AS69, 42, FALSE)),"", VLOOKUP(D49, D30:AS69, 42, FALSE))</f>
        <v>0</v>
      </c>
      <c r="D49" s="178" t="s">
        <v>240</v>
      </c>
      <c r="E49" s="177"/>
      <c r="F49" s="176"/>
      <c r="G49" s="175"/>
      <c r="H49" s="174"/>
      <c r="I49" s="173"/>
      <c r="J49" s="173"/>
      <c r="K49" s="172"/>
      <c r="L49" s="172"/>
      <c r="M49" s="171"/>
      <c r="N49" s="170"/>
      <c r="R49" s="40"/>
      <c r="S49" s="40"/>
      <c r="T49" s="40">
        <f t="shared" si="0"/>
        <v>0</v>
      </c>
      <c r="U49" s="40"/>
      <c r="V49" s="40"/>
    </row>
    <row r="50" spans="2:45" s="163" customFormat="1" ht="16.2" x14ac:dyDescent="0.3">
      <c r="B50" s="163">
        <v>21</v>
      </c>
      <c r="C50" s="179">
        <f>IF(ISERROR(VLOOKUP(D50, D30:AS69, 42, FALSE)),"", VLOOKUP(D50, D30:AS69, 42, FALSE))</f>
        <v>0</v>
      </c>
      <c r="D50" s="178" t="s">
        <v>240</v>
      </c>
      <c r="E50" s="177"/>
      <c r="F50" s="176"/>
      <c r="G50" s="175"/>
      <c r="H50" s="174"/>
      <c r="I50" s="173"/>
      <c r="J50" s="173"/>
      <c r="K50" s="172"/>
      <c r="L50" s="172"/>
      <c r="M50" s="171"/>
      <c r="N50" s="170"/>
      <c r="R50" s="40"/>
      <c r="S50" s="40"/>
      <c r="T50" s="40">
        <f t="shared" si="0"/>
        <v>0</v>
      </c>
      <c r="U50" s="40"/>
      <c r="V50" s="40"/>
    </row>
    <row r="51" spans="2:45" s="163" customFormat="1" ht="16.2" x14ac:dyDescent="0.3">
      <c r="B51" s="163">
        <v>22</v>
      </c>
      <c r="C51" s="179">
        <f>IF(ISERROR(VLOOKUP(D51, D30:AS69, 42, FALSE)),"", VLOOKUP(D51, D30:AS69, 42, FALSE))</f>
        <v>0</v>
      </c>
      <c r="D51" s="178" t="s">
        <v>240</v>
      </c>
      <c r="E51" s="177"/>
      <c r="F51" s="176"/>
      <c r="G51" s="175"/>
      <c r="H51" s="174"/>
      <c r="I51" s="173"/>
      <c r="J51" s="173"/>
      <c r="K51" s="172"/>
      <c r="L51" s="172"/>
      <c r="M51" s="171"/>
      <c r="N51" s="170"/>
      <c r="R51" s="40"/>
      <c r="S51" s="40"/>
      <c r="T51" s="40">
        <f t="shared" si="0"/>
        <v>0</v>
      </c>
      <c r="U51" s="40"/>
      <c r="V51" s="40"/>
    </row>
    <row r="52" spans="2:45" s="163" customFormat="1" ht="16.2" x14ac:dyDescent="0.3">
      <c r="B52" s="163">
        <v>23</v>
      </c>
      <c r="C52" s="179">
        <f>IF(ISERROR(VLOOKUP(D52, D30:AS69, 42, FALSE)),"", VLOOKUP(D52, D30:AS69, 42, FALSE))</f>
        <v>0</v>
      </c>
      <c r="D52" s="178" t="s">
        <v>240</v>
      </c>
      <c r="E52" s="177"/>
      <c r="F52" s="176"/>
      <c r="G52" s="175"/>
      <c r="H52" s="174"/>
      <c r="I52" s="173"/>
      <c r="J52" s="173"/>
      <c r="K52" s="172"/>
      <c r="L52" s="172"/>
      <c r="M52" s="171"/>
      <c r="N52" s="170"/>
      <c r="R52" s="40"/>
      <c r="S52" s="40"/>
      <c r="T52" s="40">
        <f t="shared" si="0"/>
        <v>0</v>
      </c>
      <c r="U52" s="40"/>
      <c r="V52" s="40"/>
    </row>
    <row r="53" spans="2:45" s="163" customFormat="1" ht="16.2" x14ac:dyDescent="0.3">
      <c r="B53" s="163">
        <v>24</v>
      </c>
      <c r="C53" s="179">
        <f>IF(ISERROR(VLOOKUP(D53, D30:AS69, 42, FALSE)),"", VLOOKUP(D53, D30:AS69, 42, FALSE))</f>
        <v>0</v>
      </c>
      <c r="D53" s="178" t="s">
        <v>240</v>
      </c>
      <c r="E53" s="177"/>
      <c r="F53" s="176"/>
      <c r="G53" s="175"/>
      <c r="H53" s="174"/>
      <c r="I53" s="173"/>
      <c r="J53" s="173"/>
      <c r="K53" s="172"/>
      <c r="L53" s="172"/>
      <c r="M53" s="171"/>
      <c r="N53" s="170"/>
      <c r="R53" s="40"/>
      <c r="S53" s="40"/>
      <c r="T53" s="40">
        <f t="shared" si="0"/>
        <v>0</v>
      </c>
      <c r="U53" s="40"/>
      <c r="V53" s="40"/>
    </row>
    <row r="54" spans="2:45" s="163" customFormat="1" ht="16.2" x14ac:dyDescent="0.3">
      <c r="B54" s="163">
        <v>25</v>
      </c>
      <c r="C54" s="179">
        <f>IF(ISERROR(VLOOKUP(D54, D30:AS69, 42, FALSE)),"", VLOOKUP(D54, D30:AS69, 42, FALSE))</f>
        <v>0</v>
      </c>
      <c r="D54" s="178" t="s">
        <v>240</v>
      </c>
      <c r="E54" s="177"/>
      <c r="F54" s="176"/>
      <c r="G54" s="175"/>
      <c r="H54" s="174"/>
      <c r="I54" s="173"/>
      <c r="J54" s="173"/>
      <c r="K54" s="172"/>
      <c r="L54" s="172"/>
      <c r="M54" s="171"/>
      <c r="N54" s="170"/>
      <c r="R54" s="40"/>
      <c r="S54" s="40"/>
      <c r="T54" s="40">
        <f t="shared" si="0"/>
        <v>0</v>
      </c>
      <c r="U54" s="40"/>
      <c r="V54" s="40"/>
    </row>
    <row r="55" spans="2:45" s="163" customFormat="1" ht="16.2" x14ac:dyDescent="0.3">
      <c r="B55" s="163">
        <v>26</v>
      </c>
      <c r="C55" s="179">
        <f>IF(ISERROR(VLOOKUP(D55, D30:AS69, 42, FALSE)),"", VLOOKUP(D55, D30:AS69, 42, FALSE))</f>
        <v>0</v>
      </c>
      <c r="D55" s="178" t="s">
        <v>240</v>
      </c>
      <c r="E55" s="177"/>
      <c r="F55" s="176"/>
      <c r="G55" s="175"/>
      <c r="H55" s="174"/>
      <c r="I55" s="173"/>
      <c r="J55" s="173"/>
      <c r="K55" s="172"/>
      <c r="L55" s="172"/>
      <c r="M55" s="171"/>
      <c r="N55" s="170"/>
      <c r="R55" s="40"/>
      <c r="S55" s="40"/>
      <c r="T55" s="40">
        <f t="shared" si="0"/>
        <v>0</v>
      </c>
      <c r="U55" s="40"/>
      <c r="V55" s="40"/>
    </row>
    <row r="56" spans="2:45" s="163" customFormat="1" ht="16.2" x14ac:dyDescent="0.3">
      <c r="B56" s="163">
        <v>27</v>
      </c>
      <c r="C56" s="179">
        <f>IF(ISERROR(VLOOKUP(D56, D30:AS69, 42, FALSE)),"", VLOOKUP(D56, D30:AS69, 42, FALSE))</f>
        <v>0</v>
      </c>
      <c r="D56" s="178" t="s">
        <v>240</v>
      </c>
      <c r="E56" s="177"/>
      <c r="F56" s="176"/>
      <c r="G56" s="175"/>
      <c r="H56" s="174"/>
      <c r="I56" s="173"/>
      <c r="J56" s="173"/>
      <c r="K56" s="172"/>
      <c r="L56" s="172"/>
      <c r="M56" s="171"/>
      <c r="N56" s="170"/>
      <c r="R56" s="40"/>
      <c r="S56" s="40"/>
      <c r="T56" s="40">
        <f t="shared" si="0"/>
        <v>0</v>
      </c>
      <c r="U56" s="40"/>
      <c r="V56" s="40"/>
    </row>
    <row r="57" spans="2:45" s="163" customFormat="1" ht="16.2" x14ac:dyDescent="0.3">
      <c r="B57" s="163">
        <v>28</v>
      </c>
      <c r="C57" s="179">
        <f>IF(ISERROR(VLOOKUP(D57, D30:AS69, 42, FALSE)),"", VLOOKUP(D57, D30:AS69, 42, FALSE))</f>
        <v>0</v>
      </c>
      <c r="D57" s="178" t="s">
        <v>240</v>
      </c>
      <c r="E57" s="177"/>
      <c r="F57" s="176"/>
      <c r="G57" s="175"/>
      <c r="H57" s="174"/>
      <c r="I57" s="173"/>
      <c r="J57" s="173"/>
      <c r="K57" s="172"/>
      <c r="L57" s="172"/>
      <c r="M57" s="171"/>
      <c r="N57" s="170"/>
      <c r="R57" s="40"/>
      <c r="S57" s="40"/>
      <c r="T57" s="40">
        <f t="shared" si="0"/>
        <v>0</v>
      </c>
      <c r="U57" s="40">
        <f>U36+68</f>
        <v>554</v>
      </c>
      <c r="V57" s="40"/>
      <c r="AS57" s="163">
        <v>8</v>
      </c>
    </row>
    <row r="58" spans="2:45" s="163" customFormat="1" ht="16.2" x14ac:dyDescent="0.3">
      <c r="B58" s="163">
        <v>29</v>
      </c>
      <c r="C58" s="179">
        <f>IF(ISERROR(VLOOKUP(D58, D30:AS69, 42, FALSE)),"", VLOOKUP(D58, D30:AS69, 42, FALSE))</f>
        <v>0</v>
      </c>
      <c r="D58" s="178" t="s">
        <v>240</v>
      </c>
      <c r="E58" s="177"/>
      <c r="F58" s="176"/>
      <c r="G58" s="175"/>
      <c r="H58" s="174"/>
      <c r="I58" s="173"/>
      <c r="J58" s="173"/>
      <c r="K58" s="172"/>
      <c r="L58" s="172"/>
      <c r="M58" s="171"/>
      <c r="N58" s="170"/>
      <c r="R58" s="40"/>
      <c r="S58" s="40"/>
      <c r="T58" s="40">
        <f t="shared" si="0"/>
        <v>0</v>
      </c>
      <c r="U58" s="40">
        <f t="shared" ref="U58:U69" si="2">U57+68</f>
        <v>622</v>
      </c>
      <c r="V58" s="40"/>
      <c r="AS58" s="163">
        <v>9</v>
      </c>
    </row>
    <row r="59" spans="2:45" s="163" customFormat="1" ht="16.2" x14ac:dyDescent="0.3">
      <c r="B59" s="163">
        <v>30</v>
      </c>
      <c r="C59" s="179">
        <f>IF(ISERROR(VLOOKUP(D59, D30:AS69, 42, FALSE)),"", VLOOKUP(D59, D30:AS69, 42, FALSE))</f>
        <v>0</v>
      </c>
      <c r="D59" s="178" t="s">
        <v>240</v>
      </c>
      <c r="E59" s="177"/>
      <c r="F59" s="176"/>
      <c r="G59" s="175"/>
      <c r="H59" s="174"/>
      <c r="I59" s="173"/>
      <c r="J59" s="173"/>
      <c r="K59" s="172"/>
      <c r="L59" s="172"/>
      <c r="M59" s="171"/>
      <c r="N59" s="170"/>
      <c r="R59" s="40"/>
      <c r="S59" s="40"/>
      <c r="T59" s="40">
        <f t="shared" si="0"/>
        <v>0</v>
      </c>
      <c r="U59" s="40">
        <f t="shared" si="2"/>
        <v>690</v>
      </c>
      <c r="V59" s="40"/>
      <c r="AS59" s="163">
        <v>10</v>
      </c>
    </row>
    <row r="60" spans="2:45" s="163" customFormat="1" ht="16.2" x14ac:dyDescent="0.3">
      <c r="B60" s="163">
        <v>31</v>
      </c>
      <c r="C60" s="179">
        <f>IF(ISERROR(VLOOKUP(D60, D30:AS69, 42, FALSE)),"", VLOOKUP(D60, D30:AS69, 42, FALSE))</f>
        <v>0</v>
      </c>
      <c r="D60" s="178" t="s">
        <v>240</v>
      </c>
      <c r="E60" s="177"/>
      <c r="F60" s="176"/>
      <c r="G60" s="175"/>
      <c r="H60" s="174"/>
      <c r="I60" s="173"/>
      <c r="J60" s="173"/>
      <c r="K60" s="172"/>
      <c r="L60" s="172"/>
      <c r="M60" s="171"/>
      <c r="N60" s="170"/>
      <c r="R60" s="40"/>
      <c r="S60" s="40"/>
      <c r="T60" s="40">
        <f t="shared" si="0"/>
        <v>0</v>
      </c>
      <c r="U60" s="40">
        <f t="shared" si="2"/>
        <v>758</v>
      </c>
      <c r="V60" s="40"/>
    </row>
    <row r="61" spans="2:45" s="163" customFormat="1" ht="16.2" x14ac:dyDescent="0.3">
      <c r="B61" s="163">
        <v>32</v>
      </c>
      <c r="C61" s="179">
        <f>IF(ISERROR(VLOOKUP(D61, D30:AS69, 42, FALSE)),"", VLOOKUP(D61, D30:AS69, 42, FALSE))</f>
        <v>0</v>
      </c>
      <c r="D61" s="178" t="s">
        <v>240</v>
      </c>
      <c r="E61" s="177"/>
      <c r="F61" s="176"/>
      <c r="G61" s="175"/>
      <c r="H61" s="174"/>
      <c r="I61" s="173"/>
      <c r="J61" s="173"/>
      <c r="K61" s="172"/>
      <c r="L61" s="172"/>
      <c r="M61" s="171"/>
      <c r="N61" s="170"/>
      <c r="R61" s="40"/>
      <c r="S61" s="40"/>
      <c r="T61" s="40">
        <f t="shared" si="0"/>
        <v>0</v>
      </c>
      <c r="U61" s="40">
        <f t="shared" si="2"/>
        <v>826</v>
      </c>
      <c r="V61" s="40"/>
    </row>
    <row r="62" spans="2:45" s="163" customFormat="1" ht="16.2" x14ac:dyDescent="0.3">
      <c r="B62" s="163">
        <v>33</v>
      </c>
      <c r="C62" s="179">
        <f>IF(ISERROR(VLOOKUP(D62, D30:AS69, 42, FALSE)),"", VLOOKUP(D62, D30:AS69, 42, FALSE))</f>
        <v>0</v>
      </c>
      <c r="D62" s="178" t="s">
        <v>240</v>
      </c>
      <c r="E62" s="177"/>
      <c r="F62" s="176"/>
      <c r="G62" s="175"/>
      <c r="H62" s="174"/>
      <c r="I62" s="173"/>
      <c r="J62" s="173"/>
      <c r="K62" s="172"/>
      <c r="L62" s="172"/>
      <c r="M62" s="171"/>
      <c r="N62" s="170"/>
      <c r="R62" s="40"/>
      <c r="S62" s="40"/>
      <c r="T62" s="40">
        <f t="shared" si="0"/>
        <v>0</v>
      </c>
      <c r="U62" s="40">
        <f t="shared" si="2"/>
        <v>894</v>
      </c>
      <c r="V62" s="40"/>
    </row>
    <row r="63" spans="2:45" s="163" customFormat="1" ht="16.2" x14ac:dyDescent="0.3">
      <c r="B63" s="163">
        <v>34</v>
      </c>
      <c r="C63" s="179">
        <f>IF(ISERROR(VLOOKUP(D63, D30:AS69, 42, FALSE)),"", VLOOKUP(D63, D30:AS69, 42, FALSE))</f>
        <v>0</v>
      </c>
      <c r="D63" s="178" t="s">
        <v>240</v>
      </c>
      <c r="E63" s="177"/>
      <c r="F63" s="176"/>
      <c r="G63" s="175"/>
      <c r="H63" s="174"/>
      <c r="I63" s="173"/>
      <c r="J63" s="173"/>
      <c r="K63" s="172"/>
      <c r="L63" s="172"/>
      <c r="M63" s="171"/>
      <c r="N63" s="170"/>
      <c r="R63" s="40"/>
      <c r="S63" s="40"/>
      <c r="T63" s="40">
        <f t="shared" si="0"/>
        <v>0</v>
      </c>
      <c r="U63" s="40">
        <f t="shared" si="2"/>
        <v>962</v>
      </c>
      <c r="V63" s="40"/>
    </row>
    <row r="64" spans="2:45" s="163" customFormat="1" ht="16.2" x14ac:dyDescent="0.3">
      <c r="B64" s="163">
        <v>35</v>
      </c>
      <c r="C64" s="179">
        <f>IF(ISERROR(VLOOKUP(D64, D30:AS69, 42, FALSE)),"", VLOOKUP(D64, D30:AS69, 42, FALSE))</f>
        <v>0</v>
      </c>
      <c r="D64" s="178" t="s">
        <v>240</v>
      </c>
      <c r="E64" s="177"/>
      <c r="F64" s="176"/>
      <c r="G64" s="175"/>
      <c r="H64" s="174"/>
      <c r="I64" s="173"/>
      <c r="J64" s="173"/>
      <c r="K64" s="172"/>
      <c r="L64" s="172"/>
      <c r="M64" s="171"/>
      <c r="N64" s="170"/>
      <c r="R64" s="40"/>
      <c r="S64" s="40"/>
      <c r="T64" s="40">
        <f t="shared" si="0"/>
        <v>0</v>
      </c>
      <c r="U64" s="40">
        <f t="shared" si="2"/>
        <v>1030</v>
      </c>
      <c r="V64" s="40"/>
    </row>
    <row r="65" spans="2:22" s="163" customFormat="1" ht="16.2" x14ac:dyDescent="0.3">
      <c r="B65" s="163">
        <v>36</v>
      </c>
      <c r="C65" s="179">
        <f>IF(ISERROR(VLOOKUP(D65, D30:AS69, 42, FALSE)),"", VLOOKUP(D65, D30:AS69, 42, FALSE))</f>
        <v>0</v>
      </c>
      <c r="D65" s="178" t="s">
        <v>240</v>
      </c>
      <c r="E65" s="177"/>
      <c r="F65" s="176"/>
      <c r="G65" s="175"/>
      <c r="H65" s="174"/>
      <c r="I65" s="173"/>
      <c r="J65" s="173"/>
      <c r="K65" s="172"/>
      <c r="L65" s="172"/>
      <c r="M65" s="171"/>
      <c r="N65" s="170"/>
      <c r="R65" s="40"/>
      <c r="S65" s="40"/>
      <c r="T65" s="40">
        <f t="shared" si="0"/>
        <v>0</v>
      </c>
      <c r="U65" s="40">
        <f t="shared" si="2"/>
        <v>1098</v>
      </c>
      <c r="V65" s="40"/>
    </row>
    <row r="66" spans="2:22" s="163" customFormat="1" ht="16.2" x14ac:dyDescent="0.3">
      <c r="B66" s="163">
        <v>37</v>
      </c>
      <c r="C66" s="179">
        <f>IF(ISERROR(VLOOKUP(D66, D30:AS69, 42, FALSE)),"", VLOOKUP(D66, D30:AS69, 42, FALSE))</f>
        <v>0</v>
      </c>
      <c r="D66" s="178" t="s">
        <v>240</v>
      </c>
      <c r="E66" s="177"/>
      <c r="F66" s="176"/>
      <c r="G66" s="175"/>
      <c r="H66" s="174"/>
      <c r="I66" s="173"/>
      <c r="J66" s="173"/>
      <c r="K66" s="172"/>
      <c r="L66" s="172"/>
      <c r="M66" s="171"/>
      <c r="N66" s="170"/>
      <c r="R66" s="40"/>
      <c r="S66" s="40"/>
      <c r="T66" s="40">
        <f t="shared" si="0"/>
        <v>0</v>
      </c>
      <c r="U66" s="40">
        <f t="shared" si="2"/>
        <v>1166</v>
      </c>
      <c r="V66" s="40"/>
    </row>
    <row r="67" spans="2:22" s="163" customFormat="1" ht="16.2" x14ac:dyDescent="0.3">
      <c r="B67" s="163">
        <v>38</v>
      </c>
      <c r="C67" s="179">
        <f>IF(ISERROR(VLOOKUP(D67, D30:AS69, 42, FALSE)),"", VLOOKUP(D67, D30:AS69, 42, FALSE))</f>
        <v>0</v>
      </c>
      <c r="D67" s="178" t="s">
        <v>240</v>
      </c>
      <c r="E67" s="177"/>
      <c r="F67" s="176"/>
      <c r="G67" s="175"/>
      <c r="H67" s="174"/>
      <c r="I67" s="173"/>
      <c r="J67" s="173"/>
      <c r="K67" s="172"/>
      <c r="L67" s="172"/>
      <c r="M67" s="171"/>
      <c r="N67" s="170"/>
      <c r="R67" s="40"/>
      <c r="S67" s="40"/>
      <c r="T67" s="40">
        <f t="shared" si="0"/>
        <v>0</v>
      </c>
      <c r="U67" s="40">
        <f t="shared" si="2"/>
        <v>1234</v>
      </c>
      <c r="V67" s="40"/>
    </row>
    <row r="68" spans="2:22" s="163" customFormat="1" ht="16.2" x14ac:dyDescent="0.3">
      <c r="B68" s="163">
        <v>39</v>
      </c>
      <c r="C68" s="179">
        <f>IF(ISERROR(VLOOKUP(D68, D30:AS69, 42, FALSE)),"", VLOOKUP(D68, D30:AS69, 42, FALSE))</f>
        <v>0</v>
      </c>
      <c r="D68" s="178" t="s">
        <v>240</v>
      </c>
      <c r="E68" s="177"/>
      <c r="F68" s="176"/>
      <c r="G68" s="175"/>
      <c r="H68" s="174"/>
      <c r="I68" s="173"/>
      <c r="J68" s="173"/>
      <c r="K68" s="172"/>
      <c r="L68" s="172"/>
      <c r="M68" s="171"/>
      <c r="N68" s="170"/>
      <c r="R68" s="40"/>
      <c r="S68" s="40"/>
      <c r="T68" s="40">
        <f t="shared" si="0"/>
        <v>0</v>
      </c>
      <c r="U68" s="40">
        <f t="shared" si="2"/>
        <v>1302</v>
      </c>
      <c r="V68" s="40"/>
    </row>
    <row r="69" spans="2:22" s="163" customFormat="1" ht="16.2" x14ac:dyDescent="0.3">
      <c r="B69" s="163">
        <v>40</v>
      </c>
      <c r="C69" s="179">
        <f>IF(ISERROR(VLOOKUP(D69, D30:AS69, 42, FALSE)),"", VLOOKUP(D69, D30:AS69, 42, FALSE))</f>
        <v>0</v>
      </c>
      <c r="D69" s="178" t="s">
        <v>240</v>
      </c>
      <c r="E69" s="177"/>
      <c r="F69" s="176"/>
      <c r="G69" s="175"/>
      <c r="H69" s="174"/>
      <c r="I69" s="173"/>
      <c r="J69" s="173"/>
      <c r="K69" s="172"/>
      <c r="L69" s="172"/>
      <c r="M69" s="171"/>
      <c r="N69" s="170"/>
      <c r="R69" s="40"/>
      <c r="S69" s="40"/>
      <c r="T69" s="40">
        <f t="shared" si="0"/>
        <v>0</v>
      </c>
      <c r="U69" s="40">
        <f t="shared" si="2"/>
        <v>1370</v>
      </c>
      <c r="V69" s="40"/>
    </row>
    <row r="70" spans="2:22" s="163" customFormat="1" x14ac:dyDescent="0.25">
      <c r="C70" s="164"/>
      <c r="R70" s="40"/>
      <c r="S70" s="40"/>
      <c r="T70" s="40"/>
      <c r="U70" s="40"/>
      <c r="V70" s="40"/>
    </row>
    <row r="71" spans="2:22" s="163" customFormat="1" ht="15.6" x14ac:dyDescent="0.3">
      <c r="C71" s="164"/>
      <c r="D71" s="169" t="s">
        <v>239</v>
      </c>
      <c r="R71" s="40"/>
      <c r="S71" s="40"/>
      <c r="T71" s="40"/>
      <c r="U71" s="40"/>
      <c r="V71" s="40"/>
    </row>
    <row r="72" spans="2:22" s="163" customFormat="1" ht="12.75" customHeight="1" x14ac:dyDescent="0.25">
      <c r="C72" s="164"/>
      <c r="D72" s="284" t="s">
        <v>238</v>
      </c>
      <c r="E72" s="285"/>
      <c r="F72" s="286"/>
      <c r="G72" s="293" t="s">
        <v>237</v>
      </c>
      <c r="H72" s="294" t="s">
        <v>236</v>
      </c>
      <c r="I72" s="294"/>
      <c r="J72" s="294"/>
      <c r="K72" s="294"/>
      <c r="L72" s="294"/>
      <c r="M72" s="294"/>
      <c r="N72" s="294" t="s">
        <v>235</v>
      </c>
      <c r="O72" s="294"/>
      <c r="R72" s="40"/>
      <c r="S72" s="40"/>
      <c r="T72" s="40"/>
      <c r="U72" s="40"/>
      <c r="V72" s="40"/>
    </row>
    <row r="73" spans="2:22" s="163" customFormat="1" x14ac:dyDescent="0.25">
      <c r="C73" s="164"/>
      <c r="D73" s="287"/>
      <c r="E73" s="288"/>
      <c r="F73" s="289"/>
      <c r="G73" s="293"/>
      <c r="H73" s="295" t="s">
        <v>234</v>
      </c>
      <c r="I73" s="295"/>
      <c r="J73" s="295" t="s">
        <v>233</v>
      </c>
      <c r="K73" s="295"/>
      <c r="L73" s="295" t="s">
        <v>232</v>
      </c>
      <c r="M73" s="295"/>
      <c r="N73" s="295"/>
      <c r="O73" s="295"/>
      <c r="R73" s="40"/>
      <c r="S73" s="40"/>
      <c r="T73" s="40"/>
      <c r="U73" s="40"/>
      <c r="V73" s="40"/>
    </row>
    <row r="74" spans="2:22" s="163" customFormat="1" x14ac:dyDescent="0.25">
      <c r="C74" s="164"/>
      <c r="D74" s="290"/>
      <c r="E74" s="291"/>
      <c r="F74" s="292"/>
      <c r="G74" s="293"/>
      <c r="H74" s="168" t="s">
        <v>4</v>
      </c>
      <c r="I74" s="168" t="s">
        <v>41</v>
      </c>
      <c r="J74" s="168" t="s">
        <v>4</v>
      </c>
      <c r="K74" s="168" t="s">
        <v>41</v>
      </c>
      <c r="L74" s="168" t="s">
        <v>4</v>
      </c>
      <c r="M74" s="168" t="s">
        <v>41</v>
      </c>
      <c r="N74" s="168" t="s">
        <v>4</v>
      </c>
      <c r="O74" s="168" t="s">
        <v>41</v>
      </c>
      <c r="R74" s="40"/>
      <c r="S74" s="40"/>
      <c r="T74" s="40"/>
      <c r="U74" s="40"/>
      <c r="V74" s="40"/>
    </row>
    <row r="75" spans="2:22" s="163" customFormat="1" ht="14.4" x14ac:dyDescent="0.25">
      <c r="B75" s="163" t="str">
        <f t="shared" ref="B75:B115" si="3">H30</f>
        <v>RPP</v>
      </c>
      <c r="C75" s="164">
        <v>1</v>
      </c>
      <c r="D75" s="276" t="str">
        <f t="shared" ref="D75:D84" si="4">IF(ISBLANK(D30), "", IF(D30 = "Add additional scenarios if required", "", IF(M30="YES", D30 &amp; " - " &amp; H30 &amp; " - Interval Customers", D30 &amp; " - " &amp;H30)))</f>
        <v>RESIDENTIAL SERVICE CLASSIFICATION - RPP</v>
      </c>
      <c r="E75" s="277"/>
      <c r="F75" s="277"/>
      <c r="G75" s="167" t="str">
        <f>IF(ISBLANK(G30), "", G30)</f>
        <v>kWh</v>
      </c>
      <c r="H75" s="166">
        <f t="shared" ref="H75:H84" si="5">IF(LEN($G75)&gt;1, (SUMPRODUCT(--($C$118:$C$1016=$B30), --($A$118:$A$1016=$D30), --($B$118:$B$1016="ST_A"), $L$118:$L$1016)), "")</f>
        <v>-1.4705619343519309</v>
      </c>
      <c r="I75" s="165">
        <f t="shared" ref="I75:I84" si="6">IF(LEN($G75)&gt;1, (SUMPRODUCT(--($C$118:$C$1016=$B30), --($A$118:$A$1016=$D30), --($B$118:$B$1016="ST_A"), $M$118:$M$1016)), "")</f>
        <v>-4.8977916214885293E-2</v>
      </c>
      <c r="J75" s="166">
        <f t="shared" ref="J75:J84" si="7">IF(LEN($G75)&gt;1, (SUMPRODUCT(--($C$118:$C$1016=$B30), --($A$118:$A$1016=$D30), --($B$118:$B$1016="ST_B"), $L$118:$L$1016)), "")</f>
        <v>-0.41342730692348439</v>
      </c>
      <c r="K75" s="165">
        <f t="shared" ref="K75:K84" si="8">IF(LEN($G75)&gt;1, (SUMPRODUCT(--($C$118:$C$1016=$B30), --($A$118:$A$1016=$D30), --($B$118:$B$1016="ST_B"), $M$118:$M$1016)), "")</f>
        <v>-1.3515222450968156E-2</v>
      </c>
      <c r="L75" s="166">
        <f t="shared" ref="L75:L84" si="9">IF(LEN($G75)&gt;1, (SUMPRODUCT(--($C$118:$C$1016=$B30), --($A$118:$A$1016=$D30), --($B$118:$B$1016="ST_C"), $L$118:$L$1016)), "")</f>
        <v>-0.15430683914438958</v>
      </c>
      <c r="M75" s="165">
        <f t="shared" ref="M75:M84" si="10">IF(LEN($G75)&gt;1, (SUMPRODUCT(--($C$118:$C$1016=$B30), --($A$118:$A$1016=$D30), --($B$118:$B$1016="ST_C"), $M$118:$M$1016)), "")</f>
        <v>-4.0619112602850978E-3</v>
      </c>
      <c r="N75" s="166">
        <f t="shared" ref="N75:N84" si="11">IF(LEN($G75)&gt;1, (SUMPRODUCT(--($C$118:$C$1016=$B30), --($A$118:$A$1016=$D30), --($B$118:$B$1016=$B75&amp;"_TOTAL"), $L$118:$L$1016)), "")</f>
        <v>-0.21980882496100662</v>
      </c>
      <c r="O75" s="165">
        <f t="shared" ref="O75:O84" si="12">IF(LEN($G75)&gt;1, (SUMPRODUCT(--($C$118:$C$1016=$B30), --($A$118:$A$1016=$D30), --($B$118:$B$1016=$B75&amp;"_TOTAL"), $M$118:$M$1016)), "")</f>
        <v>-2.0338556179945949E-3</v>
      </c>
      <c r="R75" s="40"/>
      <c r="S75" s="40"/>
      <c r="T75" s="40"/>
      <c r="U75" s="40"/>
      <c r="V75" s="40"/>
    </row>
    <row r="76" spans="2:22" s="163" customFormat="1" ht="14.4" x14ac:dyDescent="0.25">
      <c r="B76" s="163" t="str">
        <f t="shared" si="3"/>
        <v>RPP</v>
      </c>
      <c r="C76" s="164">
        <v>2</v>
      </c>
      <c r="D76" s="276" t="str">
        <f t="shared" si="4"/>
        <v>RESIDENTIAL SERVICE CLASSIFICATION - RPP</v>
      </c>
      <c r="E76" s="277"/>
      <c r="F76" s="277"/>
      <c r="G76" s="167" t="str">
        <f>IF(ISBLANK(G31), "", G31)</f>
        <v>kWh</v>
      </c>
      <c r="H76" s="166">
        <f t="shared" si="5"/>
        <v>0.54365679344194362</v>
      </c>
      <c r="I76" s="165">
        <f t="shared" si="6"/>
        <v>1.945654741203931E-2</v>
      </c>
      <c r="J76" s="166">
        <f t="shared" si="7"/>
        <v>1.0468528760978835</v>
      </c>
      <c r="K76" s="165">
        <f t="shared" si="8"/>
        <v>3.6719308560896308E-2</v>
      </c>
      <c r="L76" s="166">
        <f t="shared" si="9"/>
        <v>1.1701942187607344</v>
      </c>
      <c r="M76" s="165">
        <f t="shared" si="10"/>
        <v>3.6532591366514156E-2</v>
      </c>
      <c r="N76" s="166">
        <f t="shared" si="11"/>
        <v>1.2011974872216911</v>
      </c>
      <c r="O76" s="165">
        <f t="shared" si="12"/>
        <v>1.8137430198674327E-2</v>
      </c>
      <c r="R76" s="40"/>
      <c r="S76" s="40"/>
      <c r="T76" s="40"/>
      <c r="U76" s="40"/>
      <c r="V76" s="40"/>
    </row>
    <row r="77" spans="2:22" s="163" customFormat="1" ht="14.4" x14ac:dyDescent="0.25">
      <c r="B77" s="163" t="str">
        <f t="shared" si="3"/>
        <v>RPP</v>
      </c>
      <c r="C77" s="164">
        <v>3</v>
      </c>
      <c r="D77" s="276" t="str">
        <f t="shared" si="4"/>
        <v>GENERAL SERVICE LESS THAN 50 kW SERVICE CLASSIFICATION - RPP</v>
      </c>
      <c r="E77" s="277"/>
      <c r="F77" s="277"/>
      <c r="G77" s="167" t="str">
        <f t="shared" ref="G77:G84" si="13">IF(ISBLANK(G31), "", G31)</f>
        <v>kWh</v>
      </c>
      <c r="H77" s="166">
        <f t="shared" si="5"/>
        <v>-9.715397856628492</v>
      </c>
      <c r="I77" s="165">
        <f t="shared" si="6"/>
        <v>-0.1684069657935256</v>
      </c>
      <c r="J77" s="166">
        <f t="shared" si="7"/>
        <v>-7.2264750112706722</v>
      </c>
      <c r="K77" s="165">
        <f t="shared" si="8"/>
        <v>-0.12368814847674149</v>
      </c>
      <c r="L77" s="166">
        <f t="shared" si="9"/>
        <v>-6.5687293345933995</v>
      </c>
      <c r="M77" s="165">
        <f t="shared" si="10"/>
        <v>-8.6366375439034276E-2</v>
      </c>
      <c r="N77" s="166">
        <f t="shared" si="11"/>
        <v>0</v>
      </c>
      <c r="O77" s="165">
        <f t="shared" si="12"/>
        <v>0</v>
      </c>
      <c r="R77" s="40"/>
      <c r="S77" s="40"/>
      <c r="T77" s="40"/>
      <c r="U77" s="40"/>
      <c r="V77" s="40"/>
    </row>
    <row r="78" spans="2:22" s="163" customFormat="1" ht="14.4" x14ac:dyDescent="0.25">
      <c r="B78" s="163" t="str">
        <f t="shared" si="3"/>
        <v>Non-RPP (Other)</v>
      </c>
      <c r="C78" s="164">
        <v>3</v>
      </c>
      <c r="D78" s="276" t="str">
        <f t="shared" si="4"/>
        <v>GENERAL SERVICE 50 TO 999 KW INTERVAL &lt;1000 - Non-RPP (Other)</v>
      </c>
      <c r="E78" s="277"/>
      <c r="F78" s="277"/>
      <c r="G78" s="167" t="str">
        <f t="shared" si="13"/>
        <v>kWh</v>
      </c>
      <c r="H78" s="166">
        <f t="shared" si="5"/>
        <v>34.020509180232807</v>
      </c>
      <c r="I78" s="165">
        <f t="shared" si="6"/>
        <v>0.10223676134965172</v>
      </c>
      <c r="J78" s="166">
        <f t="shared" si="7"/>
        <v>-154.83572503013107</v>
      </c>
      <c r="K78" s="165">
        <f t="shared" si="8"/>
        <v>-0.30269148600252804</v>
      </c>
      <c r="L78" s="166">
        <f t="shared" si="9"/>
        <v>-51.724620948887036</v>
      </c>
      <c r="M78" s="165">
        <f t="shared" si="10"/>
        <v>-7.0705533205301124E-2</v>
      </c>
      <c r="N78" s="166">
        <f t="shared" si="11"/>
        <v>-111.93634306147032</v>
      </c>
      <c r="O78" s="165">
        <f t="shared" si="12"/>
        <v>-2.8205426045197036E-2</v>
      </c>
      <c r="R78" s="40"/>
      <c r="S78" s="40"/>
      <c r="T78" s="40"/>
      <c r="U78" s="40"/>
      <c r="V78" s="40"/>
    </row>
    <row r="79" spans="2:22" s="163" customFormat="1" ht="14.4" x14ac:dyDescent="0.25">
      <c r="B79" s="163" t="str">
        <f t="shared" si="3"/>
        <v>Non-RPP (Other)</v>
      </c>
      <c r="C79" s="164">
        <v>4</v>
      </c>
      <c r="D79" s="276" t="str">
        <f t="shared" si="4"/>
        <v>GENERAL SERVICE 50 TO 999 KW SERVICE CLASSIFICATION - Non-RPP (Other)</v>
      </c>
      <c r="E79" s="277"/>
      <c r="F79" s="277"/>
      <c r="G79" s="167" t="str">
        <f t="shared" si="13"/>
        <v>kW</v>
      </c>
      <c r="H79" s="166">
        <f t="shared" si="5"/>
        <v>34.020509180232807</v>
      </c>
      <c r="I79" s="165">
        <f t="shared" si="6"/>
        <v>0.10223676134965172</v>
      </c>
      <c r="J79" s="166">
        <f t="shared" si="7"/>
        <v>-154.83572503013107</v>
      </c>
      <c r="K79" s="165">
        <f t="shared" si="8"/>
        <v>-0.30269148600252804</v>
      </c>
      <c r="L79" s="166">
        <f t="shared" si="9"/>
        <v>-38.608253807545339</v>
      </c>
      <c r="M79" s="165">
        <f t="shared" si="10"/>
        <v>-5.3923209194307521E-2</v>
      </c>
      <c r="N79" s="166">
        <f t="shared" si="11"/>
        <v>-97.114848191753481</v>
      </c>
      <c r="O79" s="165">
        <f t="shared" si="12"/>
        <v>-2.4579672094821807E-2</v>
      </c>
      <c r="R79" s="40"/>
      <c r="S79" s="40"/>
      <c r="T79" s="40"/>
      <c r="U79" s="40"/>
      <c r="V79" s="40"/>
    </row>
    <row r="80" spans="2:22" s="163" customFormat="1" ht="14.4" x14ac:dyDescent="0.25">
      <c r="B80" s="163" t="str">
        <f t="shared" si="3"/>
        <v>Non-RPP (Other)</v>
      </c>
      <c r="C80" s="164">
        <v>5</v>
      </c>
      <c r="D80" s="276" t="str">
        <f t="shared" si="4"/>
        <v>GENERAL SERVICE 1,000 TO 4,999 KW SERVICE CLASSIFICATION - Non-RPP (Other)</v>
      </c>
      <c r="E80" s="277"/>
      <c r="F80" s="277"/>
      <c r="G80" s="167" t="str">
        <f t="shared" si="13"/>
        <v>kW</v>
      </c>
      <c r="H80" s="166">
        <f t="shared" si="5"/>
        <v>594.3467264282026</v>
      </c>
      <c r="I80" s="165">
        <f t="shared" si="6"/>
        <v>7.4700646076256122E-2</v>
      </c>
      <c r="J80" s="166">
        <f t="shared" si="7"/>
        <v>-7935.7265912082985</v>
      </c>
      <c r="K80" s="165">
        <f t="shared" si="8"/>
        <v>-0.50198663851754954</v>
      </c>
      <c r="L80" s="166">
        <f t="shared" si="9"/>
        <v>-6814.5820091866644</v>
      </c>
      <c r="M80" s="165">
        <f t="shared" si="10"/>
        <v>-0.29465607194580529</v>
      </c>
      <c r="N80" s="166">
        <f t="shared" si="11"/>
        <v>-9839.9785259499622</v>
      </c>
      <c r="O80" s="165">
        <f t="shared" si="12"/>
        <v>-6.4821513503902486E-2</v>
      </c>
      <c r="R80" s="40"/>
      <c r="S80" s="40"/>
      <c r="T80" s="40"/>
      <c r="U80" s="40"/>
      <c r="V80" s="40"/>
    </row>
    <row r="81" spans="2:22" s="163" customFormat="1" ht="14.4" x14ac:dyDescent="0.25">
      <c r="B81" s="163" t="str">
        <f t="shared" si="3"/>
        <v>RPP</v>
      </c>
      <c r="C81" s="164">
        <v>6</v>
      </c>
      <c r="D81" s="276" t="str">
        <f t="shared" si="4"/>
        <v>UNMETERED SCATTERED LOAD SERVICE CLASSIFICATION - RPP</v>
      </c>
      <c r="E81" s="277"/>
      <c r="F81" s="277"/>
      <c r="G81" s="167" t="str">
        <f t="shared" si="13"/>
        <v>kW</v>
      </c>
      <c r="H81" s="166">
        <f t="shared" si="5"/>
        <v>2.8193318526191122</v>
      </c>
      <c r="I81" s="165">
        <f t="shared" si="6"/>
        <v>0.64515603034762292</v>
      </c>
      <c r="J81" s="166">
        <f t="shared" si="7"/>
        <v>2.936199025883556</v>
      </c>
      <c r="K81" s="165">
        <f t="shared" si="8"/>
        <v>0.66934241699293107</v>
      </c>
      <c r="L81" s="166">
        <f t="shared" si="9"/>
        <v>2.9764104999858008</v>
      </c>
      <c r="M81" s="165">
        <f t="shared" si="10"/>
        <v>0.56496902589422104</v>
      </c>
      <c r="N81" s="166">
        <f t="shared" si="11"/>
        <v>0</v>
      </c>
      <c r="O81" s="165">
        <f t="shared" si="12"/>
        <v>0</v>
      </c>
      <c r="R81" s="40"/>
      <c r="S81" s="40"/>
      <c r="T81" s="40"/>
      <c r="U81" s="40"/>
      <c r="V81" s="40"/>
    </row>
    <row r="82" spans="2:22" s="163" customFormat="1" ht="14.4" x14ac:dyDescent="0.25">
      <c r="B82" s="163" t="str">
        <f t="shared" si="3"/>
        <v>Non-RPP (Other)</v>
      </c>
      <c r="C82" s="164">
        <v>7</v>
      </c>
      <c r="D82" s="276" t="str">
        <f t="shared" si="4"/>
        <v>STREET LIGHTING SERVICE CLASSIFICATION - Non-RPP (Other)</v>
      </c>
      <c r="E82" s="277"/>
      <c r="F82" s="277"/>
      <c r="G82" s="167" t="str">
        <f t="shared" si="13"/>
        <v>kWh</v>
      </c>
      <c r="H82" s="166">
        <f t="shared" si="5"/>
        <v>-2626.9456650874381</v>
      </c>
      <c r="I82" s="165">
        <f t="shared" si="6"/>
        <v>-0.21231053378861009</v>
      </c>
      <c r="J82" s="166">
        <f t="shared" si="7"/>
        <v>-10764.220631611837</v>
      </c>
      <c r="K82" s="165">
        <f t="shared" si="8"/>
        <v>-0.52081078225738942</v>
      </c>
      <c r="L82" s="166">
        <f t="shared" si="9"/>
        <v>-10724.722160882329</v>
      </c>
      <c r="M82" s="165">
        <f t="shared" si="10"/>
        <v>-0.50769253445753293</v>
      </c>
      <c r="N82" s="166">
        <f t="shared" si="11"/>
        <v>-13723.561683473847</v>
      </c>
      <c r="O82" s="165">
        <f t="shared" si="12"/>
        <v>-0.11618204062145994</v>
      </c>
      <c r="R82" s="40"/>
      <c r="S82" s="40"/>
      <c r="T82" s="40"/>
      <c r="U82" s="40"/>
      <c r="V82" s="40"/>
    </row>
    <row r="83" spans="2:22" s="163" customFormat="1" ht="14.4" x14ac:dyDescent="0.25">
      <c r="B83" s="163" t="str">
        <f t="shared" si="3"/>
        <v>Non-RPP (Other)</v>
      </c>
      <c r="C83" s="164">
        <v>8</v>
      </c>
      <c r="D83" s="276" t="str">
        <f t="shared" si="4"/>
        <v>SENTINEL LIGHTING - Non-RPP (Other)</v>
      </c>
      <c r="E83" s="277"/>
      <c r="F83" s="277"/>
      <c r="G83" s="167" t="str">
        <f t="shared" si="13"/>
        <v>kW</v>
      </c>
      <c r="H83" s="166">
        <f t="shared" si="5"/>
        <v>525.48426852801549</v>
      </c>
      <c r="I83" s="165">
        <f t="shared" si="6"/>
        <v>0.42816243358029432</v>
      </c>
      <c r="J83" s="166">
        <f t="shared" si="7"/>
        <v>353.08338259976881</v>
      </c>
      <c r="K83" s="165">
        <f t="shared" si="8"/>
        <v>0.25398795144132452</v>
      </c>
      <c r="L83" s="166">
        <f t="shared" si="9"/>
        <v>413.73688259976893</v>
      </c>
      <c r="M83" s="165">
        <f t="shared" si="10"/>
        <v>0.29444422014164012</v>
      </c>
      <c r="N83" s="166">
        <f t="shared" si="11"/>
        <v>449.22516334600596</v>
      </c>
      <c r="O83" s="165">
        <f t="shared" si="12"/>
        <v>0.16713413130651134</v>
      </c>
      <c r="R83" s="40"/>
      <c r="S83" s="40"/>
      <c r="T83" s="40"/>
      <c r="U83" s="40"/>
      <c r="V83" s="40"/>
    </row>
    <row r="84" spans="2:22" s="163" customFormat="1" ht="14.4" x14ac:dyDescent="0.25">
      <c r="B84" s="163" t="str">
        <f t="shared" si="3"/>
        <v>Non-RPP (Other)</v>
      </c>
      <c r="C84" s="164">
        <v>9</v>
      </c>
      <c r="D84" s="276" t="str">
        <f t="shared" si="4"/>
        <v>EMBEDDED DISTRIBUTOR - BPI - Non-RPP (Other)</v>
      </c>
      <c r="E84" s="277"/>
      <c r="F84" s="277"/>
      <c r="G84" s="167" t="str">
        <f t="shared" si="13"/>
        <v>kW</v>
      </c>
      <c r="H84" s="166">
        <f t="shared" si="5"/>
        <v>115.75442448211737</v>
      </c>
      <c r="I84" s="165">
        <f t="shared" si="6"/>
        <v>0.56998887878298043</v>
      </c>
      <c r="J84" s="166">
        <f t="shared" si="7"/>
        <v>-539.8740651151586</v>
      </c>
      <c r="K84" s="165">
        <f t="shared" si="8"/>
        <v>-0.62360744254504041</v>
      </c>
      <c r="L84" s="166">
        <f t="shared" si="9"/>
        <v>-539.32596511515862</v>
      </c>
      <c r="M84" s="165">
        <f t="shared" si="10"/>
        <v>-0.55916020255723287</v>
      </c>
      <c r="N84" s="166">
        <f t="shared" si="11"/>
        <v>-741.78442152052321</v>
      </c>
      <c r="O84" s="165">
        <f t="shared" si="12"/>
        <v>-8.3630641533175828E-2</v>
      </c>
      <c r="R84" s="40"/>
      <c r="S84" s="40"/>
      <c r="T84" s="40"/>
      <c r="U84" s="40"/>
      <c r="V84" s="40"/>
    </row>
    <row r="85" spans="2:22" s="163" customFormat="1" ht="14.4" x14ac:dyDescent="0.25">
      <c r="B85" s="163" t="str">
        <f t="shared" si="3"/>
        <v>Non-RPP (Other)</v>
      </c>
      <c r="C85" s="164">
        <v>10</v>
      </c>
      <c r="D85" s="276"/>
      <c r="E85" s="277"/>
      <c r="F85" s="277"/>
      <c r="G85" s="167"/>
      <c r="H85" s="166"/>
      <c r="I85" s="165"/>
      <c r="J85" s="166"/>
      <c r="K85" s="165"/>
      <c r="L85" s="166"/>
      <c r="M85" s="165"/>
      <c r="N85" s="166"/>
      <c r="O85" s="165"/>
      <c r="R85" s="40"/>
      <c r="S85" s="40"/>
      <c r="T85" s="40"/>
      <c r="U85" s="40"/>
      <c r="V85" s="40"/>
    </row>
    <row r="86" spans="2:22" s="163" customFormat="1" ht="14.4" x14ac:dyDescent="0.25">
      <c r="B86" s="163" t="str">
        <f t="shared" si="3"/>
        <v>Non-RPP (Other)</v>
      </c>
      <c r="C86" s="164">
        <v>11</v>
      </c>
      <c r="D86" s="276" t="str">
        <f t="shared" ref="D86:D114" si="14">IF(ISBLANK(D41), "", IF(D41 = "Add additional scenarios if required", "", IF(M41="YES", D41 &amp; " - " &amp; H41 &amp; " - Interval Customers", D41 &amp; " - " &amp;H41)))</f>
        <v>EMBEDDED DISTRIBUTOR - HONI #2 - Non-RPP (Other)</v>
      </c>
      <c r="E86" s="277"/>
      <c r="F86" s="277"/>
      <c r="G86" s="167" t="str">
        <f t="shared" ref="G86:G115" si="15">IF(ISBLANK(G40), "", G40)</f>
        <v>kW</v>
      </c>
      <c r="H86" s="166">
        <f t="shared" ref="H86:H114" si="16">IF(LEN($G86)&gt;1, (SUMPRODUCT(--($C$118:$C$1016=$B41), --($A$118:$A$1016=$D41), --($B$118:$B$1016="ST_A"), $L$118:$L$1016)), "")</f>
        <v>0</v>
      </c>
      <c r="I86" s="165">
        <f t="shared" ref="I86:I114" si="17">IF(LEN($G86)&gt;1, (SUMPRODUCT(--($C$118:$C$1016=$B41), --($A$118:$A$1016=$D41), --($B$118:$B$1016="ST_A"), $M$118:$M$1016)), "")</f>
        <v>0</v>
      </c>
      <c r="J86" s="166">
        <f t="shared" ref="J86:J114" si="18">IF(LEN($G86)&gt;1, (SUMPRODUCT(--($C$118:$C$1016=$B41), --($A$118:$A$1016=$D41), --($B$118:$B$1016="ST_B"), $L$118:$L$1016)), "")</f>
        <v>0</v>
      </c>
      <c r="K86" s="165">
        <f t="shared" ref="K86:K114" si="19">IF(LEN($G86)&gt;1, (SUMPRODUCT(--($C$118:$C$1016=$B41), --($A$118:$A$1016=$D41), --($B$118:$B$1016="ST_B"), $M$118:$M$1016)), "")</f>
        <v>0</v>
      </c>
      <c r="L86" s="166">
        <f t="shared" ref="L86:L114" si="20">IF(LEN($G86)&gt;1, (SUMPRODUCT(--($C$118:$C$1016=$B41), --($A$118:$A$1016=$D41), --($B$118:$B$1016="ST_C"), $L$118:$L$1016)), "")</f>
        <v>0</v>
      </c>
      <c r="M86" s="165">
        <f t="shared" ref="M86:M114" si="21">IF(LEN($G86)&gt;1, (SUMPRODUCT(--($C$118:$C$1016=$B41), --($A$118:$A$1016=$D41), --($B$118:$B$1016="ST_C"), $M$118:$M$1016)), "")</f>
        <v>0</v>
      </c>
      <c r="N86" s="166">
        <f t="shared" ref="N86:N114" si="22">IF(LEN($G86)&gt;1, (SUMPRODUCT(--($C$118:$C$1016=$B41), --($A$118:$A$1016=$D41), --($B$118:$B$1016=$B86&amp;"_TOTAL"), $L$118:$L$1016)), "")</f>
        <v>0</v>
      </c>
      <c r="O86" s="165">
        <f t="shared" ref="O86:O114" si="23">IF(LEN($G86)&gt;1, (SUMPRODUCT(--($C$118:$C$1016=$B41), --($A$118:$A$1016=$D41), --($B$118:$B$1016=$B86&amp;"_TOTAL"), $M$118:$M$1016)), "")</f>
        <v>0</v>
      </c>
      <c r="R86" s="40"/>
      <c r="S86" s="40"/>
      <c r="T86" s="40"/>
      <c r="U86" s="40"/>
      <c r="V86" s="40"/>
    </row>
    <row r="87" spans="2:22" s="163" customFormat="1" ht="14.4" x14ac:dyDescent="0.25">
      <c r="B87" s="163">
        <f t="shared" si="3"/>
        <v>0</v>
      </c>
      <c r="C87" s="164">
        <v>12</v>
      </c>
      <c r="D87" s="276" t="str">
        <f t="shared" si="14"/>
        <v/>
      </c>
      <c r="E87" s="277"/>
      <c r="F87" s="277"/>
      <c r="G87" s="167" t="str">
        <f t="shared" si="15"/>
        <v>kW</v>
      </c>
      <c r="H87" s="166">
        <f t="shared" si="16"/>
        <v>0</v>
      </c>
      <c r="I87" s="165">
        <f t="shared" si="17"/>
        <v>0</v>
      </c>
      <c r="J87" s="166">
        <f t="shared" si="18"/>
        <v>0</v>
      </c>
      <c r="K87" s="165">
        <f t="shared" si="19"/>
        <v>0</v>
      </c>
      <c r="L87" s="166">
        <f t="shared" si="20"/>
        <v>0</v>
      </c>
      <c r="M87" s="165">
        <f t="shared" si="21"/>
        <v>0</v>
      </c>
      <c r="N87" s="166">
        <f t="shared" si="22"/>
        <v>0</v>
      </c>
      <c r="O87" s="165">
        <f t="shared" si="23"/>
        <v>0</v>
      </c>
      <c r="R87" s="40"/>
      <c r="S87" s="40"/>
      <c r="T87" s="40"/>
      <c r="U87" s="40"/>
      <c r="V87" s="40"/>
    </row>
    <row r="88" spans="2:22" s="163" customFormat="1" ht="14.4" x14ac:dyDescent="0.25">
      <c r="B88" s="163">
        <f t="shared" si="3"/>
        <v>0</v>
      </c>
      <c r="C88" s="164">
        <v>13</v>
      </c>
      <c r="D88" s="276" t="str">
        <f t="shared" si="14"/>
        <v/>
      </c>
      <c r="E88" s="277"/>
      <c r="F88" s="277"/>
      <c r="G88" s="167" t="str">
        <f t="shared" si="15"/>
        <v/>
      </c>
      <c r="H88" s="166" t="str">
        <f t="shared" si="16"/>
        <v/>
      </c>
      <c r="I88" s="165" t="str">
        <f t="shared" si="17"/>
        <v/>
      </c>
      <c r="J88" s="166" t="str">
        <f t="shared" si="18"/>
        <v/>
      </c>
      <c r="K88" s="165" t="str">
        <f t="shared" si="19"/>
        <v/>
      </c>
      <c r="L88" s="166" t="str">
        <f t="shared" si="20"/>
        <v/>
      </c>
      <c r="M88" s="165" t="str">
        <f t="shared" si="21"/>
        <v/>
      </c>
      <c r="N88" s="166" t="str">
        <f t="shared" si="22"/>
        <v/>
      </c>
      <c r="O88" s="165" t="str">
        <f t="shared" si="23"/>
        <v/>
      </c>
      <c r="R88" s="40"/>
      <c r="S88" s="40"/>
      <c r="T88" s="40"/>
      <c r="U88" s="40"/>
      <c r="V88" s="40"/>
    </row>
    <row r="89" spans="2:22" s="163" customFormat="1" ht="14.4" x14ac:dyDescent="0.25">
      <c r="B89" s="163">
        <f t="shared" si="3"/>
        <v>0</v>
      </c>
      <c r="C89" s="164">
        <v>14</v>
      </c>
      <c r="D89" s="276" t="str">
        <f t="shared" si="14"/>
        <v/>
      </c>
      <c r="E89" s="277"/>
      <c r="F89" s="277"/>
      <c r="G89" s="167" t="str">
        <f t="shared" si="15"/>
        <v/>
      </c>
      <c r="H89" s="166" t="str">
        <f t="shared" si="16"/>
        <v/>
      </c>
      <c r="I89" s="165" t="str">
        <f t="shared" si="17"/>
        <v/>
      </c>
      <c r="J89" s="166" t="str">
        <f t="shared" si="18"/>
        <v/>
      </c>
      <c r="K89" s="165" t="str">
        <f t="shared" si="19"/>
        <v/>
      </c>
      <c r="L89" s="166" t="str">
        <f t="shared" si="20"/>
        <v/>
      </c>
      <c r="M89" s="165" t="str">
        <f t="shared" si="21"/>
        <v/>
      </c>
      <c r="N89" s="166" t="str">
        <f t="shared" si="22"/>
        <v/>
      </c>
      <c r="O89" s="165" t="str">
        <f t="shared" si="23"/>
        <v/>
      </c>
      <c r="R89" s="40"/>
      <c r="S89" s="40"/>
      <c r="T89" s="40"/>
      <c r="U89" s="40"/>
      <c r="V89" s="40"/>
    </row>
    <row r="90" spans="2:22" s="163" customFormat="1" ht="14.4" x14ac:dyDescent="0.25">
      <c r="B90" s="163">
        <f t="shared" si="3"/>
        <v>0</v>
      </c>
      <c r="C90" s="164">
        <v>15</v>
      </c>
      <c r="D90" s="276" t="str">
        <f t="shared" si="14"/>
        <v/>
      </c>
      <c r="E90" s="277"/>
      <c r="F90" s="277"/>
      <c r="G90" s="167" t="str">
        <f t="shared" si="15"/>
        <v/>
      </c>
      <c r="H90" s="166" t="str">
        <f t="shared" si="16"/>
        <v/>
      </c>
      <c r="I90" s="165" t="str">
        <f t="shared" si="17"/>
        <v/>
      </c>
      <c r="J90" s="166" t="str">
        <f t="shared" si="18"/>
        <v/>
      </c>
      <c r="K90" s="165" t="str">
        <f t="shared" si="19"/>
        <v/>
      </c>
      <c r="L90" s="166" t="str">
        <f t="shared" si="20"/>
        <v/>
      </c>
      <c r="M90" s="165" t="str">
        <f t="shared" si="21"/>
        <v/>
      </c>
      <c r="N90" s="166" t="str">
        <f t="shared" si="22"/>
        <v/>
      </c>
      <c r="O90" s="165" t="str">
        <f t="shared" si="23"/>
        <v/>
      </c>
      <c r="R90" s="40"/>
      <c r="S90" s="40"/>
      <c r="T90" s="40"/>
      <c r="U90" s="40"/>
      <c r="V90" s="40"/>
    </row>
    <row r="91" spans="2:22" s="163" customFormat="1" ht="14.4" x14ac:dyDescent="0.25">
      <c r="B91" s="163">
        <f t="shared" si="3"/>
        <v>0</v>
      </c>
      <c r="C91" s="164">
        <v>16</v>
      </c>
      <c r="D91" s="276" t="str">
        <f t="shared" si="14"/>
        <v/>
      </c>
      <c r="E91" s="277"/>
      <c r="F91" s="277"/>
      <c r="G91" s="167" t="str">
        <f t="shared" si="15"/>
        <v/>
      </c>
      <c r="H91" s="166" t="str">
        <f t="shared" si="16"/>
        <v/>
      </c>
      <c r="I91" s="165" t="str">
        <f t="shared" si="17"/>
        <v/>
      </c>
      <c r="J91" s="166" t="str">
        <f t="shared" si="18"/>
        <v/>
      </c>
      <c r="K91" s="165" t="str">
        <f t="shared" si="19"/>
        <v/>
      </c>
      <c r="L91" s="166" t="str">
        <f t="shared" si="20"/>
        <v/>
      </c>
      <c r="M91" s="165" t="str">
        <f t="shared" si="21"/>
        <v/>
      </c>
      <c r="N91" s="166" t="str">
        <f t="shared" si="22"/>
        <v/>
      </c>
      <c r="O91" s="165" t="str">
        <f t="shared" si="23"/>
        <v/>
      </c>
      <c r="R91" s="40"/>
      <c r="S91" s="40"/>
      <c r="T91" s="40"/>
      <c r="U91" s="40"/>
      <c r="V91" s="40"/>
    </row>
    <row r="92" spans="2:22" s="163" customFormat="1" ht="14.4" x14ac:dyDescent="0.25">
      <c r="B92" s="163">
        <f t="shared" si="3"/>
        <v>0</v>
      </c>
      <c r="C92" s="164">
        <v>17</v>
      </c>
      <c r="D92" s="276" t="str">
        <f t="shared" si="14"/>
        <v/>
      </c>
      <c r="E92" s="277"/>
      <c r="F92" s="277"/>
      <c r="G92" s="167" t="str">
        <f t="shared" si="15"/>
        <v/>
      </c>
      <c r="H92" s="166" t="str">
        <f t="shared" si="16"/>
        <v/>
      </c>
      <c r="I92" s="165" t="str">
        <f t="shared" si="17"/>
        <v/>
      </c>
      <c r="J92" s="166" t="str">
        <f t="shared" si="18"/>
        <v/>
      </c>
      <c r="K92" s="165" t="str">
        <f t="shared" si="19"/>
        <v/>
      </c>
      <c r="L92" s="166" t="str">
        <f t="shared" si="20"/>
        <v/>
      </c>
      <c r="M92" s="165" t="str">
        <f t="shared" si="21"/>
        <v/>
      </c>
      <c r="N92" s="166" t="str">
        <f t="shared" si="22"/>
        <v/>
      </c>
      <c r="O92" s="165" t="str">
        <f t="shared" si="23"/>
        <v/>
      </c>
      <c r="R92" s="40"/>
      <c r="S92" s="40"/>
      <c r="T92" s="40"/>
      <c r="U92" s="40"/>
      <c r="V92" s="40"/>
    </row>
    <row r="93" spans="2:22" s="163" customFormat="1" ht="14.4" x14ac:dyDescent="0.25">
      <c r="B93" s="163">
        <f t="shared" si="3"/>
        <v>0</v>
      </c>
      <c r="C93" s="164">
        <v>18</v>
      </c>
      <c r="D93" s="276" t="str">
        <f t="shared" si="14"/>
        <v/>
      </c>
      <c r="E93" s="277"/>
      <c r="F93" s="277"/>
      <c r="G93" s="167" t="str">
        <f t="shared" si="15"/>
        <v/>
      </c>
      <c r="H93" s="166" t="str">
        <f t="shared" si="16"/>
        <v/>
      </c>
      <c r="I93" s="165" t="str">
        <f t="shared" si="17"/>
        <v/>
      </c>
      <c r="J93" s="166" t="str">
        <f t="shared" si="18"/>
        <v/>
      </c>
      <c r="K93" s="165" t="str">
        <f t="shared" si="19"/>
        <v/>
      </c>
      <c r="L93" s="166" t="str">
        <f t="shared" si="20"/>
        <v/>
      </c>
      <c r="M93" s="165" t="str">
        <f t="shared" si="21"/>
        <v/>
      </c>
      <c r="N93" s="166" t="str">
        <f t="shared" si="22"/>
        <v/>
      </c>
      <c r="O93" s="165" t="str">
        <f t="shared" si="23"/>
        <v/>
      </c>
      <c r="R93" s="40"/>
      <c r="S93" s="40"/>
      <c r="T93" s="40"/>
      <c r="U93" s="40"/>
      <c r="V93" s="40"/>
    </row>
    <row r="94" spans="2:22" s="163" customFormat="1" ht="14.4" x14ac:dyDescent="0.25">
      <c r="B94" s="163">
        <f t="shared" si="3"/>
        <v>0</v>
      </c>
      <c r="C94" s="164">
        <v>19</v>
      </c>
      <c r="D94" s="276" t="str">
        <f t="shared" si="14"/>
        <v/>
      </c>
      <c r="E94" s="277"/>
      <c r="F94" s="277"/>
      <c r="G94" s="167" t="str">
        <f t="shared" si="15"/>
        <v/>
      </c>
      <c r="H94" s="166" t="str">
        <f t="shared" si="16"/>
        <v/>
      </c>
      <c r="I94" s="165" t="str">
        <f t="shared" si="17"/>
        <v/>
      </c>
      <c r="J94" s="166" t="str">
        <f t="shared" si="18"/>
        <v/>
      </c>
      <c r="K94" s="165" t="str">
        <f t="shared" si="19"/>
        <v/>
      </c>
      <c r="L94" s="166" t="str">
        <f t="shared" si="20"/>
        <v/>
      </c>
      <c r="M94" s="165" t="str">
        <f t="shared" si="21"/>
        <v/>
      </c>
      <c r="N94" s="166" t="str">
        <f t="shared" si="22"/>
        <v/>
      </c>
      <c r="O94" s="165" t="str">
        <f t="shared" si="23"/>
        <v/>
      </c>
      <c r="R94" s="40"/>
      <c r="S94" s="40"/>
      <c r="T94" s="40"/>
      <c r="U94" s="40"/>
      <c r="V94" s="40"/>
    </row>
    <row r="95" spans="2:22" s="163" customFormat="1" ht="14.4" x14ac:dyDescent="0.25">
      <c r="B95" s="163">
        <f t="shared" si="3"/>
        <v>0</v>
      </c>
      <c r="C95" s="164">
        <v>20</v>
      </c>
      <c r="D95" s="276" t="str">
        <f t="shared" si="14"/>
        <v/>
      </c>
      <c r="E95" s="277"/>
      <c r="F95" s="277"/>
      <c r="G95" s="167" t="str">
        <f t="shared" si="15"/>
        <v/>
      </c>
      <c r="H95" s="166" t="str">
        <f t="shared" si="16"/>
        <v/>
      </c>
      <c r="I95" s="165" t="str">
        <f t="shared" si="17"/>
        <v/>
      </c>
      <c r="J95" s="166" t="str">
        <f t="shared" si="18"/>
        <v/>
      </c>
      <c r="K95" s="165" t="str">
        <f t="shared" si="19"/>
        <v/>
      </c>
      <c r="L95" s="166" t="str">
        <f t="shared" si="20"/>
        <v/>
      </c>
      <c r="M95" s="165" t="str">
        <f t="shared" si="21"/>
        <v/>
      </c>
      <c r="N95" s="166" t="str">
        <f t="shared" si="22"/>
        <v/>
      </c>
      <c r="O95" s="165" t="str">
        <f t="shared" si="23"/>
        <v/>
      </c>
      <c r="R95" s="40"/>
      <c r="S95" s="40"/>
      <c r="T95" s="40"/>
      <c r="U95" s="40"/>
      <c r="V95" s="40"/>
    </row>
    <row r="96" spans="2:22" s="163" customFormat="1" ht="14.4" x14ac:dyDescent="0.25">
      <c r="B96" s="163">
        <f t="shared" si="3"/>
        <v>0</v>
      </c>
      <c r="C96" s="164">
        <v>21</v>
      </c>
      <c r="D96" s="276" t="str">
        <f t="shared" si="14"/>
        <v/>
      </c>
      <c r="E96" s="277"/>
      <c r="F96" s="277"/>
      <c r="G96" s="167" t="str">
        <f t="shared" si="15"/>
        <v/>
      </c>
      <c r="H96" s="166" t="str">
        <f t="shared" si="16"/>
        <v/>
      </c>
      <c r="I96" s="165" t="str">
        <f t="shared" si="17"/>
        <v/>
      </c>
      <c r="J96" s="166" t="str">
        <f t="shared" si="18"/>
        <v/>
      </c>
      <c r="K96" s="165" t="str">
        <f t="shared" si="19"/>
        <v/>
      </c>
      <c r="L96" s="166" t="str">
        <f t="shared" si="20"/>
        <v/>
      </c>
      <c r="M96" s="165" t="str">
        <f t="shared" si="21"/>
        <v/>
      </c>
      <c r="N96" s="166" t="str">
        <f t="shared" si="22"/>
        <v/>
      </c>
      <c r="O96" s="165" t="str">
        <f t="shared" si="23"/>
        <v/>
      </c>
      <c r="R96" s="40"/>
      <c r="S96" s="40"/>
      <c r="T96" s="40"/>
      <c r="U96" s="40"/>
      <c r="V96" s="40"/>
    </row>
    <row r="97" spans="2:22" s="163" customFormat="1" ht="14.4" x14ac:dyDescent="0.25">
      <c r="B97" s="163">
        <f t="shared" si="3"/>
        <v>0</v>
      </c>
      <c r="C97" s="164">
        <v>22</v>
      </c>
      <c r="D97" s="276" t="str">
        <f t="shared" si="14"/>
        <v/>
      </c>
      <c r="E97" s="277"/>
      <c r="F97" s="277"/>
      <c r="G97" s="167" t="str">
        <f t="shared" si="15"/>
        <v/>
      </c>
      <c r="H97" s="166" t="str">
        <f t="shared" si="16"/>
        <v/>
      </c>
      <c r="I97" s="165" t="str">
        <f t="shared" si="17"/>
        <v/>
      </c>
      <c r="J97" s="166" t="str">
        <f t="shared" si="18"/>
        <v/>
      </c>
      <c r="K97" s="165" t="str">
        <f t="shared" si="19"/>
        <v/>
      </c>
      <c r="L97" s="166" t="str">
        <f t="shared" si="20"/>
        <v/>
      </c>
      <c r="M97" s="165" t="str">
        <f t="shared" si="21"/>
        <v/>
      </c>
      <c r="N97" s="166" t="str">
        <f t="shared" si="22"/>
        <v/>
      </c>
      <c r="O97" s="165" t="str">
        <f t="shared" si="23"/>
        <v/>
      </c>
      <c r="R97" s="40"/>
      <c r="S97" s="40"/>
      <c r="T97" s="40"/>
      <c r="U97" s="40"/>
      <c r="V97" s="40"/>
    </row>
    <row r="98" spans="2:22" s="163" customFormat="1" ht="14.4" x14ac:dyDescent="0.25">
      <c r="B98" s="163">
        <f t="shared" si="3"/>
        <v>0</v>
      </c>
      <c r="C98" s="164">
        <v>23</v>
      </c>
      <c r="D98" s="276" t="str">
        <f t="shared" si="14"/>
        <v/>
      </c>
      <c r="E98" s="277"/>
      <c r="F98" s="277"/>
      <c r="G98" s="167" t="str">
        <f t="shared" si="15"/>
        <v/>
      </c>
      <c r="H98" s="166" t="str">
        <f t="shared" si="16"/>
        <v/>
      </c>
      <c r="I98" s="165" t="str">
        <f t="shared" si="17"/>
        <v/>
      </c>
      <c r="J98" s="166" t="str">
        <f t="shared" si="18"/>
        <v/>
      </c>
      <c r="K98" s="165" t="str">
        <f t="shared" si="19"/>
        <v/>
      </c>
      <c r="L98" s="166" t="str">
        <f t="shared" si="20"/>
        <v/>
      </c>
      <c r="M98" s="165" t="str">
        <f t="shared" si="21"/>
        <v/>
      </c>
      <c r="N98" s="166" t="str">
        <f t="shared" si="22"/>
        <v/>
      </c>
      <c r="O98" s="165" t="str">
        <f t="shared" si="23"/>
        <v/>
      </c>
      <c r="R98" s="40"/>
      <c r="S98" s="40"/>
      <c r="T98" s="40"/>
      <c r="U98" s="40"/>
      <c r="V98" s="40"/>
    </row>
    <row r="99" spans="2:22" s="163" customFormat="1" ht="14.4" x14ac:dyDescent="0.25">
      <c r="B99" s="163">
        <f t="shared" si="3"/>
        <v>0</v>
      </c>
      <c r="C99" s="164">
        <v>24</v>
      </c>
      <c r="D99" s="276" t="str">
        <f t="shared" si="14"/>
        <v/>
      </c>
      <c r="E99" s="277"/>
      <c r="F99" s="277"/>
      <c r="G99" s="167" t="str">
        <f t="shared" si="15"/>
        <v/>
      </c>
      <c r="H99" s="166" t="str">
        <f t="shared" si="16"/>
        <v/>
      </c>
      <c r="I99" s="165" t="str">
        <f t="shared" si="17"/>
        <v/>
      </c>
      <c r="J99" s="166" t="str">
        <f t="shared" si="18"/>
        <v/>
      </c>
      <c r="K99" s="165" t="str">
        <f t="shared" si="19"/>
        <v/>
      </c>
      <c r="L99" s="166" t="str">
        <f t="shared" si="20"/>
        <v/>
      </c>
      <c r="M99" s="165" t="str">
        <f t="shared" si="21"/>
        <v/>
      </c>
      <c r="N99" s="166" t="str">
        <f t="shared" si="22"/>
        <v/>
      </c>
      <c r="O99" s="165" t="str">
        <f t="shared" si="23"/>
        <v/>
      </c>
      <c r="R99" s="40"/>
      <c r="S99" s="40"/>
      <c r="T99" s="40"/>
      <c r="U99" s="40"/>
      <c r="V99" s="40"/>
    </row>
    <row r="100" spans="2:22" s="163" customFormat="1" ht="14.4" x14ac:dyDescent="0.25">
      <c r="B100" s="163">
        <f t="shared" si="3"/>
        <v>0</v>
      </c>
      <c r="C100" s="164">
        <v>25</v>
      </c>
      <c r="D100" s="276" t="str">
        <f t="shared" si="14"/>
        <v/>
      </c>
      <c r="E100" s="277"/>
      <c r="F100" s="277"/>
      <c r="G100" s="167" t="str">
        <f t="shared" si="15"/>
        <v/>
      </c>
      <c r="H100" s="166" t="str">
        <f t="shared" si="16"/>
        <v/>
      </c>
      <c r="I100" s="165" t="str">
        <f t="shared" si="17"/>
        <v/>
      </c>
      <c r="J100" s="166" t="str">
        <f t="shared" si="18"/>
        <v/>
      </c>
      <c r="K100" s="165" t="str">
        <f t="shared" si="19"/>
        <v/>
      </c>
      <c r="L100" s="166" t="str">
        <f t="shared" si="20"/>
        <v/>
      </c>
      <c r="M100" s="165" t="str">
        <f t="shared" si="21"/>
        <v/>
      </c>
      <c r="N100" s="166" t="str">
        <f t="shared" si="22"/>
        <v/>
      </c>
      <c r="O100" s="165" t="str">
        <f t="shared" si="23"/>
        <v/>
      </c>
      <c r="R100" s="40"/>
      <c r="S100" s="40"/>
      <c r="T100" s="40"/>
      <c r="U100" s="40"/>
      <c r="V100" s="40"/>
    </row>
    <row r="101" spans="2:22" s="163" customFormat="1" ht="14.4" x14ac:dyDescent="0.25">
      <c r="B101" s="163">
        <f t="shared" si="3"/>
        <v>0</v>
      </c>
      <c r="C101" s="164">
        <v>26</v>
      </c>
      <c r="D101" s="276" t="str">
        <f t="shared" si="14"/>
        <v/>
      </c>
      <c r="E101" s="277"/>
      <c r="F101" s="277"/>
      <c r="G101" s="167" t="str">
        <f t="shared" si="15"/>
        <v/>
      </c>
      <c r="H101" s="166" t="str">
        <f t="shared" si="16"/>
        <v/>
      </c>
      <c r="I101" s="165" t="str">
        <f t="shared" si="17"/>
        <v/>
      </c>
      <c r="J101" s="166" t="str">
        <f t="shared" si="18"/>
        <v/>
      </c>
      <c r="K101" s="165" t="str">
        <f t="shared" si="19"/>
        <v/>
      </c>
      <c r="L101" s="166" t="str">
        <f t="shared" si="20"/>
        <v/>
      </c>
      <c r="M101" s="165" t="str">
        <f t="shared" si="21"/>
        <v/>
      </c>
      <c r="N101" s="166" t="str">
        <f t="shared" si="22"/>
        <v/>
      </c>
      <c r="O101" s="165" t="str">
        <f t="shared" si="23"/>
        <v/>
      </c>
      <c r="R101" s="40"/>
      <c r="S101" s="40"/>
      <c r="T101" s="40"/>
      <c r="U101" s="40"/>
      <c r="V101" s="40"/>
    </row>
    <row r="102" spans="2:22" s="163" customFormat="1" ht="14.4" x14ac:dyDescent="0.25">
      <c r="B102" s="163">
        <f t="shared" si="3"/>
        <v>0</v>
      </c>
      <c r="C102" s="164">
        <v>27</v>
      </c>
      <c r="D102" s="276" t="str">
        <f t="shared" si="14"/>
        <v/>
      </c>
      <c r="E102" s="277"/>
      <c r="F102" s="277"/>
      <c r="G102" s="167" t="str">
        <f t="shared" si="15"/>
        <v/>
      </c>
      <c r="H102" s="166" t="str">
        <f t="shared" si="16"/>
        <v/>
      </c>
      <c r="I102" s="165" t="str">
        <f t="shared" si="17"/>
        <v/>
      </c>
      <c r="J102" s="166" t="str">
        <f t="shared" si="18"/>
        <v/>
      </c>
      <c r="K102" s="165" t="str">
        <f t="shared" si="19"/>
        <v/>
      </c>
      <c r="L102" s="166" t="str">
        <f t="shared" si="20"/>
        <v/>
      </c>
      <c r="M102" s="165" t="str">
        <f t="shared" si="21"/>
        <v/>
      </c>
      <c r="N102" s="166" t="str">
        <f t="shared" si="22"/>
        <v/>
      </c>
      <c r="O102" s="165" t="str">
        <f t="shared" si="23"/>
        <v/>
      </c>
      <c r="R102" s="40"/>
      <c r="S102" s="40"/>
      <c r="T102" s="40"/>
      <c r="U102" s="40"/>
      <c r="V102" s="40"/>
    </row>
    <row r="103" spans="2:22" s="163" customFormat="1" ht="14.4" x14ac:dyDescent="0.25">
      <c r="B103" s="163">
        <f t="shared" si="3"/>
        <v>0</v>
      </c>
      <c r="C103" s="164">
        <v>28</v>
      </c>
      <c r="D103" s="276" t="str">
        <f t="shared" si="14"/>
        <v/>
      </c>
      <c r="E103" s="277"/>
      <c r="F103" s="277"/>
      <c r="G103" s="167" t="str">
        <f t="shared" si="15"/>
        <v/>
      </c>
      <c r="H103" s="166" t="str">
        <f t="shared" si="16"/>
        <v/>
      </c>
      <c r="I103" s="165" t="str">
        <f t="shared" si="17"/>
        <v/>
      </c>
      <c r="J103" s="166" t="str">
        <f t="shared" si="18"/>
        <v/>
      </c>
      <c r="K103" s="165" t="str">
        <f t="shared" si="19"/>
        <v/>
      </c>
      <c r="L103" s="166" t="str">
        <f t="shared" si="20"/>
        <v/>
      </c>
      <c r="M103" s="165" t="str">
        <f t="shared" si="21"/>
        <v/>
      </c>
      <c r="N103" s="166" t="str">
        <f t="shared" si="22"/>
        <v/>
      </c>
      <c r="O103" s="165" t="str">
        <f t="shared" si="23"/>
        <v/>
      </c>
      <c r="R103" s="40"/>
      <c r="S103" s="40"/>
      <c r="T103" s="40"/>
      <c r="U103" s="40"/>
      <c r="V103" s="40"/>
    </row>
    <row r="104" spans="2:22" s="163" customFormat="1" ht="14.4" x14ac:dyDescent="0.25">
      <c r="B104" s="163">
        <f t="shared" si="3"/>
        <v>0</v>
      </c>
      <c r="C104" s="164">
        <v>29</v>
      </c>
      <c r="D104" s="276" t="str">
        <f t="shared" si="14"/>
        <v/>
      </c>
      <c r="E104" s="277"/>
      <c r="F104" s="277"/>
      <c r="G104" s="167" t="str">
        <f t="shared" si="15"/>
        <v/>
      </c>
      <c r="H104" s="166" t="str">
        <f t="shared" si="16"/>
        <v/>
      </c>
      <c r="I104" s="165" t="str">
        <f t="shared" si="17"/>
        <v/>
      </c>
      <c r="J104" s="166" t="str">
        <f t="shared" si="18"/>
        <v/>
      </c>
      <c r="K104" s="165" t="str">
        <f t="shared" si="19"/>
        <v/>
      </c>
      <c r="L104" s="166" t="str">
        <f t="shared" si="20"/>
        <v/>
      </c>
      <c r="M104" s="165" t="str">
        <f t="shared" si="21"/>
        <v/>
      </c>
      <c r="N104" s="166" t="str">
        <f t="shared" si="22"/>
        <v/>
      </c>
      <c r="O104" s="165" t="str">
        <f t="shared" si="23"/>
        <v/>
      </c>
      <c r="R104" s="40"/>
      <c r="S104" s="40"/>
      <c r="T104" s="40"/>
      <c r="U104" s="40"/>
      <c r="V104" s="40"/>
    </row>
    <row r="105" spans="2:22" s="163" customFormat="1" ht="14.4" x14ac:dyDescent="0.25">
      <c r="B105" s="163">
        <f t="shared" si="3"/>
        <v>0</v>
      </c>
      <c r="C105" s="164">
        <v>30</v>
      </c>
      <c r="D105" s="276" t="str">
        <f t="shared" si="14"/>
        <v/>
      </c>
      <c r="E105" s="277"/>
      <c r="F105" s="277"/>
      <c r="G105" s="167" t="str">
        <f t="shared" si="15"/>
        <v/>
      </c>
      <c r="H105" s="166" t="str">
        <f t="shared" si="16"/>
        <v/>
      </c>
      <c r="I105" s="165" t="str">
        <f t="shared" si="17"/>
        <v/>
      </c>
      <c r="J105" s="166" t="str">
        <f t="shared" si="18"/>
        <v/>
      </c>
      <c r="K105" s="165" t="str">
        <f t="shared" si="19"/>
        <v/>
      </c>
      <c r="L105" s="166" t="str">
        <f t="shared" si="20"/>
        <v/>
      </c>
      <c r="M105" s="165" t="str">
        <f t="shared" si="21"/>
        <v/>
      </c>
      <c r="N105" s="166" t="str">
        <f t="shared" si="22"/>
        <v/>
      </c>
      <c r="O105" s="165" t="str">
        <f t="shared" si="23"/>
        <v/>
      </c>
      <c r="R105" s="40"/>
      <c r="S105" s="40"/>
      <c r="T105" s="40"/>
      <c r="U105" s="40"/>
      <c r="V105" s="40"/>
    </row>
    <row r="106" spans="2:22" s="163" customFormat="1" ht="14.4" x14ac:dyDescent="0.25">
      <c r="B106" s="163">
        <f t="shared" si="3"/>
        <v>0</v>
      </c>
      <c r="C106" s="164">
        <v>31</v>
      </c>
      <c r="D106" s="276" t="str">
        <f t="shared" si="14"/>
        <v/>
      </c>
      <c r="E106" s="277"/>
      <c r="F106" s="277"/>
      <c r="G106" s="167" t="str">
        <f t="shared" si="15"/>
        <v/>
      </c>
      <c r="H106" s="166" t="str">
        <f t="shared" si="16"/>
        <v/>
      </c>
      <c r="I106" s="165" t="str">
        <f t="shared" si="17"/>
        <v/>
      </c>
      <c r="J106" s="166" t="str">
        <f t="shared" si="18"/>
        <v/>
      </c>
      <c r="K106" s="165" t="str">
        <f t="shared" si="19"/>
        <v/>
      </c>
      <c r="L106" s="166" t="str">
        <f t="shared" si="20"/>
        <v/>
      </c>
      <c r="M106" s="165" t="str">
        <f t="shared" si="21"/>
        <v/>
      </c>
      <c r="N106" s="166" t="str">
        <f t="shared" si="22"/>
        <v/>
      </c>
      <c r="O106" s="165" t="str">
        <f t="shared" si="23"/>
        <v/>
      </c>
      <c r="R106" s="40"/>
      <c r="S106" s="40"/>
      <c r="T106" s="40"/>
      <c r="U106" s="40"/>
      <c r="V106" s="40"/>
    </row>
    <row r="107" spans="2:22" s="163" customFormat="1" ht="14.4" x14ac:dyDescent="0.25">
      <c r="B107" s="163">
        <f t="shared" si="3"/>
        <v>0</v>
      </c>
      <c r="C107" s="164">
        <v>32</v>
      </c>
      <c r="D107" s="276" t="str">
        <f t="shared" si="14"/>
        <v/>
      </c>
      <c r="E107" s="277"/>
      <c r="F107" s="277"/>
      <c r="G107" s="167" t="str">
        <f t="shared" si="15"/>
        <v/>
      </c>
      <c r="H107" s="166" t="str">
        <f t="shared" si="16"/>
        <v/>
      </c>
      <c r="I107" s="165" t="str">
        <f t="shared" si="17"/>
        <v/>
      </c>
      <c r="J107" s="166" t="str">
        <f t="shared" si="18"/>
        <v/>
      </c>
      <c r="K107" s="165" t="str">
        <f t="shared" si="19"/>
        <v/>
      </c>
      <c r="L107" s="166" t="str">
        <f t="shared" si="20"/>
        <v/>
      </c>
      <c r="M107" s="165" t="str">
        <f t="shared" si="21"/>
        <v/>
      </c>
      <c r="N107" s="166" t="str">
        <f t="shared" si="22"/>
        <v/>
      </c>
      <c r="O107" s="165" t="str">
        <f t="shared" si="23"/>
        <v/>
      </c>
      <c r="R107" s="40"/>
      <c r="S107" s="40"/>
      <c r="T107" s="40"/>
      <c r="U107" s="40"/>
      <c r="V107" s="40"/>
    </row>
    <row r="108" spans="2:22" s="163" customFormat="1" ht="14.4" x14ac:dyDescent="0.25">
      <c r="B108" s="163">
        <f t="shared" si="3"/>
        <v>0</v>
      </c>
      <c r="C108" s="164">
        <v>33</v>
      </c>
      <c r="D108" s="276" t="str">
        <f t="shared" si="14"/>
        <v/>
      </c>
      <c r="E108" s="277"/>
      <c r="F108" s="277"/>
      <c r="G108" s="167" t="str">
        <f t="shared" si="15"/>
        <v/>
      </c>
      <c r="H108" s="166" t="str">
        <f t="shared" si="16"/>
        <v/>
      </c>
      <c r="I108" s="165" t="str">
        <f t="shared" si="17"/>
        <v/>
      </c>
      <c r="J108" s="166" t="str">
        <f t="shared" si="18"/>
        <v/>
      </c>
      <c r="K108" s="165" t="str">
        <f t="shared" si="19"/>
        <v/>
      </c>
      <c r="L108" s="166" t="str">
        <f t="shared" si="20"/>
        <v/>
      </c>
      <c r="M108" s="165" t="str">
        <f t="shared" si="21"/>
        <v/>
      </c>
      <c r="N108" s="166" t="str">
        <f t="shared" si="22"/>
        <v/>
      </c>
      <c r="O108" s="165" t="str">
        <f t="shared" si="23"/>
        <v/>
      </c>
      <c r="R108" s="40"/>
      <c r="S108" s="40"/>
      <c r="T108" s="40"/>
      <c r="U108" s="40"/>
      <c r="V108" s="40"/>
    </row>
    <row r="109" spans="2:22" s="163" customFormat="1" ht="14.4" x14ac:dyDescent="0.25">
      <c r="B109" s="163">
        <f t="shared" si="3"/>
        <v>0</v>
      </c>
      <c r="C109" s="164">
        <v>34</v>
      </c>
      <c r="D109" s="276" t="str">
        <f t="shared" si="14"/>
        <v/>
      </c>
      <c r="E109" s="277"/>
      <c r="F109" s="277"/>
      <c r="G109" s="167" t="str">
        <f t="shared" si="15"/>
        <v/>
      </c>
      <c r="H109" s="166" t="str">
        <f t="shared" si="16"/>
        <v/>
      </c>
      <c r="I109" s="165" t="str">
        <f t="shared" si="17"/>
        <v/>
      </c>
      <c r="J109" s="166" t="str">
        <f t="shared" si="18"/>
        <v/>
      </c>
      <c r="K109" s="165" t="str">
        <f t="shared" si="19"/>
        <v/>
      </c>
      <c r="L109" s="166" t="str">
        <f t="shared" si="20"/>
        <v/>
      </c>
      <c r="M109" s="165" t="str">
        <f t="shared" si="21"/>
        <v/>
      </c>
      <c r="N109" s="166" t="str">
        <f t="shared" si="22"/>
        <v/>
      </c>
      <c r="O109" s="165" t="str">
        <f t="shared" si="23"/>
        <v/>
      </c>
      <c r="R109" s="40"/>
      <c r="S109" s="40"/>
      <c r="T109" s="40"/>
      <c r="U109" s="40"/>
      <c r="V109" s="40"/>
    </row>
    <row r="110" spans="2:22" s="163" customFormat="1" ht="14.4" x14ac:dyDescent="0.25">
      <c r="B110" s="163">
        <f t="shared" si="3"/>
        <v>0</v>
      </c>
      <c r="C110" s="164">
        <v>35</v>
      </c>
      <c r="D110" s="276" t="str">
        <f t="shared" si="14"/>
        <v/>
      </c>
      <c r="E110" s="277"/>
      <c r="F110" s="277"/>
      <c r="G110" s="167" t="str">
        <f t="shared" si="15"/>
        <v/>
      </c>
      <c r="H110" s="166" t="str">
        <f t="shared" si="16"/>
        <v/>
      </c>
      <c r="I110" s="165" t="str">
        <f t="shared" si="17"/>
        <v/>
      </c>
      <c r="J110" s="166" t="str">
        <f t="shared" si="18"/>
        <v/>
      </c>
      <c r="K110" s="165" t="str">
        <f t="shared" si="19"/>
        <v/>
      </c>
      <c r="L110" s="166" t="str">
        <f t="shared" si="20"/>
        <v/>
      </c>
      <c r="M110" s="165" t="str">
        <f t="shared" si="21"/>
        <v/>
      </c>
      <c r="N110" s="166" t="str">
        <f t="shared" si="22"/>
        <v/>
      </c>
      <c r="O110" s="165" t="str">
        <f t="shared" si="23"/>
        <v/>
      </c>
      <c r="R110" s="40"/>
      <c r="S110" s="40"/>
      <c r="T110" s="40"/>
      <c r="U110" s="40"/>
      <c r="V110" s="40"/>
    </row>
    <row r="111" spans="2:22" s="163" customFormat="1" ht="14.4" x14ac:dyDescent="0.25">
      <c r="B111" s="163">
        <f t="shared" si="3"/>
        <v>0</v>
      </c>
      <c r="C111" s="164">
        <v>36</v>
      </c>
      <c r="D111" s="276" t="str">
        <f t="shared" si="14"/>
        <v/>
      </c>
      <c r="E111" s="277"/>
      <c r="F111" s="277"/>
      <c r="G111" s="167" t="str">
        <f t="shared" si="15"/>
        <v/>
      </c>
      <c r="H111" s="166" t="str">
        <f t="shared" si="16"/>
        <v/>
      </c>
      <c r="I111" s="165" t="str">
        <f t="shared" si="17"/>
        <v/>
      </c>
      <c r="J111" s="166" t="str">
        <f t="shared" si="18"/>
        <v/>
      </c>
      <c r="K111" s="165" t="str">
        <f t="shared" si="19"/>
        <v/>
      </c>
      <c r="L111" s="166" t="str">
        <f t="shared" si="20"/>
        <v/>
      </c>
      <c r="M111" s="165" t="str">
        <f t="shared" si="21"/>
        <v/>
      </c>
      <c r="N111" s="166" t="str">
        <f t="shared" si="22"/>
        <v/>
      </c>
      <c r="O111" s="165" t="str">
        <f t="shared" si="23"/>
        <v/>
      </c>
      <c r="R111" s="40"/>
      <c r="S111" s="40"/>
      <c r="T111" s="40"/>
      <c r="U111" s="40"/>
      <c r="V111" s="40"/>
    </row>
    <row r="112" spans="2:22" s="163" customFormat="1" ht="14.4" x14ac:dyDescent="0.25">
      <c r="B112" s="163">
        <f t="shared" si="3"/>
        <v>0</v>
      </c>
      <c r="C112" s="164">
        <v>37</v>
      </c>
      <c r="D112" s="276" t="str">
        <f t="shared" si="14"/>
        <v/>
      </c>
      <c r="E112" s="277"/>
      <c r="F112" s="277"/>
      <c r="G112" s="167" t="str">
        <f t="shared" si="15"/>
        <v/>
      </c>
      <c r="H112" s="166" t="str">
        <f t="shared" si="16"/>
        <v/>
      </c>
      <c r="I112" s="165" t="str">
        <f t="shared" si="17"/>
        <v/>
      </c>
      <c r="J112" s="166" t="str">
        <f t="shared" si="18"/>
        <v/>
      </c>
      <c r="K112" s="165" t="str">
        <f t="shared" si="19"/>
        <v/>
      </c>
      <c r="L112" s="166" t="str">
        <f t="shared" si="20"/>
        <v/>
      </c>
      <c r="M112" s="165" t="str">
        <f t="shared" si="21"/>
        <v/>
      </c>
      <c r="N112" s="166" t="str">
        <f t="shared" si="22"/>
        <v/>
      </c>
      <c r="O112" s="165" t="str">
        <f t="shared" si="23"/>
        <v/>
      </c>
      <c r="R112" s="40"/>
      <c r="S112" s="40"/>
      <c r="T112" s="40"/>
      <c r="U112" s="40"/>
      <c r="V112" s="40"/>
    </row>
    <row r="113" spans="1:22" s="163" customFormat="1" ht="14.4" x14ac:dyDescent="0.25">
      <c r="B113" s="163">
        <f t="shared" si="3"/>
        <v>0</v>
      </c>
      <c r="C113" s="164">
        <v>38</v>
      </c>
      <c r="D113" s="276" t="str">
        <f t="shared" si="14"/>
        <v/>
      </c>
      <c r="E113" s="277"/>
      <c r="F113" s="277"/>
      <c r="G113" s="167" t="str">
        <f t="shared" si="15"/>
        <v/>
      </c>
      <c r="H113" s="166" t="str">
        <f t="shared" si="16"/>
        <v/>
      </c>
      <c r="I113" s="165" t="str">
        <f t="shared" si="17"/>
        <v/>
      </c>
      <c r="J113" s="166" t="str">
        <f t="shared" si="18"/>
        <v/>
      </c>
      <c r="K113" s="165" t="str">
        <f t="shared" si="19"/>
        <v/>
      </c>
      <c r="L113" s="166" t="str">
        <f t="shared" si="20"/>
        <v/>
      </c>
      <c r="M113" s="165" t="str">
        <f t="shared" si="21"/>
        <v/>
      </c>
      <c r="N113" s="166" t="str">
        <f t="shared" si="22"/>
        <v/>
      </c>
      <c r="O113" s="165" t="str">
        <f t="shared" si="23"/>
        <v/>
      </c>
      <c r="R113" s="40"/>
      <c r="S113" s="40"/>
      <c r="T113" s="40"/>
      <c r="U113" s="40"/>
      <c r="V113" s="40"/>
    </row>
    <row r="114" spans="1:22" s="163" customFormat="1" ht="14.4" x14ac:dyDescent="0.25">
      <c r="B114" s="163">
        <f t="shared" si="3"/>
        <v>0</v>
      </c>
      <c r="C114" s="164">
        <v>39</v>
      </c>
      <c r="D114" s="276" t="str">
        <f t="shared" si="14"/>
        <v/>
      </c>
      <c r="E114" s="277"/>
      <c r="F114" s="277"/>
      <c r="G114" s="167" t="str">
        <f t="shared" si="15"/>
        <v/>
      </c>
      <c r="H114" s="166" t="str">
        <f t="shared" si="16"/>
        <v/>
      </c>
      <c r="I114" s="165" t="str">
        <f t="shared" si="17"/>
        <v/>
      </c>
      <c r="J114" s="166" t="str">
        <f t="shared" si="18"/>
        <v/>
      </c>
      <c r="K114" s="165" t="str">
        <f t="shared" si="19"/>
        <v/>
      </c>
      <c r="L114" s="166" t="str">
        <f t="shared" si="20"/>
        <v/>
      </c>
      <c r="M114" s="165" t="str">
        <f t="shared" si="21"/>
        <v/>
      </c>
      <c r="N114" s="166" t="str">
        <f t="shared" si="22"/>
        <v/>
      </c>
      <c r="O114" s="165" t="str">
        <f t="shared" si="23"/>
        <v/>
      </c>
      <c r="R114" s="40"/>
      <c r="S114" s="40"/>
      <c r="T114" s="40"/>
      <c r="U114" s="40"/>
      <c r="V114" s="40"/>
    </row>
    <row r="115" spans="1:22" s="163" customFormat="1" ht="14.4" x14ac:dyDescent="0.25">
      <c r="B115" s="163">
        <f t="shared" si="3"/>
        <v>0</v>
      </c>
      <c r="C115" s="164">
        <v>40</v>
      </c>
      <c r="D115" s="276" t="str">
        <f>IF(ISBLANK(D69), "", IF(D69 = "Add additional scenarios if required", "", IF(M69="YES", D69 &amp; " - " &amp; H69 &amp; " - Interval Customers", D69 &amp; " - " &amp;H69)))</f>
        <v/>
      </c>
      <c r="E115" s="277"/>
      <c r="F115" s="277"/>
      <c r="G115" s="167" t="str">
        <f t="shared" si="15"/>
        <v/>
      </c>
      <c r="H115" s="166" t="str">
        <f>IF(LEN($G115)&gt;1, ( SUMPRODUCT(--(#REF!=$B69), --(#REF!=$D69), --(#REF!="ST_A"),#REF!)), "")</f>
        <v/>
      </c>
      <c r="I115" s="165" t="str">
        <f>IF(LEN($G115)&gt;1, ( SUMPRODUCT(--(#REF!=$B69), --(#REF!=$D69), --(#REF!="ST_A"),#REF!)), "")</f>
        <v/>
      </c>
      <c r="J115" s="166" t="str">
        <f>IF(LEN($G115)&gt;1, ( SUMPRODUCT(--(#REF!=$B69), --(#REF!=$D69), --(#REF!="ST_B"),#REF!)), "")</f>
        <v/>
      </c>
      <c r="K115" s="165" t="str">
        <f>IF(LEN($G115)&gt;1, ( SUMPRODUCT(--(#REF!=$B69), --(#REF!=$D69), --(#REF!="ST_B"),#REF!)), "")</f>
        <v/>
      </c>
      <c r="L115" s="166" t="str">
        <f>IF(LEN($G115)&gt;1, ( SUMPRODUCT(--(#REF!=$B69), --(#REF!=$D69), --(#REF!="ST_C"),#REF!)), "")</f>
        <v/>
      </c>
      <c r="M115" s="165" t="str">
        <f>IF(LEN($G115)&gt;1, ( SUMPRODUCT(--(#REF!=$B69), --(#REF!=$D69), --(#REF!="ST_C"),#REF!)), "")</f>
        <v/>
      </c>
      <c r="N115" s="166" t="str">
        <f>IF(LEN($G115)&gt;1, ( SUMPRODUCT(--(#REF!=$B69), --(#REF!=$D69), --(#REF!=$B115&amp;"_TOTAL"),#REF!)), "")</f>
        <v/>
      </c>
      <c r="O115" s="165" t="str">
        <f>IF(LEN($G115)&gt;1, ( SUMPRODUCT(--(#REF!=$B69), --(#REF!=$D69), --(#REF!=$B115&amp;"_TOTAL"),#REF!)), "")</f>
        <v/>
      </c>
      <c r="R115" s="40"/>
      <c r="S115" s="40"/>
      <c r="T115" s="40"/>
      <c r="U115" s="40"/>
      <c r="V115" s="40"/>
    </row>
    <row r="116" spans="1:22" s="163" customFormat="1" x14ac:dyDescent="0.25">
      <c r="C116" s="164"/>
      <c r="R116" s="40"/>
      <c r="S116" s="40"/>
      <c r="T116" s="40"/>
      <c r="U116" s="40"/>
      <c r="V116" s="40"/>
    </row>
    <row r="117" spans="1:22" ht="5.25" customHeight="1" x14ac:dyDescent="0.25">
      <c r="A117" s="161"/>
      <c r="B117" s="161"/>
      <c r="C117" s="162"/>
      <c r="D117" s="161"/>
      <c r="E117" s="161"/>
      <c r="F117" s="161"/>
      <c r="G117" s="161"/>
      <c r="H117" s="161"/>
      <c r="I117" s="161"/>
      <c r="J117" s="161"/>
      <c r="K117" s="161"/>
      <c r="L117" s="161"/>
      <c r="M117" s="161"/>
      <c r="N117" s="161"/>
      <c r="O117" s="161"/>
    </row>
    <row r="118" spans="1:22" x14ac:dyDescent="0.25">
      <c r="D118" s="128" t="s">
        <v>223</v>
      </c>
      <c r="E118" s="265" t="str">
        <f>D30</f>
        <v>RESIDENTIAL SERVICE CLASSIFICATION</v>
      </c>
      <c r="F118" s="265"/>
      <c r="G118" s="265"/>
      <c r="H118" s="265"/>
      <c r="I118" s="265"/>
      <c r="J118" s="265"/>
      <c r="K118" s="40" t="str">
        <f>IF(N30="DEMAND - INTERVAL","RTSR - INTERVAL METERED","")</f>
        <v/>
      </c>
      <c r="T118" s="40" t="s">
        <v>222</v>
      </c>
    </row>
    <row r="119" spans="1:22" x14ac:dyDescent="0.25">
      <c r="D119" s="128" t="s">
        <v>221</v>
      </c>
      <c r="E119" s="266" t="str">
        <f>H30</f>
        <v>RPP</v>
      </c>
      <c r="F119" s="266"/>
      <c r="G119" s="266"/>
      <c r="H119" s="135"/>
      <c r="I119" s="135"/>
    </row>
    <row r="120" spans="1:22" ht="15.6" x14ac:dyDescent="0.25">
      <c r="D120" s="128" t="s">
        <v>220</v>
      </c>
      <c r="E120" s="132">
        <f>K30</f>
        <v>750</v>
      </c>
      <c r="F120" s="134" t="s">
        <v>219</v>
      </c>
      <c r="G120" s="76"/>
      <c r="J120" s="133"/>
      <c r="K120" s="133"/>
      <c r="L120" s="133"/>
      <c r="M120" s="133"/>
    </row>
    <row r="121" spans="1:22" ht="15.6" x14ac:dyDescent="0.3">
      <c r="D121" s="128" t="s">
        <v>218</v>
      </c>
      <c r="E121" s="132">
        <f>L30</f>
        <v>0</v>
      </c>
      <c r="F121" s="131" t="s">
        <v>217</v>
      </c>
      <c r="G121" s="130"/>
      <c r="H121" s="129"/>
      <c r="I121" s="129"/>
      <c r="J121" s="129"/>
    </row>
    <row r="122" spans="1:22" x14ac:dyDescent="0.25">
      <c r="D122" s="128" t="s">
        <v>216</v>
      </c>
      <c r="E122" s="127">
        <f>I30</f>
        <v>1.0495000000000001</v>
      </c>
    </row>
    <row r="123" spans="1:22" x14ac:dyDescent="0.25">
      <c r="D123" s="128" t="s">
        <v>215</v>
      </c>
      <c r="E123" s="127">
        <f>J30</f>
        <v>1.030684649944027</v>
      </c>
    </row>
    <row r="124" spans="1:22" x14ac:dyDescent="0.25">
      <c r="D124" s="76"/>
    </row>
    <row r="125" spans="1:22" x14ac:dyDescent="0.25">
      <c r="D125" s="76"/>
      <c r="E125" s="126"/>
      <c r="F125" s="267" t="s">
        <v>214</v>
      </c>
      <c r="G125" s="268"/>
      <c r="H125" s="269"/>
      <c r="I125" s="267" t="s">
        <v>139</v>
      </c>
      <c r="J125" s="268"/>
      <c r="K125" s="269"/>
      <c r="L125" s="267" t="s">
        <v>213</v>
      </c>
      <c r="M125" s="269"/>
    </row>
    <row r="126" spans="1:22" x14ac:dyDescent="0.25">
      <c r="D126" s="76"/>
      <c r="E126" s="270"/>
      <c r="F126" s="125" t="s">
        <v>212</v>
      </c>
      <c r="G126" s="125" t="s">
        <v>211</v>
      </c>
      <c r="H126" s="123" t="s">
        <v>210</v>
      </c>
      <c r="I126" s="125" t="s">
        <v>212</v>
      </c>
      <c r="J126" s="124" t="s">
        <v>211</v>
      </c>
      <c r="K126" s="123" t="s">
        <v>210</v>
      </c>
      <c r="L126" s="272" t="s">
        <v>209</v>
      </c>
      <c r="M126" s="274" t="s">
        <v>208</v>
      </c>
    </row>
    <row r="127" spans="1:22" x14ac:dyDescent="0.25">
      <c r="D127" s="76"/>
      <c r="E127" s="271"/>
      <c r="F127" s="122" t="s">
        <v>207</v>
      </c>
      <c r="G127" s="122"/>
      <c r="H127" s="121" t="s">
        <v>207</v>
      </c>
      <c r="I127" s="122" t="s">
        <v>207</v>
      </c>
      <c r="J127" s="121"/>
      <c r="K127" s="121" t="s">
        <v>207</v>
      </c>
      <c r="L127" s="273"/>
      <c r="M127" s="275"/>
    </row>
    <row r="128" spans="1:22" x14ac:dyDescent="0.25">
      <c r="A128" s="40" t="str">
        <f>$E118</f>
        <v>RESIDENTIAL SERVICE CLASSIFICATION</v>
      </c>
      <c r="C128" s="50"/>
      <c r="D128" s="120" t="s">
        <v>97</v>
      </c>
      <c r="E128" s="82"/>
      <c r="F128" s="118">
        <f>SUMIFS('2.2-TSC Current Schedule'!E:E,'2.2-TSC Current Schedule'!H:H,'5. 2-W Bill Impacts'!$E118,'2.2-TSC Current Schedule'!G:G,'5. 2-W Bill Impacts'!D128)</f>
        <v>24.3</v>
      </c>
      <c r="G128" s="94">
        <v>1</v>
      </c>
      <c r="H128" s="158">
        <f>G128*F128</f>
        <v>24.3</v>
      </c>
      <c r="I128" s="117">
        <f>SUMIFS('4.2-TS Tariff Schedule'!E:E,'4.2-TS Tariff Schedule'!H:H,'5. 2-W Bill Impacts'!$E118,'4.2-TS Tariff Schedule'!G:G,'5. 2-W Bill Impacts'!D128)</f>
        <v>27.84</v>
      </c>
      <c r="J128" s="115">
        <f>G128</f>
        <v>1</v>
      </c>
      <c r="K128" s="78">
        <f>J128*I128</f>
        <v>27.84</v>
      </c>
      <c r="L128" s="78">
        <f t="shared" ref="L128:L145" si="24">K128-H128</f>
        <v>3.5399999999999991</v>
      </c>
      <c r="M128" s="77">
        <f>IF(ISERROR(L128/H128), "", L128/H128)</f>
        <v>0.14567901234567898</v>
      </c>
    </row>
    <row r="129" spans="1:13" x14ac:dyDescent="0.25">
      <c r="A129" s="40" t="str">
        <f t="shared" ref="A129:A142" si="25">A128</f>
        <v>RESIDENTIAL SERVICE CLASSIFICATION</v>
      </c>
      <c r="C129" s="50"/>
      <c r="D129" s="120" t="s">
        <v>96</v>
      </c>
      <c r="E129" s="82"/>
      <c r="F129" s="92">
        <f>SUMIFS('2.2-TSC Current Schedule'!E:E,'2.2-TSC Current Schedule'!H:H,'5. 2-W Bill Impacts'!$E118,'2.2-TSC Current Schedule'!G:G,'5. 2-W Bill Impacts'!D129)</f>
        <v>5.3E-3</v>
      </c>
      <c r="G129" s="94">
        <f>IF($E121&gt;0, $E121, $E120)</f>
        <v>750</v>
      </c>
      <c r="H129" s="158">
        <f>G129*F129</f>
        <v>3.9750000000000001</v>
      </c>
      <c r="I129" s="93">
        <f>SUMIFS('4.2-TS Tariff Schedule'!E:E,'4.2-TS Tariff Schedule'!H:H,'5. 2-W Bill Impacts'!$E118,'4.2-TS Tariff Schedule'!G:G,'5. 2-W Bill Impacts'!D129)</f>
        <v>0</v>
      </c>
      <c r="J129" s="115">
        <f>IF($E121&gt;0, $E121, $E120)</f>
        <v>750</v>
      </c>
      <c r="K129" s="78">
        <f>J129*I129</f>
        <v>0</v>
      </c>
      <c r="L129" s="78">
        <f t="shared" si="24"/>
        <v>-3.9750000000000001</v>
      </c>
      <c r="M129" s="77">
        <f>IF(ISERROR(L129/H129), "", L129/H129)</f>
        <v>-1</v>
      </c>
    </row>
    <row r="130" spans="1:13" x14ac:dyDescent="0.25">
      <c r="A130" s="40" t="str">
        <f t="shared" si="25"/>
        <v>RESIDENTIAL SERVICE CLASSIFICATION</v>
      </c>
      <c r="C130" s="50"/>
      <c r="D130" s="119" t="s">
        <v>118</v>
      </c>
      <c r="E130" s="82"/>
      <c r="F130" s="118">
        <f>SUMIFS('2.2-TSC Current Schedule'!E:E,'2.2-TSC Current Schedule'!H:H,'5. 2-W Bill Impacts'!$E118,'2.2-TSC Current Schedule'!G:G,'5. 2-W Bill Impacts'!D130)</f>
        <v>1.75</v>
      </c>
      <c r="G130" s="94">
        <v>1</v>
      </c>
      <c r="H130" s="158">
        <f>G130*F130</f>
        <v>1.75</v>
      </c>
      <c r="I130" s="117">
        <f>SUMIFS('4.2-TS Tariff Schedule'!E:E,'4.2-TS Tariff Schedule'!H:H,'5. 2-W Bill Impacts'!$E118,'4.2-TS Tariff Schedule'!G:G,'5. 2-W Bill Impacts'!D130)</f>
        <v>0.58336693548370522</v>
      </c>
      <c r="J130" s="115">
        <f>G130</f>
        <v>1</v>
      </c>
      <c r="K130" s="78">
        <f>J130*I130</f>
        <v>0.58336693548370522</v>
      </c>
      <c r="L130" s="78">
        <f t="shared" si="24"/>
        <v>-1.1666330645162948</v>
      </c>
      <c r="M130" s="77">
        <f>IF(ISERROR(L130/H130), "", L130/H130)</f>
        <v>-0.66664746543788278</v>
      </c>
    </row>
    <row r="131" spans="1:13" x14ac:dyDescent="0.25">
      <c r="A131" s="40" t="str">
        <f t="shared" si="25"/>
        <v>RESIDENTIAL SERVICE CLASSIFICATION</v>
      </c>
      <c r="C131" s="50"/>
      <c r="D131" s="116" t="s">
        <v>152</v>
      </c>
      <c r="E131" s="82"/>
      <c r="F131" s="92">
        <f>SUMIFS('2.2-TSC Current Schedule'!E:E,'2.2-TSC Current Schedule'!H:H,'5. 2-W Bill Impacts'!$E118,'2.2-TSC Current Schedule'!G:G,'5. 2-W Bill Impacts'!D131)</f>
        <v>0</v>
      </c>
      <c r="G131" s="94">
        <f>IF($E121&gt;0, $E121, $E120)</f>
        <v>750</v>
      </c>
      <c r="H131" s="158">
        <f>G131*F131</f>
        <v>0</v>
      </c>
      <c r="I131" s="93">
        <f>SUMIFS('4.2-TS Tariff Schedule'!E:E,'4.2-TS Tariff Schedule'!H:H,'5. 2-W Bill Impacts'!$E118,'4.2-TS Tariff Schedule'!G:G,'5. 2-W Bill Impacts'!D131)</f>
        <v>1.7476150688581956E-4</v>
      </c>
      <c r="J131" s="115">
        <f>IF($E121&gt;0, $E121, $E120)</f>
        <v>750</v>
      </c>
      <c r="K131" s="78">
        <f>J131*I131</f>
        <v>0.13107113016436467</v>
      </c>
      <c r="L131" s="78">
        <f t="shared" si="24"/>
        <v>0.13107113016436467</v>
      </c>
      <c r="M131" s="77" t="str">
        <f>IF(ISERROR(L131/H131), "", L131/H131)</f>
        <v/>
      </c>
    </row>
    <row r="132" spans="1:13" x14ac:dyDescent="0.25">
      <c r="A132" s="40" t="str">
        <f t="shared" si="25"/>
        <v>RESIDENTIAL SERVICE CLASSIFICATION</v>
      </c>
      <c r="B132" s="114" t="s">
        <v>206</v>
      </c>
      <c r="C132" s="50">
        <f>B30</f>
        <v>1</v>
      </c>
      <c r="D132" s="113" t="s">
        <v>205</v>
      </c>
      <c r="E132" s="102"/>
      <c r="F132" s="112"/>
      <c r="G132" s="100"/>
      <c r="H132" s="159">
        <f>SUM(H128:H131)</f>
        <v>30.025000000000002</v>
      </c>
      <c r="I132" s="111"/>
      <c r="J132" s="106"/>
      <c r="K132" s="97">
        <f>SUM(K128:K131)</f>
        <v>28.554438065648071</v>
      </c>
      <c r="L132" s="97">
        <f t="shared" si="24"/>
        <v>-1.4705619343519309</v>
      </c>
      <c r="M132" s="96">
        <f>IF((H132)=0,"",(L132/H132))</f>
        <v>-4.8977916214885293E-2</v>
      </c>
    </row>
    <row r="133" spans="1:13" x14ac:dyDescent="0.25">
      <c r="A133" s="40" t="str">
        <f t="shared" si="25"/>
        <v>RESIDENTIAL SERVICE CLASSIFICATION</v>
      </c>
      <c r="C133" s="50"/>
      <c r="D133" s="110" t="s">
        <v>204</v>
      </c>
      <c r="E133" s="82"/>
      <c r="F133" s="92">
        <f>IF((E120*12&gt;=150000), 0, IF(E119="RPP",(F148*0.65+F149*0.17+F150*0.18),IF(E119="Non-RPP (Retailer)",F151,F152)))</f>
        <v>8.2160000000000011E-2</v>
      </c>
      <c r="G133" s="91">
        <f>IF(F133=0, 0, $E120*E122-E120)</f>
        <v>37.125000000000114</v>
      </c>
      <c r="H133" s="158">
        <f>G133*F133</f>
        <v>3.0501900000000099</v>
      </c>
      <c r="I133" s="93">
        <f>IF((E120*12&gt;=150000), 0, IF(E119="RPP",(I148*0.65+I149*0.17+I150*0.18),IF(E119="Non-RPP (Retailer)",I151,I152)))</f>
        <v>8.2160000000000011E-2</v>
      </c>
      <c r="J133" s="91">
        <f>IF(I133=0, 0, E120*E123-E120)</f>
        <v>23.013487458020222</v>
      </c>
      <c r="K133" s="78">
        <f>J133*I133</f>
        <v>1.8907881295509417</v>
      </c>
      <c r="L133" s="78">
        <f t="shared" si="24"/>
        <v>-1.1594018704490683</v>
      </c>
      <c r="M133" s="77">
        <f>IF(ISERROR(L133/H133), "", L133/H133)</f>
        <v>-0.38010808193885121</v>
      </c>
    </row>
    <row r="134" spans="1:13" x14ac:dyDescent="0.25">
      <c r="A134" s="40" t="str">
        <f t="shared" si="25"/>
        <v>RESIDENTIAL SERVICE CLASSIFICATION</v>
      </c>
      <c r="C134" s="50"/>
      <c r="D134" s="110" t="s">
        <v>90</v>
      </c>
      <c r="E134" s="82"/>
      <c r="F134" s="92">
        <f>SUMIFS('2.2-TSC Current Schedule'!E:E,'2.2-TSC Current Schedule'!H:H,'5. 2-W Bill Impacts'!$E118,'2.2-TSC Current Schedule'!G:G,'5. 2-W Bill Impacts'!D134)</f>
        <v>-6.4739169462600422E-3</v>
      </c>
      <c r="G134" s="109">
        <f>IF($E121&gt;0, $E121, $E120)</f>
        <v>750</v>
      </c>
      <c r="H134" s="158">
        <f>G134*F134</f>
        <v>-4.8554377096950319</v>
      </c>
      <c r="I134" s="93">
        <f>SUMIFS('4.2-TS Tariff Schedule'!E:E,'4.2-TS Tariff Schedule'!H:H,'5. 2-W Bill Impacts'!$E118,'4.2-TS Tariff Schedule'!G:G,'5. 2-W Bill Impacts'!D134)</f>
        <v>-1.4185349490900248E-3</v>
      </c>
      <c r="J134" s="109">
        <f>IF($E121&gt;0, $E121, $E120)</f>
        <v>750</v>
      </c>
      <c r="K134" s="78">
        <f>J134*I134</f>
        <v>-1.0639012118175186</v>
      </c>
      <c r="L134" s="78">
        <f t="shared" si="24"/>
        <v>3.7915364978775132</v>
      </c>
      <c r="M134" s="77">
        <f>IF(ISERROR(L134/H134), "", L134/H134)</f>
        <v>-0.78088459260980991</v>
      </c>
    </row>
    <row r="135" spans="1:13" x14ac:dyDescent="0.25">
      <c r="A135" s="40" t="str">
        <f t="shared" si="25"/>
        <v>RESIDENTIAL SERVICE CLASSIFICATION</v>
      </c>
      <c r="C135" s="50"/>
      <c r="D135" s="110" t="s">
        <v>92</v>
      </c>
      <c r="E135" s="82"/>
      <c r="F135" s="92">
        <f>SUMIFS('2.2-TSC Current Schedule'!E:E,'2.2-TSC Current Schedule'!H:H,'5. 2-W Bill Impacts'!$E118,'2.2-TSC Current Schedule'!G:G,'5. 2-W Bill Impacts'!D135)</f>
        <v>1.4200000000000001E-2</v>
      </c>
      <c r="G135" s="109">
        <f>E120</f>
        <v>750</v>
      </c>
      <c r="H135" s="158">
        <f>G135*F135</f>
        <v>10.65</v>
      </c>
      <c r="I135" s="93">
        <f>SUMIFS('4.2-TS Tariff Schedule'!E:E,'4.2-TS Tariff Schedule'!H:H,'5. 2-W Bill Impacts'!$E118,'4.2-TS Tariff Schedule'!G:G,'5. 2-W Bill Impacts'!D135)</f>
        <v>3.8237144354832221E-4</v>
      </c>
      <c r="J135" s="109">
        <f>E120</f>
        <v>750</v>
      </c>
      <c r="K135" s="78">
        <f>J135*I135</f>
        <v>0.28677858266124168</v>
      </c>
      <c r="L135" s="78">
        <f t="shared" si="24"/>
        <v>-10.363221417338758</v>
      </c>
      <c r="M135" s="77">
        <f>IF(ISERROR(L135/H135), "", L135/H135)</f>
        <v>-0.97307243355293505</v>
      </c>
    </row>
    <row r="136" spans="1:13" x14ac:dyDescent="0.25">
      <c r="A136" s="40" t="str">
        <f t="shared" si="25"/>
        <v>RESIDENTIAL SERVICE CLASSIFICATION</v>
      </c>
      <c r="C136" s="50"/>
      <c r="D136" s="108" t="s">
        <v>94</v>
      </c>
      <c r="E136" s="82"/>
      <c r="F136" s="92">
        <f>SUMIFS('2.2-TSC Current Schedule'!E:E,'2.2-TSC Current Schedule'!H:H,'5. 2-W Bill Impacts'!$E118,'2.2-TSC Current Schedule'!G:G,'5. 2-W Bill Impacts'!D136)</f>
        <v>2.3999999999999998E-3</v>
      </c>
      <c r="G136" s="109">
        <f>IF($E121&gt;0, $E121, $E120)</f>
        <v>750</v>
      </c>
      <c r="H136" s="158">
        <f>G136*F136</f>
        <v>1.7999999999999998</v>
      </c>
      <c r="I136" s="93">
        <f>SUMIFS('4.2-TS Tariff Schedule'!E:E,'4.2-TS Tariff Schedule'!H:H,'5. 2-W Bill Impacts'!$E118,'4.2-TS Tariff Schedule'!G:G,'5. 2-W Bill Impacts'!D136)</f>
        <v>2.9999999999999997E-4</v>
      </c>
      <c r="J136" s="109">
        <f>IF($E121&gt;0, $E121, $E120)</f>
        <v>750</v>
      </c>
      <c r="K136" s="78">
        <f>J136*I136</f>
        <v>0.22499999999999998</v>
      </c>
      <c r="L136" s="78">
        <f t="shared" si="24"/>
        <v>-1.5749999999999997</v>
      </c>
      <c r="M136" s="77">
        <f>IF(ISERROR(L136/H136), "", L136/H136)</f>
        <v>-0.87499999999999989</v>
      </c>
    </row>
    <row r="137" spans="1:13" x14ac:dyDescent="0.25">
      <c r="A137" s="40" t="str">
        <f t="shared" si="25"/>
        <v>RESIDENTIAL SERVICE CLASSIFICATION</v>
      </c>
      <c r="C137" s="50"/>
      <c r="D137" s="108" t="s">
        <v>116</v>
      </c>
      <c r="E137" s="82"/>
      <c r="F137" s="92">
        <f>SUMIFS('2.2-TSC Current Schedule'!E:E,'2.2-TSC Current Schedule'!H:H,'5. 2-W Bill Impacts'!$E118,'2.2-TSC Current Schedule'!G:G,'5. 2-W Bill Impacts'!D137)</f>
        <v>0.56999999999999995</v>
      </c>
      <c r="G137" s="94">
        <v>1</v>
      </c>
      <c r="H137" s="158">
        <f>G137*F137</f>
        <v>0.56999999999999995</v>
      </c>
      <c r="I137" s="93">
        <f>SUMIFS('4.2-TS Tariff Schedule'!E:E,'4.2-TS Tariff Schedule'!H:H,'5. 2-W Bill Impacts'!$E118,'4.2-TS Tariff Schedule'!G:G,'5. 2-W Bill Impacts'!D137)</f>
        <v>0.56999999999999995</v>
      </c>
      <c r="J137" s="94">
        <v>1</v>
      </c>
      <c r="K137" s="78">
        <f>J137*I137</f>
        <v>0.56999999999999995</v>
      </c>
      <c r="L137" s="78">
        <f t="shared" si="24"/>
        <v>0</v>
      </c>
      <c r="M137" s="77">
        <f>IF(ISERROR(L137/H137), "", L137/H137)</f>
        <v>0</v>
      </c>
    </row>
    <row r="138" spans="1:13" x14ac:dyDescent="0.25">
      <c r="A138" s="40" t="str">
        <f t="shared" si="25"/>
        <v>RESIDENTIAL SERVICE CLASSIFICATION</v>
      </c>
      <c r="B138" s="76" t="s">
        <v>203</v>
      </c>
      <c r="C138" s="50">
        <f>B30</f>
        <v>1</v>
      </c>
      <c r="D138" s="103" t="s">
        <v>202</v>
      </c>
      <c r="E138" s="107"/>
      <c r="F138" s="101"/>
      <c r="G138" s="100"/>
      <c r="H138" s="97">
        <f>SUM(H132:H137)-H135</f>
        <v>30.589752290304979</v>
      </c>
      <c r="I138" s="99"/>
      <c r="J138" s="106"/>
      <c r="K138" s="97">
        <f>SUM(K132:K137)-K135</f>
        <v>30.176324983381495</v>
      </c>
      <c r="L138" s="97">
        <f t="shared" si="24"/>
        <v>-0.41342730692348439</v>
      </c>
      <c r="M138" s="96">
        <f>IF((H138)=0,"",(L138/H138))</f>
        <v>-1.3515222450968156E-2</v>
      </c>
    </row>
    <row r="139" spans="1:13" x14ac:dyDescent="0.25">
      <c r="A139" s="40" t="str">
        <f t="shared" si="25"/>
        <v>RESIDENTIAL SERVICE CLASSIFICATION</v>
      </c>
      <c r="C139" s="50"/>
      <c r="D139" s="105" t="s">
        <v>88</v>
      </c>
      <c r="E139" s="82"/>
      <c r="F139" s="92">
        <f>SUMIFS('2.2-TSC Current Schedule'!E:E,'2.2-TSC Current Schedule'!H:H,'5. 2-W Bill Impacts'!$E118,'2.2-TSC Current Schedule'!G:G,'5. 2-W Bill Impacts'!D139)</f>
        <v>6.1000000000000004E-3</v>
      </c>
      <c r="G139" s="91">
        <f>IF($E121&gt;0, $E121, $E120*$E122)</f>
        <v>787.12500000000011</v>
      </c>
      <c r="H139" s="158">
        <f>G139*F139</f>
        <v>4.8014625000000013</v>
      </c>
      <c r="I139" s="93">
        <f>SUMIFS('4.2-TS Tariff Schedule'!E:E,'4.2-TS Tariff Schedule'!H:H,'5. 2-W Bill Impacts'!$E118,'4.2-TS Tariff Schedule'!G:G,'5. 2-W Bill Impacts'!D139)</f>
        <v>5.7155321582287874E-3</v>
      </c>
      <c r="J139" s="91">
        <f>IF($E121&gt;0, $E121, $E120*$E123)</f>
        <v>773.01348745802022</v>
      </c>
      <c r="K139" s="78">
        <f>J139*I139</f>
        <v>4.4181834463109002</v>
      </c>
      <c r="L139" s="78">
        <f t="shared" si="24"/>
        <v>-0.38327905368910109</v>
      </c>
      <c r="M139" s="77">
        <f>IF(ISERROR(L139/H139), "", L139/H139)</f>
        <v>-7.9825481025646031E-2</v>
      </c>
    </row>
    <row r="140" spans="1:13" x14ac:dyDescent="0.25">
      <c r="A140" s="40" t="str">
        <f t="shared" si="25"/>
        <v>RESIDENTIAL SERVICE CLASSIFICATION</v>
      </c>
      <c r="C140" s="50"/>
      <c r="D140" s="104" t="s">
        <v>86</v>
      </c>
      <c r="E140" s="82"/>
      <c r="F140" s="92">
        <f>SUMIFS('2.2-TSC Current Schedule'!E:E,'2.2-TSC Current Schedule'!H:H,'5. 2-W Bill Impacts'!$E118,'2.2-TSC Current Schedule'!G:G,'5. 2-W Bill Impacts'!D140)</f>
        <v>3.3E-3</v>
      </c>
      <c r="G140" s="91">
        <f>IF($E121&gt;0, $E121, $E120*$E122)</f>
        <v>787.12500000000011</v>
      </c>
      <c r="H140" s="158">
        <f>G140*F140</f>
        <v>2.5975125000000006</v>
      </c>
      <c r="I140" s="93">
        <f>SUMIFS('4.2-TS Tariff Schedule'!E:E,'4.2-TS Tariff Schedule'!H:H,'5. 2-W Bill Impacts'!$E118,'4.2-TS Tariff Schedule'!G:G,'5. 2-W Bill Impacts'!D140)</f>
        <v>4.1912748923984876E-3</v>
      </c>
      <c r="J140" s="91">
        <f>IF($E121&gt;0, $E121, $E120*$E123)</f>
        <v>773.01348745802022</v>
      </c>
      <c r="K140" s="78">
        <f>J140*I140</f>
        <v>3.2399120214681933</v>
      </c>
      <c r="L140" s="78">
        <f t="shared" si="24"/>
        <v>0.64239952146819279</v>
      </c>
      <c r="M140" s="77">
        <f>IF(ISERROR(L140/H140), "", L140/H140)</f>
        <v>0.24731335131907647</v>
      </c>
    </row>
    <row r="141" spans="1:13" x14ac:dyDescent="0.25">
      <c r="A141" s="40" t="str">
        <f t="shared" si="25"/>
        <v>RESIDENTIAL SERVICE CLASSIFICATION</v>
      </c>
      <c r="B141" s="76" t="s">
        <v>201</v>
      </c>
      <c r="C141" s="50">
        <f>B30</f>
        <v>1</v>
      </c>
      <c r="D141" s="103" t="s">
        <v>200</v>
      </c>
      <c r="E141" s="102"/>
      <c r="F141" s="101"/>
      <c r="G141" s="100"/>
      <c r="H141" s="157">
        <f>SUM(H138:H140)</f>
        <v>37.988727290304979</v>
      </c>
      <c r="I141" s="99"/>
      <c r="J141" s="98"/>
      <c r="K141" s="97">
        <f>SUM(K138:K140)</f>
        <v>37.834420451160589</v>
      </c>
      <c r="L141" s="97">
        <f t="shared" si="24"/>
        <v>-0.15430683914438958</v>
      </c>
      <c r="M141" s="96">
        <f>IF((H141)=0,"",(L141/H141))</f>
        <v>-4.0619112602850978E-3</v>
      </c>
    </row>
    <row r="142" spans="1:13" x14ac:dyDescent="0.25">
      <c r="A142" s="40" t="str">
        <f t="shared" si="25"/>
        <v>RESIDENTIAL SERVICE CLASSIFICATION</v>
      </c>
      <c r="C142" s="50"/>
      <c r="D142" s="95" t="s">
        <v>83</v>
      </c>
      <c r="E142" s="82"/>
      <c r="F142" s="92">
        <f>SUMIFS('2.2-TSC Current Schedule'!E:E,'2.2-TSC Current Schedule'!H:H,'5. 2-W Bill Impacts'!$E118,'2.2-TSC Current Schedule'!G:G,'5. 2-W Bill Impacts'!D142)</f>
        <v>3.2000000000000002E-3</v>
      </c>
      <c r="G142" s="91">
        <f>E120*E122</f>
        <v>787.12500000000011</v>
      </c>
      <c r="H142" s="79">
        <f>G142*F142</f>
        <v>2.5188000000000006</v>
      </c>
      <c r="I142" s="93">
        <f>SUMIFS('4.2-TS Tariff Schedule'!E:E,'4.2-TS Tariff Schedule'!H:H,'5. 2-W Bill Impacts'!$E118,'4.2-TS Tariff Schedule'!G:G,'5. 2-W Bill Impacts'!D142)</f>
        <v>3.2000000000000002E-3</v>
      </c>
      <c r="J142" s="91">
        <f>E120*E123</f>
        <v>773.01348745802022</v>
      </c>
      <c r="K142" s="78">
        <f>J142*I142</f>
        <v>2.4736431598656647</v>
      </c>
      <c r="L142" s="78">
        <f t="shared" si="24"/>
        <v>-4.5156840134335852E-2</v>
      </c>
      <c r="M142" s="77">
        <f>IF(ISERROR(L142/H142), "", L142/H142)</f>
        <v>-1.7927918109550516E-2</v>
      </c>
    </row>
    <row r="143" spans="1:13" x14ac:dyDescent="0.25">
      <c r="C143" s="50"/>
      <c r="D143" s="95" t="s">
        <v>81</v>
      </c>
      <c r="E143" s="82"/>
      <c r="F143" s="92">
        <f>SUMIFS('2.2-TSC Current Schedule'!E:E,'2.2-TSC Current Schedule'!H:H,'5. 2-W Bill Impacts'!$E118,'2.2-TSC Current Schedule'!G:G,'5. 2-W Bill Impacts'!D143)</f>
        <v>4.0000000000000002E-4</v>
      </c>
      <c r="G143" s="91">
        <f>E120*E122</f>
        <v>787.12500000000011</v>
      </c>
      <c r="H143" s="79">
        <f>G143*F143</f>
        <v>0.31485000000000007</v>
      </c>
      <c r="I143" s="93">
        <f>SUMIFS('4.2-TS Tariff Schedule'!E:E,'4.2-TS Tariff Schedule'!H:H,'5. 2-W Bill Impacts'!$E118,'4.2-TS Tariff Schedule'!G:G,'5. 2-W Bill Impacts'!D143)</f>
        <v>4.0000000000000002E-4</v>
      </c>
      <c r="J143" s="91">
        <f>E120*E123</f>
        <v>773.01348745802022</v>
      </c>
      <c r="K143" s="78">
        <f>J143*I143</f>
        <v>0.30920539498320809</v>
      </c>
      <c r="L143" s="78">
        <f t="shared" si="24"/>
        <v>-5.6446050167919815E-3</v>
      </c>
      <c r="M143" s="77">
        <f>IF(ISERROR(L143/H143), "", L143/H143)</f>
        <v>-1.7927918109550516E-2</v>
      </c>
    </row>
    <row r="144" spans="1:13" x14ac:dyDescent="0.25">
      <c r="A144" s="40" t="str">
        <f>A142</f>
        <v>RESIDENTIAL SERVICE CLASSIFICATION</v>
      </c>
      <c r="C144" s="50"/>
      <c r="D144" s="95" t="s">
        <v>78</v>
      </c>
      <c r="E144" s="82"/>
      <c r="F144" s="92">
        <f>SUMIFS('2.2-TSC Current Schedule'!E:E,'2.2-TSC Current Schedule'!H:H,'5. 2-W Bill Impacts'!$E118,'2.2-TSC Current Schedule'!G:G,'5. 2-W Bill Impacts'!D144)</f>
        <v>2.9999999999999997E-4</v>
      </c>
      <c r="G144" s="91">
        <f>E120*E122</f>
        <v>787.12500000000011</v>
      </c>
      <c r="H144" s="79">
        <f>G144*F144</f>
        <v>0.2361375</v>
      </c>
      <c r="I144" s="93">
        <f>SUMIFS('4.2-TS Tariff Schedule'!E:E,'4.2-TS Tariff Schedule'!H:H,'5. 2-W Bill Impacts'!$E118,'4.2-TS Tariff Schedule'!G:G,'5. 2-W Bill Impacts'!D144)</f>
        <v>2.9999999999999997E-4</v>
      </c>
      <c r="J144" s="91">
        <f>E120*E123</f>
        <v>773.01348745802022</v>
      </c>
      <c r="K144" s="78">
        <f>J144*I144</f>
        <v>0.23190404623740604</v>
      </c>
      <c r="L144" s="78">
        <f t="shared" si="24"/>
        <v>-4.2334537625939583E-3</v>
      </c>
      <c r="M144" s="77">
        <f>IF(ISERROR(L144/H144), "", L144/H144)</f>
        <v>-1.7927918109550404E-2</v>
      </c>
    </row>
    <row r="145" spans="1:13" x14ac:dyDescent="0.25">
      <c r="A145" s="40" t="str">
        <f t="shared" ref="A145:A155" si="26">A144</f>
        <v>RESIDENTIAL SERVICE CLASSIFICATION</v>
      </c>
      <c r="C145" s="50"/>
      <c r="D145" s="63" t="s">
        <v>76</v>
      </c>
      <c r="E145" s="82"/>
      <c r="F145" s="92">
        <f>SUMIFS('2.2-TSC Current Schedule'!E:E,'2.2-TSC Current Schedule'!H:H,'5. 2-W Bill Impacts'!$E118,'2.2-TSC Current Schedule'!G:G,'5. 2-W Bill Impacts'!D145)</f>
        <v>0.25</v>
      </c>
      <c r="G145" s="94">
        <v>1</v>
      </c>
      <c r="H145" s="79">
        <f>G145*F145</f>
        <v>0.25</v>
      </c>
      <c r="I145" s="93">
        <f>SUMIFS('4.2-TS Tariff Schedule'!E:E,'4.2-TS Tariff Schedule'!H:H,'5. 2-W Bill Impacts'!$E118,'4.2-TS Tariff Schedule'!G:G,'5. 2-W Bill Impacts'!D145)</f>
        <v>0.25</v>
      </c>
      <c r="J145" s="115">
        <v>1</v>
      </c>
      <c r="K145" s="78">
        <f>J145*I145</f>
        <v>0.25</v>
      </c>
      <c r="L145" s="78">
        <f t="shared" si="24"/>
        <v>0</v>
      </c>
      <c r="M145" s="77">
        <f>IF(ISERROR(L145/H145), "", L145/H145)</f>
        <v>0</v>
      </c>
    </row>
    <row r="146" spans="1:13" x14ac:dyDescent="0.25">
      <c r="A146" s="40" t="str">
        <f t="shared" si="26"/>
        <v>RESIDENTIAL SERVICE CLASSIFICATION</v>
      </c>
      <c r="C146" s="50"/>
      <c r="D146" s="63" t="s">
        <v>132</v>
      </c>
      <c r="E146" s="82"/>
      <c r="F146" s="90"/>
      <c r="G146" s="155"/>
      <c r="H146" s="86"/>
      <c r="I146" s="156"/>
      <c r="J146" s="155"/>
      <c r="K146" s="85"/>
      <c r="L146" s="85"/>
      <c r="M146" s="84"/>
    </row>
    <row r="147" spans="1:13" ht="26.4" hidden="1" x14ac:dyDescent="0.25">
      <c r="A147" s="40" t="str">
        <f t="shared" si="26"/>
        <v>RESIDENTIAL SERVICE CLASSIFICATION</v>
      </c>
      <c r="C147" s="50"/>
      <c r="D147" s="95" t="s">
        <v>231</v>
      </c>
      <c r="E147" s="82"/>
      <c r="F147" s="92"/>
      <c r="G147" s="91">
        <f>E120*E123</f>
        <v>773.01348745802022</v>
      </c>
      <c r="H147" s="79">
        <f t="shared" ref="H147:H152" si="27">G147*F147</f>
        <v>0</v>
      </c>
      <c r="I147" s="93"/>
      <c r="J147" s="91">
        <f>E120*E123</f>
        <v>773.01348745802022</v>
      </c>
      <c r="K147" s="78">
        <f t="shared" ref="K147:K152" si="28">J147*I147</f>
        <v>0</v>
      </c>
      <c r="L147" s="78">
        <f t="shared" ref="L147:L152" si="29">K147-H147</f>
        <v>0</v>
      </c>
      <c r="M147" s="77" t="str">
        <f t="shared" ref="M147:M152" si="30">IF(ISERROR(L147/H147), "", L147/H147)</f>
        <v/>
      </c>
    </row>
    <row r="148" spans="1:13" x14ac:dyDescent="0.25">
      <c r="A148" s="40" t="str">
        <f t="shared" si="26"/>
        <v>RESIDENTIAL SERVICE CLASSIFICATION</v>
      </c>
      <c r="B148" s="76" t="s">
        <v>197</v>
      </c>
      <c r="C148" s="50"/>
      <c r="D148" s="83" t="s">
        <v>199</v>
      </c>
      <c r="E148" s="82"/>
      <c r="F148" s="138">
        <v>6.5000000000000002E-2</v>
      </c>
      <c r="G148" s="80">
        <f>IF(AND(E120*12&gt;=150000),0.65*E120*E122,0.65*E120)</f>
        <v>487.5</v>
      </c>
      <c r="H148" s="79">
        <f t="shared" si="27"/>
        <v>31.6875</v>
      </c>
      <c r="I148" s="137">
        <v>6.5000000000000002E-2</v>
      </c>
      <c r="J148" s="80">
        <f>IF(AND(E120*12&gt;=150000),0.65*E120*E123,0.65*E120)</f>
        <v>487.5</v>
      </c>
      <c r="K148" s="78">
        <f t="shared" si="28"/>
        <v>31.6875</v>
      </c>
      <c r="L148" s="78">
        <f t="shared" si="29"/>
        <v>0</v>
      </c>
      <c r="M148" s="77">
        <f t="shared" si="30"/>
        <v>0</v>
      </c>
    </row>
    <row r="149" spans="1:13" x14ac:dyDescent="0.25">
      <c r="A149" s="40" t="str">
        <f t="shared" si="26"/>
        <v>RESIDENTIAL SERVICE CLASSIFICATION</v>
      </c>
      <c r="B149" s="76" t="s">
        <v>197</v>
      </c>
      <c r="C149" s="50"/>
      <c r="D149" s="83" t="s">
        <v>198</v>
      </c>
      <c r="E149" s="82"/>
      <c r="F149" s="138">
        <v>9.5000000000000001E-2</v>
      </c>
      <c r="G149" s="80">
        <f>IF(AND(E120*12&gt;=150000),0.17*E120*E122,0.17*E120)</f>
        <v>127.50000000000001</v>
      </c>
      <c r="H149" s="79">
        <f t="shared" si="27"/>
        <v>12.112500000000001</v>
      </c>
      <c r="I149" s="137">
        <v>9.5000000000000001E-2</v>
      </c>
      <c r="J149" s="80">
        <f>IF(AND(E120*12&gt;=150000),0.17*E120*E123,0.17*E120)</f>
        <v>127.50000000000001</v>
      </c>
      <c r="K149" s="78">
        <f t="shared" si="28"/>
        <v>12.112500000000001</v>
      </c>
      <c r="L149" s="78">
        <f t="shared" si="29"/>
        <v>0</v>
      </c>
      <c r="M149" s="77">
        <f t="shared" si="30"/>
        <v>0</v>
      </c>
    </row>
    <row r="150" spans="1:13" ht="13.8" thickBot="1" x14ac:dyDescent="0.3">
      <c r="A150" s="40" t="str">
        <f t="shared" si="26"/>
        <v>RESIDENTIAL SERVICE CLASSIFICATION</v>
      </c>
      <c r="B150" s="76" t="s">
        <v>197</v>
      </c>
      <c r="C150" s="50"/>
      <c r="D150" s="76" t="s">
        <v>196</v>
      </c>
      <c r="E150" s="82"/>
      <c r="F150" s="138">
        <v>0.13200000000000001</v>
      </c>
      <c r="G150" s="80">
        <f>IF(AND(E120*12&gt;=150000),0.18*E120*E122,0.18*E120)</f>
        <v>135</v>
      </c>
      <c r="H150" s="79">
        <f t="shared" si="27"/>
        <v>17.82</v>
      </c>
      <c r="I150" s="137">
        <v>0.13200000000000001</v>
      </c>
      <c r="J150" s="80">
        <f>IF(AND(E120*12&gt;=150000),0.18*E120*E123,0.18*E120)</f>
        <v>135</v>
      </c>
      <c r="K150" s="78">
        <f t="shared" si="28"/>
        <v>17.82</v>
      </c>
      <c r="L150" s="78">
        <f t="shared" si="29"/>
        <v>0</v>
      </c>
      <c r="M150" s="77">
        <f t="shared" si="30"/>
        <v>0</v>
      </c>
    </row>
    <row r="151" spans="1:13" ht="13.8" hidden="1" thickBot="1" x14ac:dyDescent="0.3">
      <c r="A151" s="40" t="str">
        <f t="shared" si="26"/>
        <v>RESIDENTIAL SERVICE CLASSIFICATION</v>
      </c>
      <c r="B151" s="40" t="s">
        <v>195</v>
      </c>
      <c r="C151" s="50"/>
      <c r="D151" s="83" t="s">
        <v>230</v>
      </c>
      <c r="E151" s="82"/>
      <c r="F151" s="154">
        <f>0.1101</f>
        <v>0.1101</v>
      </c>
      <c r="G151" s="80">
        <f>IF(AND(E120*12&gt;=150000),E120*E122,E120)</f>
        <v>750</v>
      </c>
      <c r="H151" s="79">
        <f t="shared" si="27"/>
        <v>82.575000000000003</v>
      </c>
      <c r="I151" s="81">
        <f>F151</f>
        <v>0.1101</v>
      </c>
      <c r="J151" s="80">
        <f>IF(AND(E120*12&gt;=150000),E120*E123,E120)</f>
        <v>750</v>
      </c>
      <c r="K151" s="79">
        <f t="shared" si="28"/>
        <v>82.575000000000003</v>
      </c>
      <c r="L151" s="78">
        <f t="shared" si="29"/>
        <v>0</v>
      </c>
      <c r="M151" s="77">
        <f t="shared" si="30"/>
        <v>0</v>
      </c>
    </row>
    <row r="152" spans="1:13" ht="13.8" hidden="1" thickBot="1" x14ac:dyDescent="0.3">
      <c r="A152" s="40" t="str">
        <f t="shared" si="26"/>
        <v>RESIDENTIAL SERVICE CLASSIFICATION</v>
      </c>
      <c r="B152" s="40" t="s">
        <v>188</v>
      </c>
      <c r="C152" s="50"/>
      <c r="D152" s="83" t="s">
        <v>229</v>
      </c>
      <c r="E152" s="82"/>
      <c r="F152" s="154">
        <f>0.1101</f>
        <v>0.1101</v>
      </c>
      <c r="G152" s="80">
        <f>IF(AND(E120*12&gt;=150000),E120*E122,E120)</f>
        <v>750</v>
      </c>
      <c r="H152" s="79">
        <f t="shared" si="27"/>
        <v>82.575000000000003</v>
      </c>
      <c r="I152" s="81">
        <f>F152</f>
        <v>0.1101</v>
      </c>
      <c r="J152" s="80">
        <f>IF(AND(E120*12&gt;=150000),E120*E123,E120)</f>
        <v>750</v>
      </c>
      <c r="K152" s="79">
        <f t="shared" si="28"/>
        <v>82.575000000000003</v>
      </c>
      <c r="L152" s="78">
        <f t="shared" si="29"/>
        <v>0</v>
      </c>
      <c r="M152" s="77">
        <f t="shared" si="30"/>
        <v>0</v>
      </c>
    </row>
    <row r="153" spans="1:13" ht="13.8" thickBot="1" x14ac:dyDescent="0.3">
      <c r="A153" s="40" t="str">
        <f t="shared" si="26"/>
        <v>RESIDENTIAL SERVICE CLASSIFICATION</v>
      </c>
      <c r="B153" s="76"/>
      <c r="C153" s="50"/>
      <c r="D153" s="49"/>
      <c r="E153" s="48"/>
      <c r="F153" s="74"/>
      <c r="G153" s="75"/>
      <c r="H153" s="72"/>
      <c r="I153" s="74"/>
      <c r="J153" s="73"/>
      <c r="K153" s="72"/>
      <c r="L153" s="71"/>
      <c r="M153" s="70"/>
    </row>
    <row r="154" spans="1:13" x14ac:dyDescent="0.25">
      <c r="A154" s="40" t="str">
        <f t="shared" si="26"/>
        <v>RESIDENTIAL SERVICE CLASSIFICATION</v>
      </c>
      <c r="B154" s="76" t="s">
        <v>197</v>
      </c>
      <c r="C154" s="50"/>
      <c r="D154" s="69" t="s">
        <v>225</v>
      </c>
      <c r="E154" s="63"/>
      <c r="F154" s="61"/>
      <c r="G154" s="62"/>
      <c r="H154" s="67">
        <f>SUM(H142:H150,H141)</f>
        <v>102.92851479030497</v>
      </c>
      <c r="I154" s="68"/>
      <c r="J154" s="68"/>
      <c r="K154" s="67">
        <f>SUM(K142:K150,K141)</f>
        <v>102.71917305224687</v>
      </c>
      <c r="L154" s="66">
        <f>K154-H154</f>
        <v>-0.20934173805810019</v>
      </c>
      <c r="M154" s="65">
        <f>IF((H154)=0,"",(L154/H154))</f>
        <v>-2.0338556179945819E-3</v>
      </c>
    </row>
    <row r="155" spans="1:13" x14ac:dyDescent="0.25">
      <c r="A155" s="40" t="str">
        <f t="shared" si="26"/>
        <v>RESIDENTIAL SERVICE CLASSIFICATION</v>
      </c>
      <c r="B155" s="76" t="s">
        <v>197</v>
      </c>
      <c r="C155" s="50"/>
      <c r="D155" s="64" t="s">
        <v>192</v>
      </c>
      <c r="E155" s="63"/>
      <c r="F155" s="61">
        <v>0.13</v>
      </c>
      <c r="G155" s="153"/>
      <c r="H155" s="59">
        <f>H154*F155</f>
        <v>13.380706922739646</v>
      </c>
      <c r="I155" s="60">
        <v>0.13</v>
      </c>
      <c r="J155" s="94"/>
      <c r="K155" s="59">
        <f>K154*I155</f>
        <v>13.353492496792095</v>
      </c>
      <c r="L155" s="58">
        <f>K155-H155</f>
        <v>-2.7214425947551746E-2</v>
      </c>
      <c r="M155" s="57">
        <f>IF((H155)=0,"",(L155/H155))</f>
        <v>-2.0338556179944865E-3</v>
      </c>
    </row>
    <row r="156" spans="1:13" x14ac:dyDescent="0.25">
      <c r="A156" s="40">
        <v>0</v>
      </c>
      <c r="B156" s="76" t="s">
        <v>197</v>
      </c>
      <c r="C156" s="50"/>
      <c r="D156" s="64" t="s">
        <v>191</v>
      </c>
      <c r="E156" s="63"/>
      <c r="F156" s="61">
        <v>0.08</v>
      </c>
      <c r="G156" s="153"/>
      <c r="H156" s="59">
        <f>H154*F156*(-1)</f>
        <v>-8.2342811832243985</v>
      </c>
      <c r="I156" s="61">
        <v>0.08</v>
      </c>
      <c r="J156" s="94"/>
      <c r="K156" s="59">
        <f>K154*I156*(-1)</f>
        <v>-8.2175338441797496</v>
      </c>
      <c r="L156" s="58">
        <f>K156-H156</f>
        <v>1.6747339044648868E-2</v>
      </c>
      <c r="M156" s="57"/>
    </row>
    <row r="157" spans="1:13" ht="13.8" thickBot="1" x14ac:dyDescent="0.3">
      <c r="A157" s="40" t="str">
        <f>A155</f>
        <v>RESIDENTIAL SERVICE CLASSIFICATION</v>
      </c>
      <c r="B157" s="76" t="s">
        <v>228</v>
      </c>
      <c r="C157" s="50">
        <f>B30</f>
        <v>1</v>
      </c>
      <c r="D157" s="264" t="s">
        <v>224</v>
      </c>
      <c r="E157" s="264"/>
      <c r="F157" s="152"/>
      <c r="G157" s="151"/>
      <c r="H157" s="53">
        <f>H154+H155+H156</f>
        <v>108.07494052982022</v>
      </c>
      <c r="I157" s="150"/>
      <c r="J157" s="150"/>
      <c r="K157" s="53">
        <f>K154+K155+K156</f>
        <v>107.85513170485922</v>
      </c>
      <c r="L157" s="149">
        <f>K157-H157</f>
        <v>-0.21980882496100662</v>
      </c>
      <c r="M157" s="148">
        <f>IF((H157)=0,"",(L157/H157))</f>
        <v>-2.0338556179945949E-3</v>
      </c>
    </row>
    <row r="158" spans="1:13" ht="13.8" thickBot="1" x14ac:dyDescent="0.3">
      <c r="A158" s="40" t="str">
        <f>A157</f>
        <v>RESIDENTIAL SERVICE CLASSIFICATION</v>
      </c>
      <c r="B158" s="40" t="s">
        <v>197</v>
      </c>
      <c r="C158" s="50"/>
      <c r="D158" s="49"/>
      <c r="E158" s="48"/>
      <c r="F158" s="74"/>
      <c r="G158" s="75"/>
      <c r="H158" s="72"/>
      <c r="I158" s="74"/>
      <c r="J158" s="73"/>
      <c r="K158" s="72"/>
      <c r="L158" s="71"/>
      <c r="M158" s="70"/>
    </row>
    <row r="159" spans="1:13" hidden="1" x14ac:dyDescent="0.25">
      <c r="A159" s="40" t="str">
        <f>A158</f>
        <v>RESIDENTIAL SERVICE CLASSIFICATION</v>
      </c>
      <c r="B159" s="40" t="s">
        <v>195</v>
      </c>
      <c r="C159" s="50"/>
      <c r="D159" s="69" t="s">
        <v>226</v>
      </c>
      <c r="E159" s="63"/>
      <c r="F159" s="61"/>
      <c r="G159" s="62"/>
      <c r="H159" s="67">
        <f>SUM(H151,H142:H147,H141)</f>
        <v>123.88351479030499</v>
      </c>
      <c r="I159" s="68"/>
      <c r="J159" s="68"/>
      <c r="K159" s="67">
        <f>SUM(K151,K142:K147,K141)</f>
        <v>123.67417305224686</v>
      </c>
      <c r="L159" s="66">
        <f>K159-H159</f>
        <v>-0.20934173805812861</v>
      </c>
      <c r="M159" s="65">
        <f>IF((H159)=0,"",(L159/H159))</f>
        <v>-1.6898272414410985E-3</v>
      </c>
    </row>
    <row r="160" spans="1:13" hidden="1" x14ac:dyDescent="0.25">
      <c r="A160" s="40" t="str">
        <f>A159</f>
        <v>RESIDENTIAL SERVICE CLASSIFICATION</v>
      </c>
      <c r="B160" s="40" t="s">
        <v>195</v>
      </c>
      <c r="C160" s="50"/>
      <c r="D160" s="64" t="s">
        <v>192</v>
      </c>
      <c r="E160" s="63"/>
      <c r="F160" s="61">
        <v>0.13</v>
      </c>
      <c r="G160" s="62"/>
      <c r="H160" s="59">
        <f>H159*F160</f>
        <v>16.10485692273965</v>
      </c>
      <c r="I160" s="61">
        <v>0.13</v>
      </c>
      <c r="J160" s="60"/>
      <c r="K160" s="59">
        <f>K159*I160</f>
        <v>16.077642496792091</v>
      </c>
      <c r="L160" s="58">
        <f>K160-H160</f>
        <v>-2.7214425947558851E-2</v>
      </c>
      <c r="M160" s="57">
        <f>IF((H160)=0,"",(L160/H160))</f>
        <v>-1.6898272414412308E-3</v>
      </c>
    </row>
    <row r="161" spans="1:20" hidden="1" x14ac:dyDescent="0.25">
      <c r="A161" s="40">
        <v>0</v>
      </c>
      <c r="B161" s="40" t="s">
        <v>195</v>
      </c>
      <c r="C161" s="50"/>
      <c r="D161" s="64" t="s">
        <v>191</v>
      </c>
      <c r="E161" s="63"/>
      <c r="F161" s="61">
        <v>0.08</v>
      </c>
      <c r="G161" s="62"/>
      <c r="H161" s="59">
        <f>H159*F161*(-1)</f>
        <v>-9.9106811832243995</v>
      </c>
      <c r="I161" s="61">
        <v>0.08</v>
      </c>
      <c r="J161" s="60"/>
      <c r="K161" s="59">
        <f>K159*I161*(-1)</f>
        <v>-9.8939338441797489</v>
      </c>
      <c r="L161" s="58"/>
      <c r="M161" s="57"/>
    </row>
    <row r="162" spans="1:20" hidden="1" x14ac:dyDescent="0.25">
      <c r="A162" s="40" t="str">
        <f>A160</f>
        <v>RESIDENTIAL SERVICE CLASSIFICATION</v>
      </c>
      <c r="B162" s="40" t="s">
        <v>227</v>
      </c>
      <c r="C162" s="50"/>
      <c r="D162" s="264" t="s">
        <v>226</v>
      </c>
      <c r="E162" s="264"/>
      <c r="F162" s="56"/>
      <c r="G162" s="55"/>
      <c r="H162" s="53">
        <f>H159+H160+H161</f>
        <v>130.07769052982025</v>
      </c>
      <c r="I162" s="54"/>
      <c r="J162" s="54"/>
      <c r="K162" s="53">
        <f>K159+K160+K161</f>
        <v>129.85788170485921</v>
      </c>
      <c r="L162" s="52">
        <f>K162-H162</f>
        <v>-0.21980882496103504</v>
      </c>
      <c r="M162" s="51">
        <f>IF((H162)=0,"",(L162/H162))</f>
        <v>-1.6898272414410985E-3</v>
      </c>
    </row>
    <row r="163" spans="1:20" ht="13.8" hidden="1" thickBot="1" x14ac:dyDescent="0.3">
      <c r="A163" s="40" t="str">
        <f>A162</f>
        <v>RESIDENTIAL SERVICE CLASSIFICATION</v>
      </c>
      <c r="B163" s="40" t="s">
        <v>195</v>
      </c>
      <c r="C163" s="50"/>
      <c r="D163" s="49"/>
      <c r="E163" s="48"/>
      <c r="F163" s="146"/>
      <c r="G163" s="147"/>
      <c r="H163" s="145"/>
      <c r="I163" s="146"/>
      <c r="J163" s="75"/>
      <c r="K163" s="145"/>
      <c r="L163" s="144"/>
      <c r="M163" s="70"/>
    </row>
    <row r="164" spans="1:20" hidden="1" x14ac:dyDescent="0.25">
      <c r="A164" s="40" t="str">
        <f>A163</f>
        <v>RESIDENTIAL SERVICE CLASSIFICATION</v>
      </c>
      <c r="B164" s="40" t="s">
        <v>188</v>
      </c>
      <c r="C164" s="50"/>
      <c r="D164" s="69" t="s">
        <v>189</v>
      </c>
      <c r="E164" s="63"/>
      <c r="F164" s="61"/>
      <c r="G164" s="62"/>
      <c r="H164" s="67">
        <f>SUM(H152,H142:H147,H141)</f>
        <v>123.88351479030499</v>
      </c>
      <c r="I164" s="68"/>
      <c r="J164" s="68"/>
      <c r="K164" s="67">
        <f>SUM(K152,K142:K147,K141)</f>
        <v>123.67417305224686</v>
      </c>
      <c r="L164" s="66">
        <f>K164-H164</f>
        <v>-0.20934173805812861</v>
      </c>
      <c r="M164" s="65">
        <f>IF((H164)=0,"",(L164/H164))</f>
        <v>-1.6898272414410985E-3</v>
      </c>
    </row>
    <row r="165" spans="1:20" hidden="1" x14ac:dyDescent="0.25">
      <c r="A165" s="40" t="str">
        <f>A164</f>
        <v>RESIDENTIAL SERVICE CLASSIFICATION</v>
      </c>
      <c r="B165" s="40" t="s">
        <v>188</v>
      </c>
      <c r="C165" s="50"/>
      <c r="D165" s="64" t="s">
        <v>192</v>
      </c>
      <c r="E165" s="63"/>
      <c r="F165" s="61">
        <v>0.13</v>
      </c>
      <c r="G165" s="62"/>
      <c r="H165" s="59">
        <f>H164*F165</f>
        <v>16.10485692273965</v>
      </c>
      <c r="I165" s="61">
        <v>0.13</v>
      </c>
      <c r="J165" s="60"/>
      <c r="K165" s="59">
        <f>K164*I165</f>
        <v>16.077642496792091</v>
      </c>
      <c r="L165" s="58">
        <f>K165-H165</f>
        <v>-2.7214425947558851E-2</v>
      </c>
      <c r="M165" s="57">
        <f>IF((H165)=0,"",(L165/H165))</f>
        <v>-1.6898272414412308E-3</v>
      </c>
    </row>
    <row r="166" spans="1:20" hidden="1" x14ac:dyDescent="0.25">
      <c r="A166" s="40">
        <v>0</v>
      </c>
      <c r="B166" s="40" t="s">
        <v>188</v>
      </c>
      <c r="C166" s="50"/>
      <c r="D166" s="64" t="s">
        <v>191</v>
      </c>
      <c r="E166" s="63"/>
      <c r="F166" s="61">
        <v>0.08</v>
      </c>
      <c r="G166" s="62"/>
      <c r="H166" s="59">
        <f>H164*F166*(-1)</f>
        <v>-9.9106811832243995</v>
      </c>
      <c r="I166" s="61">
        <v>0.08</v>
      </c>
      <c r="J166" s="60"/>
      <c r="K166" s="59">
        <f>K164*I166*(-1)</f>
        <v>-9.8939338441797489</v>
      </c>
      <c r="L166" s="58"/>
      <c r="M166" s="57"/>
    </row>
    <row r="167" spans="1:20" hidden="1" x14ac:dyDescent="0.25">
      <c r="A167" s="40" t="str">
        <f>A165</f>
        <v>RESIDENTIAL SERVICE CLASSIFICATION</v>
      </c>
      <c r="B167" s="40" t="s">
        <v>190</v>
      </c>
      <c r="C167" s="50"/>
      <c r="D167" s="264" t="s">
        <v>189</v>
      </c>
      <c r="E167" s="264"/>
      <c r="F167" s="56"/>
      <c r="G167" s="55"/>
      <c r="H167" s="53">
        <f>H164+H165+H166</f>
        <v>130.07769052982025</v>
      </c>
      <c r="I167" s="54"/>
      <c r="J167" s="54"/>
      <c r="K167" s="53">
        <f>K164+K165+K166</f>
        <v>129.85788170485921</v>
      </c>
      <c r="L167" s="52">
        <f>K167-H167</f>
        <v>-0.21980882496103504</v>
      </c>
      <c r="M167" s="51">
        <f>IF((H167)=0,"",(L167/H167))</f>
        <v>-1.6898272414410985E-3</v>
      </c>
    </row>
    <row r="168" spans="1:20" ht="13.8" hidden="1" thickBot="1" x14ac:dyDescent="0.3">
      <c r="A168" s="40" t="str">
        <f>A167</f>
        <v>RESIDENTIAL SERVICE CLASSIFICATION</v>
      </c>
      <c r="B168" s="40" t="s">
        <v>188</v>
      </c>
      <c r="C168" s="50"/>
      <c r="D168" s="49"/>
      <c r="E168" s="48"/>
      <c r="F168" s="46"/>
      <c r="G168" s="47"/>
      <c r="H168" s="44"/>
      <c r="I168" s="46"/>
      <c r="J168" s="45"/>
      <c r="K168" s="44"/>
      <c r="L168" s="43"/>
      <c r="M168" s="42"/>
    </row>
    <row r="173" spans="1:20" x14ac:dyDescent="0.25">
      <c r="D173" s="128" t="s">
        <v>223</v>
      </c>
      <c r="E173" s="265" t="str">
        <f>D31</f>
        <v>RESIDENTIAL SERVICE CLASSIFICATION</v>
      </c>
      <c r="F173" s="265"/>
      <c r="G173" s="265"/>
      <c r="H173" s="265"/>
      <c r="I173" s="265"/>
      <c r="J173" s="265"/>
      <c r="K173" s="40" t="str">
        <f>IF(N31="DEMAND - INTERVAL","RTSR - INTERVAL METERED","")</f>
        <v/>
      </c>
      <c r="T173" s="40" t="s">
        <v>222</v>
      </c>
    </row>
    <row r="174" spans="1:20" x14ac:dyDescent="0.25">
      <c r="D174" s="128" t="s">
        <v>221</v>
      </c>
      <c r="E174" s="266" t="str">
        <f>H31</f>
        <v>RPP</v>
      </c>
      <c r="F174" s="266"/>
      <c r="G174" s="266"/>
      <c r="H174" s="135"/>
      <c r="I174" s="135"/>
    </row>
    <row r="175" spans="1:20" ht="15.6" x14ac:dyDescent="0.25">
      <c r="D175" s="128" t="s">
        <v>220</v>
      </c>
      <c r="E175" s="132">
        <f>K31</f>
        <v>357</v>
      </c>
      <c r="F175" s="134" t="s">
        <v>219</v>
      </c>
      <c r="G175" s="76"/>
      <c r="J175" s="133"/>
      <c r="K175" s="133"/>
      <c r="L175" s="133"/>
      <c r="M175" s="133"/>
    </row>
    <row r="176" spans="1:20" ht="15.6" x14ac:dyDescent="0.3">
      <c r="D176" s="128" t="s">
        <v>218</v>
      </c>
      <c r="E176" s="132">
        <f>L31</f>
        <v>0</v>
      </c>
      <c r="F176" s="131" t="s">
        <v>217</v>
      </c>
      <c r="G176" s="130"/>
      <c r="H176" s="129"/>
      <c r="I176" s="129"/>
      <c r="J176" s="129"/>
    </row>
    <row r="177" spans="1:13" x14ac:dyDescent="0.25">
      <c r="D177" s="128" t="s">
        <v>216</v>
      </c>
      <c r="E177" s="127">
        <f>I31</f>
        <v>1.0495000000000001</v>
      </c>
    </row>
    <row r="178" spans="1:13" x14ac:dyDescent="0.25">
      <c r="D178" s="128" t="s">
        <v>215</v>
      </c>
      <c r="E178" s="127">
        <f>J31</f>
        <v>1.030684649944027</v>
      </c>
    </row>
    <row r="179" spans="1:13" x14ac:dyDescent="0.25">
      <c r="D179" s="76"/>
    </row>
    <row r="180" spans="1:13" x14ac:dyDescent="0.25">
      <c r="D180" s="76"/>
      <c r="E180" s="126"/>
      <c r="F180" s="267" t="s">
        <v>214</v>
      </c>
      <c r="G180" s="268"/>
      <c r="H180" s="269"/>
      <c r="I180" s="267" t="s">
        <v>139</v>
      </c>
      <c r="J180" s="268"/>
      <c r="K180" s="269"/>
      <c r="L180" s="267" t="s">
        <v>213</v>
      </c>
      <c r="M180" s="269"/>
    </row>
    <row r="181" spans="1:13" x14ac:dyDescent="0.25">
      <c r="D181" s="76"/>
      <c r="E181" s="270"/>
      <c r="F181" s="125" t="s">
        <v>212</v>
      </c>
      <c r="G181" s="125" t="s">
        <v>211</v>
      </c>
      <c r="H181" s="123" t="s">
        <v>210</v>
      </c>
      <c r="I181" s="125" t="s">
        <v>212</v>
      </c>
      <c r="J181" s="124" t="s">
        <v>211</v>
      </c>
      <c r="K181" s="123" t="s">
        <v>210</v>
      </c>
      <c r="L181" s="272" t="s">
        <v>209</v>
      </c>
      <c r="M181" s="274" t="s">
        <v>208</v>
      </c>
    </row>
    <row r="182" spans="1:13" x14ac:dyDescent="0.25">
      <c r="D182" s="76"/>
      <c r="E182" s="271"/>
      <c r="F182" s="122" t="s">
        <v>207</v>
      </c>
      <c r="G182" s="122"/>
      <c r="H182" s="121" t="s">
        <v>207</v>
      </c>
      <c r="I182" s="122" t="s">
        <v>207</v>
      </c>
      <c r="J182" s="121"/>
      <c r="K182" s="121" t="s">
        <v>207</v>
      </c>
      <c r="L182" s="273"/>
      <c r="M182" s="275"/>
    </row>
    <row r="183" spans="1:13" x14ac:dyDescent="0.25">
      <c r="A183" s="40" t="str">
        <f>$E173</f>
        <v>RESIDENTIAL SERVICE CLASSIFICATION</v>
      </c>
      <c r="C183" s="50"/>
      <c r="D183" s="120" t="s">
        <v>97</v>
      </c>
      <c r="E183" s="82"/>
      <c r="F183" s="160">
        <f>SUMIFS('2.2-TSC Current Schedule'!E:E,'2.2-TSC Current Schedule'!H:H,'5. 2-W Bill Impacts'!$E173,'2.2-TSC Current Schedule'!G:G,'5. 2-W Bill Impacts'!D183)</f>
        <v>24.3</v>
      </c>
      <c r="G183" s="94">
        <v>1</v>
      </c>
      <c r="H183" s="158">
        <f>G183*F183</f>
        <v>24.3</v>
      </c>
      <c r="I183" s="117">
        <f>SUMIFS('4.2-TS Tariff Schedule'!E:E,'4.2-TS Tariff Schedule'!H:H,'5. 2-W Bill Impacts'!$E173,'4.2-TS Tariff Schedule'!G:G,'5. 2-W Bill Impacts'!D183)</f>
        <v>27.84</v>
      </c>
      <c r="J183" s="115">
        <f>G183</f>
        <v>1</v>
      </c>
      <c r="K183" s="78">
        <f>J183*I183</f>
        <v>27.84</v>
      </c>
      <c r="L183" s="78">
        <f t="shared" ref="L183:L200" si="31">K183-H183</f>
        <v>3.5399999999999991</v>
      </c>
      <c r="M183" s="77">
        <f>IF(ISERROR(L183/H183), "", L183/H183)</f>
        <v>0.14567901234567898</v>
      </c>
    </row>
    <row r="184" spans="1:13" x14ac:dyDescent="0.25">
      <c r="A184" s="40" t="str">
        <f t="shared" ref="A184:A197" si="32">A183</f>
        <v>RESIDENTIAL SERVICE CLASSIFICATION</v>
      </c>
      <c r="C184" s="50"/>
      <c r="D184" s="120" t="s">
        <v>96</v>
      </c>
      <c r="E184" s="82"/>
      <c r="F184" s="92">
        <f>SUMIFS('2.2-TSC Current Schedule'!E:E,'2.2-TSC Current Schedule'!H:H,'5. 2-W Bill Impacts'!$E173,'2.2-TSC Current Schedule'!G:G,'5. 2-W Bill Impacts'!D184)</f>
        <v>5.3E-3</v>
      </c>
      <c r="G184" s="94">
        <f>IF($E176&gt;0, $E176, $E175)</f>
        <v>357</v>
      </c>
      <c r="H184" s="158">
        <f>G184*F184</f>
        <v>1.8921000000000001</v>
      </c>
      <c r="I184" s="93">
        <f>SUMIFS('4.2-TS Tariff Schedule'!E:E,'4.2-TS Tariff Schedule'!H:H,'5. 2-W Bill Impacts'!$E173,'4.2-TS Tariff Schedule'!G:G,'5. 2-W Bill Impacts'!D184)</f>
        <v>0</v>
      </c>
      <c r="J184" s="115">
        <f>IF($E176&gt;0, $E176, $E175)</f>
        <v>357</v>
      </c>
      <c r="K184" s="78">
        <f>J184*I184</f>
        <v>0</v>
      </c>
      <c r="L184" s="78">
        <f t="shared" si="31"/>
        <v>-1.8921000000000001</v>
      </c>
      <c r="M184" s="77">
        <f>IF(ISERROR(L184/H184), "", L184/H184)</f>
        <v>-1</v>
      </c>
    </row>
    <row r="185" spans="1:13" x14ac:dyDescent="0.25">
      <c r="A185" s="40" t="str">
        <f t="shared" si="32"/>
        <v>RESIDENTIAL SERVICE CLASSIFICATION</v>
      </c>
      <c r="C185" s="50"/>
      <c r="D185" s="119" t="s">
        <v>118</v>
      </c>
      <c r="E185" s="82"/>
      <c r="F185" s="118">
        <f>SUMIFS('2.2-TSC Current Schedule'!E:E,'2.2-TSC Current Schedule'!H:H,'5. 2-W Bill Impacts'!$E173,'2.2-TSC Current Schedule'!G:G,'5. 2-W Bill Impacts'!D185)</f>
        <v>1.75</v>
      </c>
      <c r="G185" s="94">
        <v>1</v>
      </c>
      <c r="H185" s="158">
        <f>G185*F185</f>
        <v>1.75</v>
      </c>
      <c r="I185" s="117">
        <f>SUMIFS('4.2-TS Tariff Schedule'!E:E,'4.2-TS Tariff Schedule'!H:H,'5. 2-W Bill Impacts'!$E173,'4.2-TS Tariff Schedule'!G:G,'5. 2-W Bill Impacts'!D185)</f>
        <v>0.58336693548370522</v>
      </c>
      <c r="J185" s="115">
        <f>G185</f>
        <v>1</v>
      </c>
      <c r="K185" s="78">
        <f>J185*I185</f>
        <v>0.58336693548370522</v>
      </c>
      <c r="L185" s="78">
        <f t="shared" si="31"/>
        <v>-1.1666330645162948</v>
      </c>
      <c r="M185" s="77">
        <f>IF(ISERROR(L185/H185), "", L185/H185)</f>
        <v>-0.66664746543788278</v>
      </c>
    </row>
    <row r="186" spans="1:13" x14ac:dyDescent="0.25">
      <c r="A186" s="40" t="str">
        <f t="shared" si="32"/>
        <v>RESIDENTIAL SERVICE CLASSIFICATION</v>
      </c>
      <c r="C186" s="50"/>
      <c r="D186" s="116" t="s">
        <v>152</v>
      </c>
      <c r="E186" s="82"/>
      <c r="F186" s="92">
        <f>SUMIFS('2.2-TSC Current Schedule'!E:E,'2.2-TSC Current Schedule'!H:H,'5. 2-W Bill Impacts'!$E173,'2.2-TSC Current Schedule'!G:G,'5. 2-W Bill Impacts'!D186)</f>
        <v>0</v>
      </c>
      <c r="G186" s="94">
        <f>IF($E176&gt;0, $E176, $E175)</f>
        <v>357</v>
      </c>
      <c r="H186" s="158">
        <f>G186*F186</f>
        <v>0</v>
      </c>
      <c r="I186" s="93">
        <f>SUMIFS('4.2-TS Tariff Schedule'!E:E,'4.2-TS Tariff Schedule'!H:H,'5. 2-W Bill Impacts'!$E173,'4.2-TS Tariff Schedule'!G:G,'5. 2-W Bill Impacts'!D186)</f>
        <v>1.7476150688581956E-4</v>
      </c>
      <c r="J186" s="115">
        <f>IF($E176&gt;0, $E176, $E175)</f>
        <v>357</v>
      </c>
      <c r="K186" s="78">
        <f>J186*I186</f>
        <v>6.2389857958237586E-2</v>
      </c>
      <c r="L186" s="78">
        <f t="shared" si="31"/>
        <v>6.2389857958237586E-2</v>
      </c>
      <c r="M186" s="77" t="str">
        <f>IF(ISERROR(L186/H186), "", L186/H186)</f>
        <v/>
      </c>
    </row>
    <row r="187" spans="1:13" x14ac:dyDescent="0.25">
      <c r="A187" s="40" t="str">
        <f t="shared" si="32"/>
        <v>RESIDENTIAL SERVICE CLASSIFICATION</v>
      </c>
      <c r="B187" s="114" t="s">
        <v>206</v>
      </c>
      <c r="C187" s="50">
        <f>B31</f>
        <v>2</v>
      </c>
      <c r="D187" s="113" t="s">
        <v>205</v>
      </c>
      <c r="E187" s="102"/>
      <c r="F187" s="112"/>
      <c r="G187" s="100"/>
      <c r="H187" s="159">
        <f>SUM(H183:H186)</f>
        <v>27.9421</v>
      </c>
      <c r="I187" s="111"/>
      <c r="J187" s="106"/>
      <c r="K187" s="97">
        <f>SUM(K183:K186)</f>
        <v>28.485756793441944</v>
      </c>
      <c r="L187" s="97">
        <f t="shared" si="31"/>
        <v>0.54365679344194362</v>
      </c>
      <c r="M187" s="96">
        <f>IF((H187)=0,"",(L187/H187))</f>
        <v>1.945654741203931E-2</v>
      </c>
    </row>
    <row r="188" spans="1:13" x14ac:dyDescent="0.25">
      <c r="A188" s="40" t="str">
        <f t="shared" si="32"/>
        <v>RESIDENTIAL SERVICE CLASSIFICATION</v>
      </c>
      <c r="C188" s="50"/>
      <c r="D188" s="110" t="s">
        <v>204</v>
      </c>
      <c r="E188" s="82"/>
      <c r="F188" s="92">
        <f>IF((E175*12&gt;=150000), 0, IF(E174="RPP",(F203*0.65+F204*0.17+F205*0.18),IF(E174="Non-RPP (Retailer)",F206,F207)))</f>
        <v>8.2160000000000011E-2</v>
      </c>
      <c r="G188" s="91">
        <f>IF(F188=0, 0, $E175*E177-E175)</f>
        <v>17.671500000000037</v>
      </c>
      <c r="H188" s="158">
        <f>G188*F188</f>
        <v>1.4518904400000032</v>
      </c>
      <c r="I188" s="93">
        <f>IF((E175*12&gt;=150000), 0, IF(E174="RPP",(I203*0.65+I204*0.17+I205*0.18),IF(E174="Non-RPP (Retailer)",I206,I207)))</f>
        <v>8.2160000000000011E-2</v>
      </c>
      <c r="J188" s="91">
        <f>IF(I188=0, 0, E175*E178-E175)</f>
        <v>10.954420030017616</v>
      </c>
      <c r="K188" s="78">
        <f>J188*I188</f>
        <v>0.9000151496662474</v>
      </c>
      <c r="L188" s="78">
        <f t="shared" si="31"/>
        <v>-0.55187529033375582</v>
      </c>
      <c r="M188" s="77">
        <f>IF(ISERROR(L188/H188), "", L188/H188)</f>
        <v>-0.38010808193885109</v>
      </c>
    </row>
    <row r="189" spans="1:13" x14ac:dyDescent="0.25">
      <c r="A189" s="40" t="str">
        <f t="shared" si="32"/>
        <v>RESIDENTIAL SERVICE CLASSIFICATION</v>
      </c>
      <c r="C189" s="50"/>
      <c r="D189" s="110" t="s">
        <v>90</v>
      </c>
      <c r="E189" s="82"/>
      <c r="F189" s="92">
        <f>SUMIFS('2.2-TSC Current Schedule'!E:E,'2.2-TSC Current Schedule'!H:H,'5. 2-W Bill Impacts'!$E173,'2.2-TSC Current Schedule'!G:G,'5. 2-W Bill Impacts'!D189)</f>
        <v>-6.4739169462600422E-3</v>
      </c>
      <c r="G189" s="109">
        <f>IF($E176&gt;0, $E176, $E175)</f>
        <v>357</v>
      </c>
      <c r="H189" s="158">
        <f>G189*F189</f>
        <v>-2.3111883498148349</v>
      </c>
      <c r="I189" s="93">
        <f>SUMIFS('4.2-TS Tariff Schedule'!E:E,'4.2-TS Tariff Schedule'!H:H,'5. 2-W Bill Impacts'!$E173,'4.2-TS Tariff Schedule'!G:G,'5. 2-W Bill Impacts'!D189)</f>
        <v>-1.4185349490900248E-3</v>
      </c>
      <c r="J189" s="109">
        <f>IF($E176&gt;0, $E176, $E175)</f>
        <v>357</v>
      </c>
      <c r="K189" s="78">
        <f>J189*I189</f>
        <v>-0.50641697682513886</v>
      </c>
      <c r="L189" s="78">
        <f t="shared" si="31"/>
        <v>1.8047713729896961</v>
      </c>
      <c r="M189" s="77">
        <f>IF(ISERROR(L189/H189), "", L189/H189)</f>
        <v>-0.78088459260980991</v>
      </c>
    </row>
    <row r="190" spans="1:13" x14ac:dyDescent="0.25">
      <c r="A190" s="40" t="str">
        <f t="shared" si="32"/>
        <v>RESIDENTIAL SERVICE CLASSIFICATION</v>
      </c>
      <c r="C190" s="50"/>
      <c r="D190" s="110" t="s">
        <v>92</v>
      </c>
      <c r="E190" s="82"/>
      <c r="F190" s="92">
        <f>SUMIFS('2.2-TSC Current Schedule'!E:E,'2.2-TSC Current Schedule'!H:H,'5. 2-W Bill Impacts'!$E173,'2.2-TSC Current Schedule'!G:G,'5. 2-W Bill Impacts'!D190)</f>
        <v>1.4200000000000001E-2</v>
      </c>
      <c r="G190" s="109">
        <f>E175</f>
        <v>357</v>
      </c>
      <c r="H190" s="158">
        <f>G190*F190</f>
        <v>5.0693999999999999</v>
      </c>
      <c r="I190" s="93">
        <f>SUMIFS('4.2-TS Tariff Schedule'!E:E,'4.2-TS Tariff Schedule'!H:H,'5. 2-W Bill Impacts'!$E173,'4.2-TS Tariff Schedule'!G:G,'5. 2-W Bill Impacts'!D190)</f>
        <v>3.8237144354832221E-4</v>
      </c>
      <c r="J190" s="109">
        <f>E175</f>
        <v>357</v>
      </c>
      <c r="K190" s="78">
        <f>J190*I190</f>
        <v>0.13650660534675102</v>
      </c>
      <c r="L190" s="78">
        <f t="shared" si="31"/>
        <v>-4.9328933946532487</v>
      </c>
      <c r="M190" s="77">
        <f>IF(ISERROR(L190/H190), "", L190/H190)</f>
        <v>-0.97307243355293505</v>
      </c>
    </row>
    <row r="191" spans="1:13" x14ac:dyDescent="0.25">
      <c r="A191" s="40" t="str">
        <f t="shared" si="32"/>
        <v>RESIDENTIAL SERVICE CLASSIFICATION</v>
      </c>
      <c r="C191" s="50"/>
      <c r="D191" s="108" t="s">
        <v>94</v>
      </c>
      <c r="E191" s="82"/>
      <c r="F191" s="92">
        <f>SUMIFS('2.2-TSC Current Schedule'!E:E,'2.2-TSC Current Schedule'!H:H,'5. 2-W Bill Impacts'!$E173,'2.2-TSC Current Schedule'!G:G,'5. 2-W Bill Impacts'!D191)</f>
        <v>2.3999999999999998E-3</v>
      </c>
      <c r="G191" s="109">
        <f>IF($E176&gt;0, $E176, $E175)</f>
        <v>357</v>
      </c>
      <c r="H191" s="158">
        <f>G191*F191</f>
        <v>0.8567999999999999</v>
      </c>
      <c r="I191" s="93">
        <f>SUMIFS('4.2-TS Tariff Schedule'!E:E,'4.2-TS Tariff Schedule'!H:H,'5. 2-W Bill Impacts'!$E173,'4.2-TS Tariff Schedule'!G:G,'5. 2-W Bill Impacts'!D191)</f>
        <v>2.9999999999999997E-4</v>
      </c>
      <c r="J191" s="109">
        <f>IF($E176&gt;0, $E176, $E175)</f>
        <v>357</v>
      </c>
      <c r="K191" s="78">
        <f>J191*I191</f>
        <v>0.10709999999999999</v>
      </c>
      <c r="L191" s="78">
        <f t="shared" si="31"/>
        <v>-0.74969999999999992</v>
      </c>
      <c r="M191" s="77">
        <f>IF(ISERROR(L191/H191), "", L191/H191)</f>
        <v>-0.875</v>
      </c>
    </row>
    <row r="192" spans="1:13" x14ac:dyDescent="0.25">
      <c r="A192" s="40" t="str">
        <f t="shared" si="32"/>
        <v>RESIDENTIAL SERVICE CLASSIFICATION</v>
      </c>
      <c r="C192" s="50"/>
      <c r="D192" s="108" t="s">
        <v>116</v>
      </c>
      <c r="E192" s="82"/>
      <c r="F192" s="92">
        <f>SUMIFS('2.2-TSC Current Schedule'!E:E,'2.2-TSC Current Schedule'!H:H,'5. 2-W Bill Impacts'!$E173,'2.2-TSC Current Schedule'!G:G,'5. 2-W Bill Impacts'!D192)</f>
        <v>0.56999999999999995</v>
      </c>
      <c r="G192" s="94">
        <v>1</v>
      </c>
      <c r="H192" s="158">
        <f>G192*F192</f>
        <v>0.56999999999999995</v>
      </c>
      <c r="I192" s="93">
        <f>SUMIFS('4.2-TS Tariff Schedule'!E:E,'4.2-TS Tariff Schedule'!H:H,'5. 2-W Bill Impacts'!$E173,'4.2-TS Tariff Schedule'!G:G,'5. 2-W Bill Impacts'!D192)</f>
        <v>0.56999999999999995</v>
      </c>
      <c r="J192" s="94">
        <v>1</v>
      </c>
      <c r="K192" s="78">
        <f>J192*I192</f>
        <v>0.56999999999999995</v>
      </c>
      <c r="L192" s="78">
        <f t="shared" si="31"/>
        <v>0</v>
      </c>
      <c r="M192" s="77">
        <f>IF(ISERROR(L192/H192), "", L192/H192)</f>
        <v>0</v>
      </c>
    </row>
    <row r="193" spans="1:13" x14ac:dyDescent="0.25">
      <c r="A193" s="40" t="str">
        <f t="shared" si="32"/>
        <v>RESIDENTIAL SERVICE CLASSIFICATION</v>
      </c>
      <c r="B193" s="76" t="s">
        <v>203</v>
      </c>
      <c r="C193" s="50">
        <f>B31</f>
        <v>2</v>
      </c>
      <c r="D193" s="103" t="s">
        <v>202</v>
      </c>
      <c r="E193" s="107"/>
      <c r="F193" s="101"/>
      <c r="G193" s="100"/>
      <c r="H193" s="97">
        <f>SUM(H187:H192)-H190</f>
        <v>28.509602090185169</v>
      </c>
      <c r="I193" s="99"/>
      <c r="J193" s="106"/>
      <c r="K193" s="97">
        <f>SUM(K187:K192)-K190</f>
        <v>29.556454966283052</v>
      </c>
      <c r="L193" s="97">
        <f t="shared" si="31"/>
        <v>1.0468528760978835</v>
      </c>
      <c r="M193" s="96">
        <f>IF((H193)=0,"",(L193/H193))</f>
        <v>3.6719308560896308E-2</v>
      </c>
    </row>
    <row r="194" spans="1:13" x14ac:dyDescent="0.25">
      <c r="A194" s="40" t="str">
        <f t="shared" si="32"/>
        <v>RESIDENTIAL SERVICE CLASSIFICATION</v>
      </c>
      <c r="C194" s="50"/>
      <c r="D194" s="105" t="s">
        <v>88</v>
      </c>
      <c r="E194" s="82"/>
      <c r="F194" s="92">
        <f>SUMIFS('2.2-TSC Current Schedule'!E:E,'2.2-TSC Current Schedule'!H:H,'5. 2-W Bill Impacts'!$E173,'2.2-TSC Current Schedule'!G:G,'5. 2-W Bill Impacts'!D194)</f>
        <v>6.1000000000000004E-3</v>
      </c>
      <c r="G194" s="91">
        <f>IF($E176&gt;0, $E176, $E175*$E177)</f>
        <v>374.67150000000004</v>
      </c>
      <c r="H194" s="158">
        <f>G194*F194</f>
        <v>2.2854961500000002</v>
      </c>
      <c r="I194" s="93">
        <f>SUMIFS('4.2-TS Tariff Schedule'!E:E,'4.2-TS Tariff Schedule'!H:H,'5. 2-W Bill Impacts'!$E173,'4.2-TS Tariff Schedule'!G:G,'5. 2-W Bill Impacts'!D194)</f>
        <v>5.7155321582287874E-3</v>
      </c>
      <c r="J194" s="91">
        <f>IF($E176&gt;0, $E176, $E175*$E178)</f>
        <v>367.95442003001762</v>
      </c>
      <c r="K194" s="78">
        <f>J194*I194</f>
        <v>2.1030553204439886</v>
      </c>
      <c r="L194" s="78">
        <f t="shared" si="31"/>
        <v>-0.1824408295560116</v>
      </c>
      <c r="M194" s="77">
        <f>IF(ISERROR(L194/H194), "", L194/H194)</f>
        <v>-7.9825481025645822E-2</v>
      </c>
    </row>
    <row r="195" spans="1:13" x14ac:dyDescent="0.25">
      <c r="A195" s="40" t="str">
        <f t="shared" si="32"/>
        <v>RESIDENTIAL SERVICE CLASSIFICATION</v>
      </c>
      <c r="C195" s="50"/>
      <c r="D195" s="104" t="s">
        <v>86</v>
      </c>
      <c r="E195" s="82"/>
      <c r="F195" s="92">
        <f>SUMIFS('2.2-TSC Current Schedule'!E:E,'2.2-TSC Current Schedule'!H:H,'5. 2-W Bill Impacts'!$E173,'2.2-TSC Current Schedule'!G:G,'5. 2-W Bill Impacts'!D195)</f>
        <v>3.3E-3</v>
      </c>
      <c r="G195" s="91">
        <f>IF($E176&gt;0, $E176, $E175*$E177)</f>
        <v>374.67150000000004</v>
      </c>
      <c r="H195" s="158">
        <f>G195*F195</f>
        <v>1.23641595</v>
      </c>
      <c r="I195" s="93">
        <f>SUMIFS('4.2-TS Tariff Schedule'!E:E,'4.2-TS Tariff Schedule'!H:H,'5. 2-W Bill Impacts'!$E173,'4.2-TS Tariff Schedule'!G:G,'5. 2-W Bill Impacts'!D195)</f>
        <v>4.1912748923984876E-3</v>
      </c>
      <c r="J195" s="91">
        <f>IF($E176&gt;0, $E176, $E175*$E178)</f>
        <v>367.95442003001762</v>
      </c>
      <c r="K195" s="78">
        <f>J195*I195</f>
        <v>1.5421981222188601</v>
      </c>
      <c r="L195" s="78">
        <f t="shared" si="31"/>
        <v>0.30578217221886006</v>
      </c>
      <c r="M195" s="77">
        <f>IF(ISERROR(L195/H195), "", L195/H195)</f>
        <v>0.24731335131907675</v>
      </c>
    </row>
    <row r="196" spans="1:13" x14ac:dyDescent="0.25">
      <c r="A196" s="40" t="str">
        <f t="shared" si="32"/>
        <v>RESIDENTIAL SERVICE CLASSIFICATION</v>
      </c>
      <c r="B196" s="76" t="s">
        <v>201</v>
      </c>
      <c r="C196" s="50">
        <f>B31</f>
        <v>2</v>
      </c>
      <c r="D196" s="103" t="s">
        <v>200</v>
      </c>
      <c r="E196" s="102"/>
      <c r="F196" s="101"/>
      <c r="G196" s="100"/>
      <c r="H196" s="157">
        <f>SUM(H193:H195)</f>
        <v>32.03151419018517</v>
      </c>
      <c r="I196" s="99"/>
      <c r="J196" s="98"/>
      <c r="K196" s="97">
        <f>SUM(K193:K195)</f>
        <v>33.201708408945905</v>
      </c>
      <c r="L196" s="97">
        <f t="shared" si="31"/>
        <v>1.1701942187607344</v>
      </c>
      <c r="M196" s="96">
        <f>IF((H196)=0,"",(L196/H196))</f>
        <v>3.6532591366514156E-2</v>
      </c>
    </row>
    <row r="197" spans="1:13" x14ac:dyDescent="0.25">
      <c r="A197" s="40" t="str">
        <f t="shared" si="32"/>
        <v>RESIDENTIAL SERVICE CLASSIFICATION</v>
      </c>
      <c r="C197" s="50"/>
      <c r="D197" s="95" t="s">
        <v>83</v>
      </c>
      <c r="E197" s="82"/>
      <c r="F197" s="92">
        <f>SUMIFS('2.2-TSC Current Schedule'!E:E,'2.2-TSC Current Schedule'!H:H,'5. 2-W Bill Impacts'!$E173,'2.2-TSC Current Schedule'!G:G,'5. 2-W Bill Impacts'!D197)</f>
        <v>3.2000000000000002E-3</v>
      </c>
      <c r="G197" s="91">
        <f>E175*E177</f>
        <v>374.67150000000004</v>
      </c>
      <c r="H197" s="79">
        <f>G197*F197</f>
        <v>1.1989488000000001</v>
      </c>
      <c r="I197" s="93">
        <f>SUMIFS('4.2-TS Tariff Schedule'!E:E,'4.2-TS Tariff Schedule'!H:H,'5. 2-W Bill Impacts'!$E173,'4.2-TS Tariff Schedule'!G:G,'5. 2-W Bill Impacts'!D197)</f>
        <v>3.2000000000000002E-3</v>
      </c>
      <c r="J197" s="91">
        <f>E175*E178</f>
        <v>367.95442003001762</v>
      </c>
      <c r="K197" s="78">
        <f>J197*I197</f>
        <v>1.1774541440960564</v>
      </c>
      <c r="L197" s="78">
        <f t="shared" si="31"/>
        <v>-2.1494655903943727E-2</v>
      </c>
      <c r="M197" s="77">
        <f>IF(ISERROR(L197/H197), "", L197/H197)</f>
        <v>-1.7927918109550404E-2</v>
      </c>
    </row>
    <row r="198" spans="1:13" x14ac:dyDescent="0.25">
      <c r="C198" s="50"/>
      <c r="D198" s="95" t="s">
        <v>81</v>
      </c>
      <c r="E198" s="82"/>
      <c r="F198" s="92">
        <f>SUMIFS('2.2-TSC Current Schedule'!E:E,'2.2-TSC Current Schedule'!H:H,'5. 2-W Bill Impacts'!$E173,'2.2-TSC Current Schedule'!G:G,'5. 2-W Bill Impacts'!D198)</f>
        <v>4.0000000000000002E-4</v>
      </c>
      <c r="G198" s="91">
        <f>E175*E177</f>
        <v>374.67150000000004</v>
      </c>
      <c r="H198" s="79">
        <f>G198*F198</f>
        <v>0.14986860000000002</v>
      </c>
      <c r="I198" s="93">
        <f>SUMIFS('4.2-TS Tariff Schedule'!E:E,'4.2-TS Tariff Schedule'!H:H,'5. 2-W Bill Impacts'!$E173,'4.2-TS Tariff Schedule'!G:G,'5. 2-W Bill Impacts'!D198)</f>
        <v>4.0000000000000002E-4</v>
      </c>
      <c r="J198" s="91">
        <f>E175*E178</f>
        <v>367.95442003001762</v>
      </c>
      <c r="K198" s="78">
        <f>J198*I198</f>
        <v>0.14718176801200705</v>
      </c>
      <c r="L198" s="78">
        <f t="shared" si="31"/>
        <v>-2.6868319879929659E-3</v>
      </c>
      <c r="M198" s="77">
        <f>IF(ISERROR(L198/H198), "", L198/H198)</f>
        <v>-1.7927918109550404E-2</v>
      </c>
    </row>
    <row r="199" spans="1:13" x14ac:dyDescent="0.25">
      <c r="A199" s="40" t="str">
        <f>A197</f>
        <v>RESIDENTIAL SERVICE CLASSIFICATION</v>
      </c>
      <c r="C199" s="50"/>
      <c r="D199" s="95" t="s">
        <v>78</v>
      </c>
      <c r="E199" s="82"/>
      <c r="F199" s="92">
        <f>SUMIFS('2.2-TSC Current Schedule'!E:E,'2.2-TSC Current Schedule'!H:H,'5. 2-W Bill Impacts'!$E173,'2.2-TSC Current Schedule'!G:G,'5. 2-W Bill Impacts'!D199)</f>
        <v>2.9999999999999997E-4</v>
      </c>
      <c r="G199" s="91">
        <f>E175*E177</f>
        <v>374.67150000000004</v>
      </c>
      <c r="H199" s="79">
        <f>G199*F199</f>
        <v>0.11240145</v>
      </c>
      <c r="I199" s="93">
        <f>SUMIFS('4.2-TS Tariff Schedule'!E:E,'4.2-TS Tariff Schedule'!H:H,'5. 2-W Bill Impacts'!$E173,'4.2-TS Tariff Schedule'!G:G,'5. 2-W Bill Impacts'!D199)</f>
        <v>2.9999999999999997E-4</v>
      </c>
      <c r="J199" s="91">
        <f>E175*E178</f>
        <v>367.95442003001762</v>
      </c>
      <c r="K199" s="78">
        <f>J199*I199</f>
        <v>0.11038632600900528</v>
      </c>
      <c r="L199" s="78">
        <f t="shared" si="31"/>
        <v>-2.0151239909947244E-3</v>
      </c>
      <c r="M199" s="77">
        <f>IF(ISERROR(L199/H199), "", L199/H199)</f>
        <v>-1.7927918109550404E-2</v>
      </c>
    </row>
    <row r="200" spans="1:13" x14ac:dyDescent="0.25">
      <c r="A200" s="40" t="str">
        <f t="shared" ref="A200:A210" si="33">A199</f>
        <v>RESIDENTIAL SERVICE CLASSIFICATION</v>
      </c>
      <c r="C200" s="50"/>
      <c r="D200" s="63" t="s">
        <v>76</v>
      </c>
      <c r="E200" s="82"/>
      <c r="F200" s="92">
        <f>SUMIFS('2.2-TSC Current Schedule'!E:E,'2.2-TSC Current Schedule'!H:H,'5. 2-W Bill Impacts'!$E173,'2.2-TSC Current Schedule'!G:G,'5. 2-W Bill Impacts'!D200)</f>
        <v>0.25</v>
      </c>
      <c r="G200" s="94">
        <v>1</v>
      </c>
      <c r="H200" s="79">
        <f>G200*F200</f>
        <v>0.25</v>
      </c>
      <c r="I200" s="93">
        <f>SUMIFS('4.2-TS Tariff Schedule'!E:E,'4.2-TS Tariff Schedule'!H:H,'5. 2-W Bill Impacts'!$E173,'4.2-TS Tariff Schedule'!G:G,'5. 2-W Bill Impacts'!D200)</f>
        <v>0.25</v>
      </c>
      <c r="J200" s="78">
        <v>1</v>
      </c>
      <c r="K200" s="78">
        <f>J200*I200</f>
        <v>0.25</v>
      </c>
      <c r="L200" s="78">
        <f t="shared" si="31"/>
        <v>0</v>
      </c>
      <c r="M200" s="77">
        <f>IF(ISERROR(L200/H200), "", L200/H200)</f>
        <v>0</v>
      </c>
    </row>
    <row r="201" spans="1:13" x14ac:dyDescent="0.25">
      <c r="A201" s="40" t="str">
        <f t="shared" si="33"/>
        <v>RESIDENTIAL SERVICE CLASSIFICATION</v>
      </c>
      <c r="C201" s="50"/>
      <c r="D201" s="63" t="s">
        <v>132</v>
      </c>
      <c r="E201" s="82"/>
      <c r="F201" s="90"/>
      <c r="G201" s="155"/>
      <c r="H201" s="86"/>
      <c r="I201" s="156"/>
      <c r="J201" s="155"/>
      <c r="K201" s="85"/>
      <c r="L201" s="85"/>
      <c r="M201" s="84"/>
    </row>
    <row r="202" spans="1:13" ht="26.4" hidden="1" x14ac:dyDescent="0.25">
      <c r="A202" s="40" t="str">
        <f t="shared" si="33"/>
        <v>RESIDENTIAL SERVICE CLASSIFICATION</v>
      </c>
      <c r="C202" s="50"/>
      <c r="D202" s="95" t="s">
        <v>231</v>
      </c>
      <c r="E202" s="82"/>
      <c r="F202" s="92"/>
      <c r="G202" s="91">
        <f>E175*E178</f>
        <v>367.95442003001762</v>
      </c>
      <c r="H202" s="79">
        <f t="shared" ref="H202:H207" si="34">G202*F202</f>
        <v>0</v>
      </c>
      <c r="I202" s="93"/>
      <c r="J202" s="91">
        <f>E175*E178</f>
        <v>367.95442003001762</v>
      </c>
      <c r="K202" s="78">
        <f t="shared" ref="K202:K207" si="35">J202*I202</f>
        <v>0</v>
      </c>
      <c r="L202" s="78">
        <f t="shared" ref="L202:L207" si="36">K202-H202</f>
        <v>0</v>
      </c>
      <c r="M202" s="77" t="str">
        <f t="shared" ref="M202:M207" si="37">IF(ISERROR(L202/H202), "", L202/H202)</f>
        <v/>
      </c>
    </row>
    <row r="203" spans="1:13" x14ac:dyDescent="0.25">
      <c r="A203" s="40" t="str">
        <f t="shared" si="33"/>
        <v>RESIDENTIAL SERVICE CLASSIFICATION</v>
      </c>
      <c r="B203" s="76" t="s">
        <v>197</v>
      </c>
      <c r="C203" s="50"/>
      <c r="D203" s="83" t="s">
        <v>199</v>
      </c>
      <c r="E203" s="82"/>
      <c r="F203" s="138">
        <v>6.5000000000000002E-2</v>
      </c>
      <c r="G203" s="80">
        <f>IF(AND(E175*12&gt;=150000),0.65*E175*E177,0.65*E175)</f>
        <v>232.05</v>
      </c>
      <c r="H203" s="79">
        <f t="shared" si="34"/>
        <v>15.083250000000001</v>
      </c>
      <c r="I203" s="137">
        <v>6.5000000000000002E-2</v>
      </c>
      <c r="J203" s="80">
        <f>IF(AND(E175*12&gt;=150000),0.65*E175*E178,0.65*E175)</f>
        <v>232.05</v>
      </c>
      <c r="K203" s="78">
        <f t="shared" si="35"/>
        <v>15.083250000000001</v>
      </c>
      <c r="L203" s="78">
        <f t="shared" si="36"/>
        <v>0</v>
      </c>
      <c r="M203" s="77">
        <f t="shared" si="37"/>
        <v>0</v>
      </c>
    </row>
    <row r="204" spans="1:13" x14ac:dyDescent="0.25">
      <c r="A204" s="40" t="str">
        <f t="shared" si="33"/>
        <v>RESIDENTIAL SERVICE CLASSIFICATION</v>
      </c>
      <c r="B204" s="76" t="s">
        <v>197</v>
      </c>
      <c r="C204" s="50"/>
      <c r="D204" s="83" t="s">
        <v>198</v>
      </c>
      <c r="E204" s="82"/>
      <c r="F204" s="138">
        <v>9.5000000000000001E-2</v>
      </c>
      <c r="G204" s="80">
        <f>IF(AND(E175*12&gt;=150000),0.17*E175*E177,0.17*E175)</f>
        <v>60.690000000000005</v>
      </c>
      <c r="H204" s="79">
        <f t="shared" si="34"/>
        <v>5.7655500000000002</v>
      </c>
      <c r="I204" s="137">
        <v>9.5000000000000001E-2</v>
      </c>
      <c r="J204" s="80">
        <f>IF(AND(E175*12&gt;=150000),0.17*E175*E178,0.17*E175)</f>
        <v>60.690000000000005</v>
      </c>
      <c r="K204" s="78">
        <f t="shared" si="35"/>
        <v>5.7655500000000002</v>
      </c>
      <c r="L204" s="78">
        <f t="shared" si="36"/>
        <v>0</v>
      </c>
      <c r="M204" s="77">
        <f t="shared" si="37"/>
        <v>0</v>
      </c>
    </row>
    <row r="205" spans="1:13" ht="13.8" thickBot="1" x14ac:dyDescent="0.3">
      <c r="A205" s="40" t="str">
        <f t="shared" si="33"/>
        <v>RESIDENTIAL SERVICE CLASSIFICATION</v>
      </c>
      <c r="B205" s="76" t="s">
        <v>197</v>
      </c>
      <c r="C205" s="50"/>
      <c r="D205" s="76" t="s">
        <v>196</v>
      </c>
      <c r="E205" s="82"/>
      <c r="F205" s="138">
        <v>0.13200000000000001</v>
      </c>
      <c r="G205" s="80">
        <f>IF(AND(E175*12&gt;=150000),0.18*E175*E177,0.18*E175)</f>
        <v>64.259999999999991</v>
      </c>
      <c r="H205" s="79">
        <f t="shared" si="34"/>
        <v>8.4823199999999996</v>
      </c>
      <c r="I205" s="137">
        <v>0.13200000000000001</v>
      </c>
      <c r="J205" s="80">
        <f>IF(AND(E175*12&gt;=150000),0.18*E175*E178,0.18*E175)</f>
        <v>64.259999999999991</v>
      </c>
      <c r="K205" s="78">
        <f t="shared" si="35"/>
        <v>8.4823199999999996</v>
      </c>
      <c r="L205" s="78">
        <f t="shared" si="36"/>
        <v>0</v>
      </c>
      <c r="M205" s="77">
        <f t="shared" si="37"/>
        <v>0</v>
      </c>
    </row>
    <row r="206" spans="1:13" ht="13.8" hidden="1" thickBot="1" x14ac:dyDescent="0.3">
      <c r="A206" s="40" t="str">
        <f t="shared" si="33"/>
        <v>RESIDENTIAL SERVICE CLASSIFICATION</v>
      </c>
      <c r="B206" s="40" t="s">
        <v>195</v>
      </c>
      <c r="C206" s="50"/>
      <c r="D206" s="83" t="s">
        <v>230</v>
      </c>
      <c r="E206" s="82"/>
      <c r="F206" s="154">
        <f>0.1101</f>
        <v>0.1101</v>
      </c>
      <c r="G206" s="80">
        <f>IF(AND(E175*12&gt;=150000),E175*E177,E175)</f>
        <v>357</v>
      </c>
      <c r="H206" s="79">
        <f t="shared" si="34"/>
        <v>39.305700000000002</v>
      </c>
      <c r="I206" s="81">
        <f>F206</f>
        <v>0.1101</v>
      </c>
      <c r="J206" s="80">
        <f>IF(AND(E175*12&gt;=150000),E175*E178,E175)</f>
        <v>357</v>
      </c>
      <c r="K206" s="78">
        <f t="shared" si="35"/>
        <v>39.305700000000002</v>
      </c>
      <c r="L206" s="78">
        <f t="shared" si="36"/>
        <v>0</v>
      </c>
      <c r="M206" s="77">
        <f t="shared" si="37"/>
        <v>0</v>
      </c>
    </row>
    <row r="207" spans="1:13" ht="13.8" hidden="1" thickBot="1" x14ac:dyDescent="0.3">
      <c r="A207" s="40" t="str">
        <f t="shared" si="33"/>
        <v>RESIDENTIAL SERVICE CLASSIFICATION</v>
      </c>
      <c r="B207" s="40" t="s">
        <v>188</v>
      </c>
      <c r="C207" s="50"/>
      <c r="D207" s="83" t="s">
        <v>229</v>
      </c>
      <c r="E207" s="82"/>
      <c r="F207" s="154">
        <f>0.1101</f>
        <v>0.1101</v>
      </c>
      <c r="G207" s="80">
        <f>IF(AND(E175*12&gt;=150000),E175*E177,E175)</f>
        <v>357</v>
      </c>
      <c r="H207" s="79">
        <f t="shared" si="34"/>
        <v>39.305700000000002</v>
      </c>
      <c r="I207" s="81">
        <f>F207</f>
        <v>0.1101</v>
      </c>
      <c r="J207" s="80">
        <f>IF(AND(E175*12&gt;=150000),E175*E178,E175)</f>
        <v>357</v>
      </c>
      <c r="K207" s="78">
        <f t="shared" si="35"/>
        <v>39.305700000000002</v>
      </c>
      <c r="L207" s="78">
        <f t="shared" si="36"/>
        <v>0</v>
      </c>
      <c r="M207" s="77">
        <f t="shared" si="37"/>
        <v>0</v>
      </c>
    </row>
    <row r="208" spans="1:13" ht="13.8" thickBot="1" x14ac:dyDescent="0.3">
      <c r="A208" s="40" t="str">
        <f t="shared" si="33"/>
        <v>RESIDENTIAL SERVICE CLASSIFICATION</v>
      </c>
      <c r="B208" s="76"/>
      <c r="C208" s="50"/>
      <c r="D208" s="49"/>
      <c r="E208" s="48"/>
      <c r="F208" s="74"/>
      <c r="G208" s="75"/>
      <c r="H208" s="72"/>
      <c r="I208" s="74"/>
      <c r="J208" s="73"/>
      <c r="K208" s="71"/>
      <c r="L208" s="71"/>
      <c r="M208" s="70"/>
    </row>
    <row r="209" spans="1:13" x14ac:dyDescent="0.25">
      <c r="A209" s="40" t="str">
        <f t="shared" si="33"/>
        <v>RESIDENTIAL SERVICE CLASSIFICATION</v>
      </c>
      <c r="B209" s="76" t="s">
        <v>197</v>
      </c>
      <c r="C209" s="50"/>
      <c r="D209" s="69" t="s">
        <v>225</v>
      </c>
      <c r="E209" s="63"/>
      <c r="F209" s="61"/>
      <c r="G209" s="62"/>
      <c r="H209" s="67">
        <f>SUM(H197:H205,H196)</f>
        <v>63.07385304018517</v>
      </c>
      <c r="I209" s="68"/>
      <c r="J209" s="68"/>
      <c r="K209" s="67">
        <f>SUM(K197:K205,K196)</f>
        <v>64.217850647062974</v>
      </c>
      <c r="L209" s="66">
        <f>K209-H209</f>
        <v>1.1439976068778037</v>
      </c>
      <c r="M209" s="65">
        <f>IF((H209)=0,"",(L209/H209))</f>
        <v>1.8137430198674368E-2</v>
      </c>
    </row>
    <row r="210" spans="1:13" x14ac:dyDescent="0.25">
      <c r="A210" s="40" t="str">
        <f t="shared" si="33"/>
        <v>RESIDENTIAL SERVICE CLASSIFICATION</v>
      </c>
      <c r="B210" s="76" t="s">
        <v>197</v>
      </c>
      <c r="C210" s="50"/>
      <c r="D210" s="64" t="s">
        <v>192</v>
      </c>
      <c r="E210" s="63"/>
      <c r="F210" s="61">
        <v>0.13</v>
      </c>
      <c r="G210" s="153"/>
      <c r="H210" s="59">
        <f>H209*F210</f>
        <v>8.1996008952240729</v>
      </c>
      <c r="I210" s="60">
        <v>0.13</v>
      </c>
      <c r="J210" s="94"/>
      <c r="K210" s="59">
        <f>K209*I210</f>
        <v>8.3483205841181878</v>
      </c>
      <c r="L210" s="58">
        <f>K210-H210</f>
        <v>0.14871968889411491</v>
      </c>
      <c r="M210" s="57">
        <f>IF((H210)=0,"",(L210/H210))</f>
        <v>1.813743019867442E-2</v>
      </c>
    </row>
    <row r="211" spans="1:13" x14ac:dyDescent="0.25">
      <c r="A211" s="40">
        <v>0</v>
      </c>
      <c r="B211" s="76" t="s">
        <v>197</v>
      </c>
      <c r="C211" s="50"/>
      <c r="D211" s="64" t="s">
        <v>191</v>
      </c>
      <c r="E211" s="63"/>
      <c r="F211" s="61">
        <v>0.08</v>
      </c>
      <c r="G211" s="153"/>
      <c r="H211" s="59">
        <f>H209*F211*(-1)</f>
        <v>-5.0459082432148135</v>
      </c>
      <c r="I211" s="61">
        <v>0.08</v>
      </c>
      <c r="J211" s="94"/>
      <c r="K211" s="59">
        <f>K209*I211*(-1)</f>
        <v>-5.1374280517650384</v>
      </c>
      <c r="L211" s="58">
        <f>K211-H211</f>
        <v>-9.1519808550224901E-2</v>
      </c>
      <c r="M211" s="57"/>
    </row>
    <row r="212" spans="1:13" ht="13.8" thickBot="1" x14ac:dyDescent="0.3">
      <c r="A212" s="40" t="str">
        <f>A210</f>
        <v>RESIDENTIAL SERVICE CLASSIFICATION</v>
      </c>
      <c r="B212" s="76" t="s">
        <v>228</v>
      </c>
      <c r="C212" s="50">
        <f>B31</f>
        <v>2</v>
      </c>
      <c r="D212" s="264" t="s">
        <v>224</v>
      </c>
      <c r="E212" s="264"/>
      <c r="F212" s="152"/>
      <c r="G212" s="151"/>
      <c r="H212" s="53">
        <f>H209+H210+H211</f>
        <v>66.227545692194425</v>
      </c>
      <c r="I212" s="150"/>
      <c r="J212" s="150"/>
      <c r="K212" s="53">
        <f>K209+K210+K211</f>
        <v>67.428743179416117</v>
      </c>
      <c r="L212" s="149">
        <f>K212-H212</f>
        <v>1.2011974872216911</v>
      </c>
      <c r="M212" s="148">
        <f>IF((H212)=0,"",(L212/H212))</f>
        <v>1.8137430198674327E-2</v>
      </c>
    </row>
    <row r="213" spans="1:13" ht="13.8" thickBot="1" x14ac:dyDescent="0.3">
      <c r="A213" s="40" t="str">
        <f>A212</f>
        <v>RESIDENTIAL SERVICE CLASSIFICATION</v>
      </c>
      <c r="B213" s="40" t="s">
        <v>197</v>
      </c>
      <c r="C213" s="50"/>
      <c r="D213" s="49"/>
      <c r="E213" s="48"/>
      <c r="F213" s="74"/>
      <c r="G213" s="75"/>
      <c r="H213" s="72"/>
      <c r="I213" s="74"/>
      <c r="J213" s="73"/>
      <c r="K213" s="72"/>
      <c r="L213" s="71"/>
      <c r="M213" s="70"/>
    </row>
    <row r="214" spans="1:13" hidden="1" x14ac:dyDescent="0.25">
      <c r="A214" s="40" t="str">
        <f>A213</f>
        <v>RESIDENTIAL SERVICE CLASSIFICATION</v>
      </c>
      <c r="B214" s="40" t="s">
        <v>195</v>
      </c>
      <c r="C214" s="50"/>
      <c r="D214" s="69" t="s">
        <v>226</v>
      </c>
      <c r="E214" s="63"/>
      <c r="F214" s="61"/>
      <c r="G214" s="62"/>
      <c r="H214" s="67">
        <f>SUM(H206,H197:H202,H196)</f>
        <v>73.048433040185159</v>
      </c>
      <c r="I214" s="68"/>
      <c r="J214" s="68"/>
      <c r="K214" s="67">
        <f>SUM(K206,K197:K202,K196)</f>
        <v>74.192430647062963</v>
      </c>
      <c r="L214" s="66">
        <f>K214-H214</f>
        <v>1.1439976068778037</v>
      </c>
      <c r="M214" s="65">
        <f>IF((H214)=0,"",(L214/H214))</f>
        <v>1.5660809674705432E-2</v>
      </c>
    </row>
    <row r="215" spans="1:13" hidden="1" x14ac:dyDescent="0.25">
      <c r="A215" s="40" t="str">
        <f>A214</f>
        <v>RESIDENTIAL SERVICE CLASSIFICATION</v>
      </c>
      <c r="B215" s="40" t="s">
        <v>195</v>
      </c>
      <c r="C215" s="50"/>
      <c r="D215" s="64" t="s">
        <v>192</v>
      </c>
      <c r="E215" s="63"/>
      <c r="F215" s="61">
        <v>0.13</v>
      </c>
      <c r="G215" s="62"/>
      <c r="H215" s="59">
        <f>H214*F215</f>
        <v>9.4962962952240719</v>
      </c>
      <c r="I215" s="61">
        <v>0.13</v>
      </c>
      <c r="J215" s="60"/>
      <c r="K215" s="59">
        <f>K214*I215</f>
        <v>9.6450159841181851</v>
      </c>
      <c r="L215" s="58">
        <f>K215-H215</f>
        <v>0.14871968889411313</v>
      </c>
      <c r="M215" s="57">
        <f>IF((H215)=0,"",(L215/H215))</f>
        <v>1.5660809674705289E-2</v>
      </c>
    </row>
    <row r="216" spans="1:13" hidden="1" x14ac:dyDescent="0.25">
      <c r="A216" s="40">
        <v>0</v>
      </c>
      <c r="B216" s="40" t="s">
        <v>195</v>
      </c>
      <c r="C216" s="50"/>
      <c r="D216" s="64" t="s">
        <v>191</v>
      </c>
      <c r="E216" s="63"/>
      <c r="F216" s="61">
        <v>0.08</v>
      </c>
      <c r="G216" s="62"/>
      <c r="H216" s="59">
        <f>H214*F216*(-1)</f>
        <v>-5.8438746432148125</v>
      </c>
      <c r="I216" s="61">
        <v>0.08</v>
      </c>
      <c r="J216" s="60"/>
      <c r="K216" s="59">
        <f>K214*I216*(-1)</f>
        <v>-5.9353944517650374</v>
      </c>
      <c r="L216" s="58"/>
      <c r="M216" s="57"/>
    </row>
    <row r="217" spans="1:13" hidden="1" x14ac:dyDescent="0.25">
      <c r="A217" s="40" t="str">
        <f>A215</f>
        <v>RESIDENTIAL SERVICE CLASSIFICATION</v>
      </c>
      <c r="B217" s="40" t="s">
        <v>227</v>
      </c>
      <c r="C217" s="50"/>
      <c r="D217" s="264" t="s">
        <v>226</v>
      </c>
      <c r="E217" s="264"/>
      <c r="F217" s="56"/>
      <c r="G217" s="55"/>
      <c r="H217" s="53">
        <f>H214+H215+H216</f>
        <v>76.700854692194412</v>
      </c>
      <c r="I217" s="54"/>
      <c r="J217" s="54"/>
      <c r="K217" s="53">
        <f>K214+K215+K216</f>
        <v>77.902052179416117</v>
      </c>
      <c r="L217" s="52">
        <f>K217-H217</f>
        <v>1.2011974872217053</v>
      </c>
      <c r="M217" s="51">
        <f>IF((H217)=0,"",(L217/H217))</f>
        <v>1.5660809674705581E-2</v>
      </c>
    </row>
    <row r="218" spans="1:13" ht="13.8" hidden="1" thickBot="1" x14ac:dyDescent="0.3">
      <c r="A218" s="40" t="str">
        <f>A217</f>
        <v>RESIDENTIAL SERVICE CLASSIFICATION</v>
      </c>
      <c r="B218" s="40" t="s">
        <v>195</v>
      </c>
      <c r="C218" s="50"/>
      <c r="D218" s="49"/>
      <c r="E218" s="48"/>
      <c r="F218" s="146"/>
      <c r="G218" s="147"/>
      <c r="H218" s="145"/>
      <c r="I218" s="146"/>
      <c r="J218" s="75"/>
      <c r="K218" s="145"/>
      <c r="L218" s="144"/>
      <c r="M218" s="70"/>
    </row>
    <row r="219" spans="1:13" hidden="1" x14ac:dyDescent="0.25">
      <c r="A219" s="40" t="str">
        <f>A218</f>
        <v>RESIDENTIAL SERVICE CLASSIFICATION</v>
      </c>
      <c r="B219" s="40" t="s">
        <v>188</v>
      </c>
      <c r="C219" s="50"/>
      <c r="D219" s="69" t="s">
        <v>189</v>
      </c>
      <c r="E219" s="63"/>
      <c r="F219" s="61"/>
      <c r="G219" s="62"/>
      <c r="H219" s="67">
        <f>SUM(H207,H197:H202,H196)</f>
        <v>73.048433040185159</v>
      </c>
      <c r="I219" s="68"/>
      <c r="J219" s="68"/>
      <c r="K219" s="67">
        <f>SUM(K207,K197:K202,K196)</f>
        <v>74.192430647062963</v>
      </c>
      <c r="L219" s="66">
        <f>K219-H219</f>
        <v>1.1439976068778037</v>
      </c>
      <c r="M219" s="65">
        <f>IF((H219)=0,"",(L219/H219))</f>
        <v>1.5660809674705432E-2</v>
      </c>
    </row>
    <row r="220" spans="1:13" hidden="1" x14ac:dyDescent="0.25">
      <c r="A220" s="40" t="str">
        <f>A219</f>
        <v>RESIDENTIAL SERVICE CLASSIFICATION</v>
      </c>
      <c r="B220" s="40" t="s">
        <v>188</v>
      </c>
      <c r="C220" s="50"/>
      <c r="D220" s="64" t="s">
        <v>192</v>
      </c>
      <c r="E220" s="63"/>
      <c r="F220" s="61">
        <v>0.13</v>
      </c>
      <c r="G220" s="62"/>
      <c r="H220" s="59">
        <f>H219*F220</f>
        <v>9.4962962952240719</v>
      </c>
      <c r="I220" s="61">
        <v>0.13</v>
      </c>
      <c r="J220" s="60"/>
      <c r="K220" s="59">
        <f>K219*I220</f>
        <v>9.6450159841181851</v>
      </c>
      <c r="L220" s="58">
        <f>K220-H220</f>
        <v>0.14871968889411313</v>
      </c>
      <c r="M220" s="57">
        <f>IF((H220)=0,"",(L220/H220))</f>
        <v>1.5660809674705289E-2</v>
      </c>
    </row>
    <row r="221" spans="1:13" hidden="1" x14ac:dyDescent="0.25">
      <c r="A221" s="40">
        <v>0</v>
      </c>
      <c r="B221" s="40" t="s">
        <v>188</v>
      </c>
      <c r="C221" s="50"/>
      <c r="D221" s="64" t="s">
        <v>191</v>
      </c>
      <c r="E221" s="63"/>
      <c r="F221" s="61">
        <v>0.08</v>
      </c>
      <c r="G221" s="62"/>
      <c r="H221" s="59">
        <f>H219*F221*(-1)</f>
        <v>-5.8438746432148125</v>
      </c>
      <c r="I221" s="61">
        <v>0.08</v>
      </c>
      <c r="J221" s="60"/>
      <c r="K221" s="59">
        <f>K219*I221*(-1)</f>
        <v>-5.9353944517650374</v>
      </c>
      <c r="L221" s="58"/>
      <c r="M221" s="57"/>
    </row>
    <row r="222" spans="1:13" hidden="1" x14ac:dyDescent="0.25">
      <c r="A222" s="40" t="str">
        <f>A220</f>
        <v>RESIDENTIAL SERVICE CLASSIFICATION</v>
      </c>
      <c r="B222" s="40" t="s">
        <v>190</v>
      </c>
      <c r="C222" s="50"/>
      <c r="D222" s="264" t="s">
        <v>189</v>
      </c>
      <c r="E222" s="264"/>
      <c r="F222" s="56"/>
      <c r="G222" s="55"/>
      <c r="H222" s="53">
        <f>H219+H220+H221</f>
        <v>76.700854692194412</v>
      </c>
      <c r="I222" s="54"/>
      <c r="J222" s="54"/>
      <c r="K222" s="53">
        <f>K219+K220+K221</f>
        <v>77.902052179416117</v>
      </c>
      <c r="L222" s="52">
        <f>K222-H222</f>
        <v>1.2011974872217053</v>
      </c>
      <c r="M222" s="51">
        <f>IF((H222)=0,"",(L222/H222))</f>
        <v>1.5660809674705581E-2</v>
      </c>
    </row>
    <row r="223" spans="1:13" ht="13.8" hidden="1" thickBot="1" x14ac:dyDescent="0.3">
      <c r="A223" s="40" t="str">
        <f>A222</f>
        <v>RESIDENTIAL SERVICE CLASSIFICATION</v>
      </c>
      <c r="B223" s="40" t="s">
        <v>188</v>
      </c>
      <c r="C223" s="50"/>
      <c r="D223" s="49"/>
      <c r="E223" s="48"/>
      <c r="F223" s="46"/>
      <c r="G223" s="47"/>
      <c r="H223" s="44"/>
      <c r="I223" s="46"/>
      <c r="J223" s="45"/>
      <c r="K223" s="44"/>
      <c r="L223" s="43"/>
      <c r="M223" s="42"/>
    </row>
    <row r="228" spans="1:20" x14ac:dyDescent="0.25">
      <c r="D228" s="128" t="s">
        <v>223</v>
      </c>
      <c r="E228" s="265" t="str">
        <f>D32</f>
        <v>GENERAL SERVICE LESS THAN 50 kW SERVICE CLASSIFICATION</v>
      </c>
      <c r="F228" s="265"/>
      <c r="G228" s="265"/>
      <c r="H228" s="265"/>
      <c r="I228" s="265"/>
      <c r="J228" s="265"/>
      <c r="K228" s="40" t="str">
        <f>IF(N32="DEMAND - INTERVAL","RTSR - INTERVAL METERED","")</f>
        <v/>
      </c>
      <c r="T228" s="40" t="s">
        <v>222</v>
      </c>
    </row>
    <row r="229" spans="1:20" x14ac:dyDescent="0.25">
      <c r="D229" s="128" t="s">
        <v>221</v>
      </c>
      <c r="E229" s="266" t="str">
        <f>H32</f>
        <v>RPP</v>
      </c>
      <c r="F229" s="266"/>
      <c r="G229" s="266"/>
      <c r="H229" s="135"/>
      <c r="I229" s="135"/>
    </row>
    <row r="230" spans="1:20" ht="15.6" x14ac:dyDescent="0.25">
      <c r="D230" s="128" t="s">
        <v>220</v>
      </c>
      <c r="E230" s="132">
        <f>K32</f>
        <v>2000</v>
      </c>
      <c r="F230" s="134" t="s">
        <v>219</v>
      </c>
      <c r="G230" s="76"/>
      <c r="J230" s="133"/>
      <c r="K230" s="133"/>
      <c r="L230" s="133"/>
      <c r="M230" s="133"/>
    </row>
    <row r="231" spans="1:20" ht="15.6" x14ac:dyDescent="0.3">
      <c r="D231" s="128" t="s">
        <v>218</v>
      </c>
      <c r="E231" s="132">
        <f>L32</f>
        <v>0</v>
      </c>
      <c r="F231" s="131" t="s">
        <v>217</v>
      </c>
      <c r="G231" s="130"/>
      <c r="H231" s="129"/>
      <c r="I231" s="129"/>
      <c r="J231" s="129"/>
    </row>
    <row r="232" spans="1:20" x14ac:dyDescent="0.25">
      <c r="D232" s="128" t="s">
        <v>216</v>
      </c>
      <c r="E232" s="127">
        <f>I32</f>
        <v>1.0495000000000001</v>
      </c>
    </row>
    <row r="233" spans="1:20" x14ac:dyDescent="0.25">
      <c r="D233" s="128" t="s">
        <v>215</v>
      </c>
      <c r="E233" s="127">
        <f>J32</f>
        <v>1.030684649944027</v>
      </c>
    </row>
    <row r="234" spans="1:20" x14ac:dyDescent="0.25">
      <c r="D234" s="76"/>
    </row>
    <row r="235" spans="1:20" x14ac:dyDescent="0.25">
      <c r="D235" s="76"/>
      <c r="E235" s="126"/>
      <c r="F235" s="267" t="s">
        <v>214</v>
      </c>
      <c r="G235" s="268"/>
      <c r="H235" s="269"/>
      <c r="I235" s="267" t="s">
        <v>139</v>
      </c>
      <c r="J235" s="268"/>
      <c r="K235" s="269"/>
      <c r="L235" s="267" t="s">
        <v>213</v>
      </c>
      <c r="M235" s="269"/>
    </row>
    <row r="236" spans="1:20" x14ac:dyDescent="0.25">
      <c r="D236" s="76"/>
      <c r="E236" s="270"/>
      <c r="F236" s="125" t="s">
        <v>212</v>
      </c>
      <c r="G236" s="125" t="s">
        <v>211</v>
      </c>
      <c r="H236" s="123" t="s">
        <v>210</v>
      </c>
      <c r="I236" s="125" t="s">
        <v>212</v>
      </c>
      <c r="J236" s="124" t="s">
        <v>211</v>
      </c>
      <c r="K236" s="123" t="s">
        <v>210</v>
      </c>
      <c r="L236" s="272" t="s">
        <v>209</v>
      </c>
      <c r="M236" s="274" t="s">
        <v>208</v>
      </c>
    </row>
    <row r="237" spans="1:20" x14ac:dyDescent="0.25">
      <c r="D237" s="76"/>
      <c r="E237" s="271"/>
      <c r="F237" s="122" t="s">
        <v>207</v>
      </c>
      <c r="G237" s="122"/>
      <c r="H237" s="121" t="s">
        <v>207</v>
      </c>
      <c r="I237" s="122" t="s">
        <v>207</v>
      </c>
      <c r="J237" s="121"/>
      <c r="K237" s="121" t="s">
        <v>207</v>
      </c>
      <c r="L237" s="273"/>
      <c r="M237" s="275"/>
    </row>
    <row r="238" spans="1:20" x14ac:dyDescent="0.25">
      <c r="A238" s="40" t="str">
        <f>$E228</f>
        <v>GENERAL SERVICE LESS THAN 50 kW SERVICE CLASSIFICATION</v>
      </c>
      <c r="C238" s="50"/>
      <c r="D238" s="120" t="s">
        <v>97</v>
      </c>
      <c r="E238" s="82"/>
      <c r="F238" s="92">
        <f>SUMIFS('2.2-TSC Current Schedule'!E:E,'2.2-TSC Current Schedule'!H:H,'5. 2-W Bill Impacts'!$E228,'2.2-TSC Current Schedule'!G:G,'5. 2-W Bill Impacts'!D238)</f>
        <v>17.36</v>
      </c>
      <c r="G238" s="94">
        <v>1</v>
      </c>
      <c r="H238" s="78">
        <f>G238*F238</f>
        <v>17.36</v>
      </c>
      <c r="I238" s="117">
        <f>SUMIFS('4.2-TS Tariff Schedule'!E:E,'4.2-TS Tariff Schedule'!H:H,'5. 2-W Bill Impacts'!$E228,'4.2-TS Tariff Schedule'!G:G,'5. 2-W Bill Impacts'!D238)</f>
        <v>15</v>
      </c>
      <c r="J238" s="115">
        <f>G238</f>
        <v>1</v>
      </c>
      <c r="K238" s="78">
        <f>J238*I238</f>
        <v>15</v>
      </c>
      <c r="L238" s="78">
        <f t="shared" ref="L238:L259" si="38">K238-H238</f>
        <v>-2.3599999999999994</v>
      </c>
      <c r="M238" s="77">
        <f>IF(ISERROR(L238/H238), "", L238/H238)</f>
        <v>-0.13594470046082946</v>
      </c>
    </row>
    <row r="239" spans="1:20" x14ac:dyDescent="0.25">
      <c r="A239" s="40" t="str">
        <f t="shared" ref="A239:A267" si="39">A238</f>
        <v>GENERAL SERVICE LESS THAN 50 kW SERVICE CLASSIFICATION</v>
      </c>
      <c r="C239" s="50"/>
      <c r="D239" s="120" t="s">
        <v>96</v>
      </c>
      <c r="E239" s="82"/>
      <c r="F239" s="92">
        <f>SUMIFS('2.2-TSC Current Schedule'!E:E,'2.2-TSC Current Schedule'!H:H,'5. 2-W Bill Impacts'!$E228,'2.2-TSC Current Schedule'!G:G,'5. 2-W Bill Impacts'!D239)</f>
        <v>1.7999999999999999E-2</v>
      </c>
      <c r="G239" s="94">
        <f>IF($E231&gt;0, $E231, $E230)</f>
        <v>2000</v>
      </c>
      <c r="H239" s="78">
        <f>G239*F239</f>
        <v>36</v>
      </c>
      <c r="I239" s="93">
        <f>SUMIFS('4.2-TS Tariff Schedule'!E:E,'4.2-TS Tariff Schedule'!H:H,'5. 2-W Bill Impacts'!$E228,'4.2-TS Tariff Schedule'!G:G,'5. 2-W Bill Impacts'!D239)</f>
        <v>1.6E-2</v>
      </c>
      <c r="J239" s="115">
        <f>IF($E231&gt;0, $E231, $E230)</f>
        <v>2000</v>
      </c>
      <c r="K239" s="78">
        <f>J239*I239</f>
        <v>32</v>
      </c>
      <c r="L239" s="78">
        <f t="shared" si="38"/>
        <v>-4</v>
      </c>
      <c r="M239" s="77">
        <f>IF(ISERROR(L239/H239), "", L239/H239)</f>
        <v>-0.1111111111111111</v>
      </c>
    </row>
    <row r="240" spans="1:20" x14ac:dyDescent="0.25">
      <c r="A240" s="40" t="str">
        <f t="shared" si="39"/>
        <v>GENERAL SERVICE LESS THAN 50 kW SERVICE CLASSIFICATION</v>
      </c>
      <c r="C240" s="50"/>
      <c r="D240" s="119" t="s">
        <v>118</v>
      </c>
      <c r="E240" s="82"/>
      <c r="F240" s="118">
        <f>SUMIFS('2.2-TSC Current Schedule'!E:E,'2.2-TSC Current Schedule'!H:H,'5. 2-W Bill Impacts'!$E228,'2.2-TSC Current Schedule'!G:G,'5. 2-W Bill Impacts'!D240)</f>
        <v>4.33</v>
      </c>
      <c r="G240" s="94">
        <v>1</v>
      </c>
      <c r="H240" s="78">
        <f>G240*F240</f>
        <v>4.33</v>
      </c>
      <c r="I240" s="117">
        <f>SUMIFS('4.2-TS Tariff Schedule'!E:E,'4.2-TS Tariff Schedule'!H:H,'5. 2-W Bill Impacts'!$E228,'4.2-TS Tariff Schedule'!G:G,'5. 2-W Bill Impacts'!D240)</f>
        <v>0.25970127986800523</v>
      </c>
      <c r="J240" s="115">
        <f>G240</f>
        <v>1</v>
      </c>
      <c r="K240" s="78">
        <f>J240*I240</f>
        <v>0.25970127986800523</v>
      </c>
      <c r="L240" s="78">
        <f t="shared" si="38"/>
        <v>-4.0702987201319951</v>
      </c>
      <c r="M240" s="77">
        <f>IF(ISERROR(L240/H240), "", L240/H240)</f>
        <v>-0.94002279910669628</v>
      </c>
    </row>
    <row r="241" spans="1:13" x14ac:dyDescent="0.25">
      <c r="A241" s="40" t="str">
        <f t="shared" si="39"/>
        <v>GENERAL SERVICE LESS THAN 50 kW SERVICE CLASSIFICATION</v>
      </c>
      <c r="C241" s="50"/>
      <c r="D241" s="116" t="s">
        <v>152</v>
      </c>
      <c r="E241" s="82"/>
      <c r="F241" s="92">
        <f>SUMIFS('2.2-TSC Current Schedule'!E:E,'2.2-TSC Current Schedule'!H:H,'5. 2-W Bill Impacts'!$E228,'2.2-TSC Current Schedule'!G:G,'5. 2-W Bill Impacts'!D241)</f>
        <v>0</v>
      </c>
      <c r="G241" s="94">
        <f>IF($E231&gt;0, $E231, $E230)</f>
        <v>2000</v>
      </c>
      <c r="H241" s="78">
        <f>G241*F241</f>
        <v>0</v>
      </c>
      <c r="I241" s="93">
        <f>SUMIFS('4.2-TS Tariff Schedule'!E:E,'4.2-TS Tariff Schedule'!H:H,'5. 2-W Bill Impacts'!$E228,'4.2-TS Tariff Schedule'!G:G,'5. 2-W Bill Impacts'!D241)</f>
        <v>3.5745043175175158E-4</v>
      </c>
      <c r="J241" s="115">
        <f>IF($E231&gt;0, $E231, $E230)</f>
        <v>2000</v>
      </c>
      <c r="K241" s="78">
        <f>J241*I241</f>
        <v>0.71490086350350313</v>
      </c>
      <c r="L241" s="78">
        <f t="shared" si="38"/>
        <v>0.71490086350350313</v>
      </c>
      <c r="M241" s="77" t="str">
        <f>IF(ISERROR(L241/H241), "", L241/H241)</f>
        <v/>
      </c>
    </row>
    <row r="242" spans="1:13" x14ac:dyDescent="0.25">
      <c r="A242" s="40" t="str">
        <f t="shared" si="39"/>
        <v>GENERAL SERVICE LESS THAN 50 kW SERVICE CLASSIFICATION</v>
      </c>
      <c r="B242" s="114" t="s">
        <v>206</v>
      </c>
      <c r="C242" s="50">
        <f>B32</f>
        <v>3</v>
      </c>
      <c r="D242" s="113" t="s">
        <v>205</v>
      </c>
      <c r="E242" s="102"/>
      <c r="F242" s="112"/>
      <c r="G242" s="100"/>
      <c r="H242" s="97">
        <f>SUM(H238:H241)</f>
        <v>57.69</v>
      </c>
      <c r="I242" s="111"/>
      <c r="J242" s="106"/>
      <c r="K242" s="97">
        <f>SUM(K238:K241)</f>
        <v>47.974602143371506</v>
      </c>
      <c r="L242" s="97">
        <f t="shared" si="38"/>
        <v>-9.715397856628492</v>
      </c>
      <c r="M242" s="96">
        <f>IF((H242)=0,"",(L242/H242))</f>
        <v>-0.1684069657935256</v>
      </c>
    </row>
    <row r="243" spans="1:13" x14ac:dyDescent="0.25">
      <c r="A243" s="40" t="str">
        <f t="shared" si="39"/>
        <v>GENERAL SERVICE LESS THAN 50 kW SERVICE CLASSIFICATION</v>
      </c>
      <c r="C243" s="50"/>
      <c r="D243" s="110" t="s">
        <v>204</v>
      </c>
      <c r="E243" s="82"/>
      <c r="F243" s="92">
        <f>IF((E230*12&gt;=150000), 0, IF(E229="RPP",(F257*0.65+F258*0.17+F259*0.18),IF(E229="Non-RPP (Retailer)",F260,F261)))</f>
        <v>8.2160000000000011E-2</v>
      </c>
      <c r="G243" s="91">
        <f>IF(F243=0, 0, $E230*E232-E230)</f>
        <v>99</v>
      </c>
      <c r="H243" s="78">
        <f>G243*F243</f>
        <v>8.1338400000000011</v>
      </c>
      <c r="I243" s="92">
        <f>IF((E230*12&gt;=150000), 0, IF(E229="RPP",(I257*0.65+I258*0.17+I259*0.18),IF(E229="Non-RPP (Retailer)",I260,I261)))</f>
        <v>8.2160000000000011E-2</v>
      </c>
      <c r="J243" s="91">
        <f>IF(I243=0, 0, E230*E233-E230)</f>
        <v>61.369299888053774</v>
      </c>
      <c r="K243" s="78">
        <f>J243*I243</f>
        <v>5.0421016788024984</v>
      </c>
      <c r="L243" s="78">
        <f t="shared" si="38"/>
        <v>-3.0917383211975027</v>
      </c>
      <c r="M243" s="77">
        <f>IF(ISERROR(L243/H243), "", L243/H243)</f>
        <v>-0.38010808193885082</v>
      </c>
    </row>
    <row r="244" spans="1:13" x14ac:dyDescent="0.25">
      <c r="A244" s="40" t="str">
        <f t="shared" si="39"/>
        <v>GENERAL SERVICE LESS THAN 50 kW SERVICE CLASSIFICATION</v>
      </c>
      <c r="C244" s="50"/>
      <c r="D244" s="110" t="s">
        <v>90</v>
      </c>
      <c r="E244" s="82"/>
      <c r="F244" s="92">
        <f>SUMIFS('2.2-TSC Current Schedule'!E:E,'2.2-TSC Current Schedule'!H:H,'5. 2-W Bill Impacts'!$E228,'2.2-TSC Current Schedule'!G:G,'5. 2-W Bill Impacts'!D244)</f>
        <v>-6.3844404687474557E-3</v>
      </c>
      <c r="G244" s="109">
        <f>IF($E231&gt;0, $E231, $E230)</f>
        <v>2000</v>
      </c>
      <c r="H244" s="78">
        <f>G244*F244</f>
        <v>-12.768880937494911</v>
      </c>
      <c r="I244" s="93">
        <f>SUMIFS('4.2-TS Tariff Schedule'!E:E,'4.2-TS Tariff Schedule'!H:H,'5. 2-W Bill Impacts'!$E228,'4.2-TS Tariff Schedule'!G:G,'5. 2-W Bill Impacts'!D244)</f>
        <v>-1.3941098854697966E-3</v>
      </c>
      <c r="J244" s="109">
        <f>IF($E231&gt;0, $E231, $E230)</f>
        <v>2000</v>
      </c>
      <c r="K244" s="78">
        <f>J244*I244</f>
        <v>-2.7882197709395933</v>
      </c>
      <c r="L244" s="78">
        <f t="shared" si="38"/>
        <v>9.9806611665553184</v>
      </c>
      <c r="M244" s="77">
        <f>IF(ISERROR(L244/H244), "", L244/H244)</f>
        <v>-0.78163945731906825</v>
      </c>
    </row>
    <row r="245" spans="1:13" x14ac:dyDescent="0.25">
      <c r="A245" s="40" t="str">
        <f t="shared" si="39"/>
        <v>GENERAL SERVICE LESS THAN 50 kW SERVICE CLASSIFICATION</v>
      </c>
      <c r="C245" s="50"/>
      <c r="D245" s="110" t="s">
        <v>92</v>
      </c>
      <c r="E245" s="82"/>
      <c r="F245" s="92">
        <f>SUMIFS('2.2-TSC Current Schedule'!E:E,'2.2-TSC Current Schedule'!H:H,'5. 2-W Bill Impacts'!$E228,'2.2-TSC Current Schedule'!G:G,'5. 2-W Bill Impacts'!D245)</f>
        <v>1.4200000000000001E-2</v>
      </c>
      <c r="G245" s="109">
        <f>E230</f>
        <v>2000</v>
      </c>
      <c r="H245" s="78">
        <f>G245*F245</f>
        <v>28.400000000000002</v>
      </c>
      <c r="I245" s="93">
        <f>SUMIFS('4.2-TS Tariff Schedule'!E:E,'4.2-TS Tariff Schedule'!H:H,'5. 2-W Bill Impacts'!$E228,'4.2-TS Tariff Schedule'!G:G,'5. 2-W Bill Impacts'!D245)</f>
        <v>3.8237144354832221E-4</v>
      </c>
      <c r="J245" s="109">
        <f>E230</f>
        <v>2000</v>
      </c>
      <c r="K245" s="78">
        <f>J245*I245</f>
        <v>0.7647428870966444</v>
      </c>
      <c r="L245" s="78">
        <f t="shared" si="38"/>
        <v>-27.635257112903357</v>
      </c>
      <c r="M245" s="77">
        <f>IF(ISERROR(L245/H245), "", L245/H245)</f>
        <v>-0.97307243355293505</v>
      </c>
    </row>
    <row r="246" spans="1:13" x14ac:dyDescent="0.25">
      <c r="A246" s="40" t="str">
        <f t="shared" si="39"/>
        <v>GENERAL SERVICE LESS THAN 50 kW SERVICE CLASSIFICATION</v>
      </c>
      <c r="C246" s="50"/>
      <c r="D246" s="108" t="s">
        <v>94</v>
      </c>
      <c r="E246" s="82"/>
      <c r="F246" s="92">
        <f>SUMIFS('2.2-TSC Current Schedule'!E:E,'2.2-TSC Current Schedule'!H:H,'5. 2-W Bill Impacts'!$E228,'2.2-TSC Current Schedule'!G:G,'5. 2-W Bill Impacts'!D246)</f>
        <v>2.3999999999999998E-3</v>
      </c>
      <c r="G246" s="109">
        <f>IF($E231&gt;0, $E231, $E230)</f>
        <v>2000</v>
      </c>
      <c r="H246" s="78">
        <f>G246*F246</f>
        <v>4.8</v>
      </c>
      <c r="I246" s="93">
        <f>SUMIFS('4.2-TS Tariff Schedule'!E:E,'4.2-TS Tariff Schedule'!H:H,'5. 2-W Bill Impacts'!$E228,'4.2-TS Tariff Schedule'!G:G,'5. 2-W Bill Impacts'!D246)</f>
        <v>2.0000000000000001E-4</v>
      </c>
      <c r="J246" s="109">
        <f>IF($E231&gt;0, $E231, $E230)</f>
        <v>2000</v>
      </c>
      <c r="K246" s="78">
        <f>J246*I246</f>
        <v>0.4</v>
      </c>
      <c r="L246" s="78">
        <f t="shared" si="38"/>
        <v>-4.3999999999999995</v>
      </c>
      <c r="M246" s="77">
        <f>IF(ISERROR(L246/H246), "", L246/H246)</f>
        <v>-0.91666666666666663</v>
      </c>
    </row>
    <row r="247" spans="1:13" x14ac:dyDescent="0.25">
      <c r="A247" s="40" t="str">
        <f t="shared" si="39"/>
        <v>GENERAL SERVICE LESS THAN 50 kW SERVICE CLASSIFICATION</v>
      </c>
      <c r="C247" s="50"/>
      <c r="D247" s="108" t="s">
        <v>116</v>
      </c>
      <c r="E247" s="82"/>
      <c r="F247" s="92">
        <f>SUMIFS('2.2-TSC Current Schedule'!E:E,'2.2-TSC Current Schedule'!H:H,'5. 2-W Bill Impacts'!$E228,'2.2-TSC Current Schedule'!G:G,'5. 2-W Bill Impacts'!D247)</f>
        <v>0.56999999999999995</v>
      </c>
      <c r="G247" s="94">
        <v>1</v>
      </c>
      <c r="H247" s="78">
        <f>G247*F247</f>
        <v>0.56999999999999995</v>
      </c>
      <c r="I247" s="93">
        <f>SUMIFS('4.2-TS Tariff Schedule'!E:E,'4.2-TS Tariff Schedule'!H:H,'5. 2-W Bill Impacts'!$E228,'4.2-TS Tariff Schedule'!G:G,'5. 2-W Bill Impacts'!D247)</f>
        <v>0.56999999999999995</v>
      </c>
      <c r="J247" s="94">
        <v>1</v>
      </c>
      <c r="K247" s="78">
        <f>J247*I247</f>
        <v>0.56999999999999995</v>
      </c>
      <c r="L247" s="78">
        <f t="shared" si="38"/>
        <v>0</v>
      </c>
      <c r="M247" s="77">
        <f>IF(ISERROR(L247/H247), "", L247/H247)</f>
        <v>0</v>
      </c>
    </row>
    <row r="248" spans="1:13" x14ac:dyDescent="0.25">
      <c r="A248" s="40" t="str">
        <f t="shared" si="39"/>
        <v>GENERAL SERVICE LESS THAN 50 kW SERVICE CLASSIFICATION</v>
      </c>
      <c r="B248" s="76" t="s">
        <v>203</v>
      </c>
      <c r="C248" s="50">
        <f>B32</f>
        <v>3</v>
      </c>
      <c r="D248" s="103" t="s">
        <v>202</v>
      </c>
      <c r="E248" s="107"/>
      <c r="F248" s="101"/>
      <c r="G248" s="100"/>
      <c r="H248" s="97">
        <f>SUM(H242:H247)-H245</f>
        <v>58.424959062505081</v>
      </c>
      <c r="I248" s="99"/>
      <c r="J248" s="106"/>
      <c r="K248" s="97">
        <f>SUM(K242:K247)-K245</f>
        <v>51.198484051234409</v>
      </c>
      <c r="L248" s="97">
        <f t="shared" si="38"/>
        <v>-7.2264750112706722</v>
      </c>
      <c r="M248" s="96">
        <f>IF((H248)=0,"",(L248/H248))</f>
        <v>-0.12368814847674149</v>
      </c>
    </row>
    <row r="249" spans="1:13" x14ac:dyDescent="0.25">
      <c r="A249" s="40" t="str">
        <f t="shared" si="39"/>
        <v>GENERAL SERVICE LESS THAN 50 kW SERVICE CLASSIFICATION</v>
      </c>
      <c r="C249" s="50"/>
      <c r="D249" s="105" t="s">
        <v>88</v>
      </c>
      <c r="E249" s="82"/>
      <c r="F249" s="92">
        <f>SUMIFS('2.2-TSC Current Schedule'!E:E,'2.2-TSC Current Schedule'!H:H,'5. 2-W Bill Impacts'!$E228,'2.2-TSC Current Schedule'!G:G,'5. 2-W Bill Impacts'!D249)</f>
        <v>5.5999999999999999E-3</v>
      </c>
      <c r="G249" s="91">
        <f>IF($E231&gt;0, $E231, $E230*$E232)</f>
        <v>2099</v>
      </c>
      <c r="H249" s="78">
        <f>G249*F249</f>
        <v>11.7544</v>
      </c>
      <c r="I249" s="93">
        <f>SUMIFS('4.2-TS Tariff Schedule'!E:E,'4.2-TS Tariff Schedule'!H:H,'5. 2-W Bill Impacts'!$E228,'4.2-TS Tariff Schedule'!G:G,'5. 2-W Bill Impacts'!D249)</f>
        <v>5.0850496228662173E-3</v>
      </c>
      <c r="J249" s="91">
        <f>IF($E231&gt;0, $E231, $E230*$E233)</f>
        <v>2061.3692998880538</v>
      </c>
      <c r="K249" s="78">
        <f>J249*I249</f>
        <v>10.482165180983746</v>
      </c>
      <c r="L249" s="78">
        <f t="shared" si="38"/>
        <v>-1.2722348190162549</v>
      </c>
      <c r="M249" s="77">
        <f>IF(ISERROR(L249/H249), "", L249/H249)</f>
        <v>-0.10823477327777299</v>
      </c>
    </row>
    <row r="250" spans="1:13" x14ac:dyDescent="0.25">
      <c r="A250" s="40" t="str">
        <f t="shared" si="39"/>
        <v>GENERAL SERVICE LESS THAN 50 kW SERVICE CLASSIFICATION</v>
      </c>
      <c r="C250" s="50"/>
      <c r="D250" s="104" t="s">
        <v>86</v>
      </c>
      <c r="E250" s="82"/>
      <c r="F250" s="92">
        <f>SUMIFS('2.2-TSC Current Schedule'!E:E,'2.2-TSC Current Schedule'!H:H,'5. 2-W Bill Impacts'!$E228,'2.2-TSC Current Schedule'!G:G,'5. 2-W Bill Impacts'!D250)</f>
        <v>2.8E-3</v>
      </c>
      <c r="G250" s="91">
        <f>IF($E231&gt;0, $E231, $E230*$E232)</f>
        <v>2099</v>
      </c>
      <c r="H250" s="78">
        <f>G250*F250</f>
        <v>5.8772000000000002</v>
      </c>
      <c r="I250" s="93">
        <f>SUMIFS('4.2-TS Tariff Schedule'!E:E,'4.2-TS Tariff Schedule'!H:H,'5. 2-W Bill Impacts'!$E228,'4.2-TS Tariff Schedule'!G:G,'5. 2-W Bill Impacts'!D250)</f>
        <v>3.787375942834458E-3</v>
      </c>
      <c r="J250" s="91">
        <f>IF($E231&gt;0, $E231, $E230*$E233)</f>
        <v>2061.3692998880538</v>
      </c>
      <c r="K250" s="78">
        <f>J250*I250</f>
        <v>7.8071804956935242</v>
      </c>
      <c r="L250" s="78">
        <f t="shared" si="38"/>
        <v>1.929980495693524</v>
      </c>
      <c r="M250" s="77">
        <f>IF(ISERROR(L250/H250), "", L250/H250)</f>
        <v>0.32838434895758595</v>
      </c>
    </row>
    <row r="251" spans="1:13" x14ac:dyDescent="0.25">
      <c r="A251" s="40" t="str">
        <f t="shared" si="39"/>
        <v>GENERAL SERVICE LESS THAN 50 kW SERVICE CLASSIFICATION</v>
      </c>
      <c r="B251" s="76" t="s">
        <v>201</v>
      </c>
      <c r="C251" s="50">
        <f>B32</f>
        <v>3</v>
      </c>
      <c r="D251" s="103" t="s">
        <v>200</v>
      </c>
      <c r="E251" s="102"/>
      <c r="F251" s="101"/>
      <c r="G251" s="100"/>
      <c r="H251" s="97">
        <f>SUM(H248:H250)</f>
        <v>76.056559062505087</v>
      </c>
      <c r="I251" s="99"/>
      <c r="J251" s="98"/>
      <c r="K251" s="97">
        <f>SUM(K248:K250)</f>
        <v>69.487829727911688</v>
      </c>
      <c r="L251" s="97">
        <f t="shared" si="38"/>
        <v>-6.5687293345933995</v>
      </c>
      <c r="M251" s="96">
        <f>IF((H251)=0,"",(L251/H251))</f>
        <v>-8.6366375439034276E-2</v>
      </c>
    </row>
    <row r="252" spans="1:13" x14ac:dyDescent="0.25">
      <c r="A252" s="40" t="str">
        <f t="shared" si="39"/>
        <v>GENERAL SERVICE LESS THAN 50 kW SERVICE CLASSIFICATION</v>
      </c>
      <c r="C252" s="50"/>
      <c r="D252" s="95" t="s">
        <v>83</v>
      </c>
      <c r="E252" s="82"/>
      <c r="F252" s="92">
        <f>SUMIFS('2.2-TSC Current Schedule'!E:E,'2.2-TSC Current Schedule'!H:H,'5. 2-W Bill Impacts'!$E228,'2.2-TSC Current Schedule'!G:G,'5. 2-W Bill Impacts'!D252)</f>
        <v>3.2000000000000002E-3</v>
      </c>
      <c r="G252" s="91">
        <f>E230*E232</f>
        <v>2099</v>
      </c>
      <c r="H252" s="78">
        <f t="shared" ref="H252:H259" si="40">G252*F252</f>
        <v>6.7168000000000001</v>
      </c>
      <c r="I252" s="93">
        <f>SUMIFS('4.2-TS Tariff Schedule'!E:E,'4.2-TS Tariff Schedule'!H:H,'5. 2-W Bill Impacts'!$E228,'4.2-TS Tariff Schedule'!G:G,'5. 2-W Bill Impacts'!D252)</f>
        <v>3.2000000000000002E-3</v>
      </c>
      <c r="J252" s="91">
        <f>E230*E233</f>
        <v>2061.3692998880538</v>
      </c>
      <c r="K252" s="78">
        <f t="shared" ref="K252:K259" si="41">J252*I252</f>
        <v>6.5963817596417726</v>
      </c>
      <c r="L252" s="78">
        <f t="shared" si="38"/>
        <v>-0.12041824035822746</v>
      </c>
      <c r="M252" s="77">
        <f t="shared" ref="M252:M259" si="42">IF(ISERROR(L252/H252), "", L252/H252)</f>
        <v>-1.79279181095503E-2</v>
      </c>
    </row>
    <row r="253" spans="1:13" x14ac:dyDescent="0.25">
      <c r="A253" s="40" t="str">
        <f t="shared" si="39"/>
        <v>GENERAL SERVICE LESS THAN 50 kW SERVICE CLASSIFICATION</v>
      </c>
      <c r="C253" s="50"/>
      <c r="D253" s="95" t="s">
        <v>81</v>
      </c>
      <c r="E253" s="82"/>
      <c r="F253" s="92">
        <f>SUMIFS('2.2-TSC Current Schedule'!E:E,'2.2-TSC Current Schedule'!H:H,'5. 2-W Bill Impacts'!$E228,'2.2-TSC Current Schedule'!G:G,'5. 2-W Bill Impacts'!D253)</f>
        <v>4.0000000000000002E-4</v>
      </c>
      <c r="G253" s="91">
        <f>E230*E232</f>
        <v>2099</v>
      </c>
      <c r="H253" s="78">
        <f t="shared" si="40"/>
        <v>0.83960000000000001</v>
      </c>
      <c r="I253" s="93">
        <f>SUMIFS('4.2-TS Tariff Schedule'!E:E,'4.2-TS Tariff Schedule'!H:H,'5. 2-W Bill Impacts'!$E228,'4.2-TS Tariff Schedule'!G:G,'5. 2-W Bill Impacts'!D253)</f>
        <v>4.0000000000000002E-4</v>
      </c>
      <c r="J253" s="91">
        <f>E230*E233</f>
        <v>2061.3692998880538</v>
      </c>
      <c r="K253" s="78">
        <f t="shared" si="41"/>
        <v>0.82454771995522158</v>
      </c>
      <c r="L253" s="78">
        <f t="shared" si="38"/>
        <v>-1.5052280044778432E-2</v>
      </c>
      <c r="M253" s="77">
        <f t="shared" si="42"/>
        <v>-1.79279181095503E-2</v>
      </c>
    </row>
    <row r="254" spans="1:13" x14ac:dyDescent="0.25">
      <c r="A254" s="40" t="str">
        <f t="shared" si="39"/>
        <v>GENERAL SERVICE LESS THAN 50 kW SERVICE CLASSIFICATION</v>
      </c>
      <c r="C254" s="50"/>
      <c r="D254" s="95" t="s">
        <v>78</v>
      </c>
      <c r="E254" s="82"/>
      <c r="F254" s="92">
        <f>SUMIFS('2.2-TSC Current Schedule'!E:E,'2.2-TSC Current Schedule'!H:H,'5. 2-W Bill Impacts'!$E228,'2.2-TSC Current Schedule'!G:G,'5. 2-W Bill Impacts'!D254)</f>
        <v>2.9999999999999997E-4</v>
      </c>
      <c r="G254" s="91">
        <f>E230*E232</f>
        <v>2099</v>
      </c>
      <c r="H254" s="78">
        <f t="shared" si="40"/>
        <v>0.62969999999999993</v>
      </c>
      <c r="I254" s="93">
        <f>SUMIFS('4.2-TS Tariff Schedule'!E:E,'4.2-TS Tariff Schedule'!H:H,'5. 2-W Bill Impacts'!$E228,'4.2-TS Tariff Schedule'!G:G,'5. 2-W Bill Impacts'!D254)</f>
        <v>2.9999999999999997E-4</v>
      </c>
      <c r="J254" s="91">
        <f>E230*E233</f>
        <v>2061.3692998880538</v>
      </c>
      <c r="K254" s="78">
        <f t="shared" si="41"/>
        <v>0.61841078996641607</v>
      </c>
      <c r="L254" s="78">
        <f t="shared" si="38"/>
        <v>-1.1289210033583852E-2</v>
      </c>
      <c r="M254" s="77">
        <f t="shared" si="42"/>
        <v>-1.7927918109550346E-2</v>
      </c>
    </row>
    <row r="255" spans="1:13" x14ac:dyDescent="0.25">
      <c r="A255" s="40" t="str">
        <f t="shared" si="39"/>
        <v>GENERAL SERVICE LESS THAN 50 kW SERVICE CLASSIFICATION</v>
      </c>
      <c r="C255" s="50"/>
      <c r="D255" s="63" t="s">
        <v>76</v>
      </c>
      <c r="E255" s="82"/>
      <c r="F255" s="92">
        <f>SUMIFS('2.2-TSC Current Schedule'!E:E,'2.2-TSC Current Schedule'!H:H,'5. 2-W Bill Impacts'!$E228,'2.2-TSC Current Schedule'!G:G,'5. 2-W Bill Impacts'!D255)</f>
        <v>0.25</v>
      </c>
      <c r="G255" s="94">
        <v>1</v>
      </c>
      <c r="H255" s="78">
        <f t="shared" si="40"/>
        <v>0.25</v>
      </c>
      <c r="I255" s="93">
        <f>SUMIFS('4.2-TS Tariff Schedule'!E:E,'4.2-TS Tariff Schedule'!H:H,'5. 2-W Bill Impacts'!$E228,'4.2-TS Tariff Schedule'!G:G,'5. 2-W Bill Impacts'!D255)</f>
        <v>0.25</v>
      </c>
      <c r="J255" s="78">
        <v>1</v>
      </c>
      <c r="K255" s="78">
        <f t="shared" si="41"/>
        <v>0.25</v>
      </c>
      <c r="L255" s="78">
        <f t="shared" si="38"/>
        <v>0</v>
      </c>
      <c r="M255" s="77">
        <f t="shared" si="42"/>
        <v>0</v>
      </c>
    </row>
    <row r="256" spans="1:13" x14ac:dyDescent="0.25">
      <c r="A256" s="40" t="str">
        <f t="shared" si="39"/>
        <v>GENERAL SERVICE LESS THAN 50 kW SERVICE CLASSIFICATION</v>
      </c>
      <c r="C256" s="50"/>
      <c r="D256" s="63" t="s">
        <v>132</v>
      </c>
      <c r="E256" s="82"/>
      <c r="F256" s="92">
        <v>7.0000000000000001E-3</v>
      </c>
      <c r="G256" s="91">
        <f>E230</f>
        <v>2000</v>
      </c>
      <c r="H256" s="78">
        <f t="shared" si="40"/>
        <v>14</v>
      </c>
      <c r="I256" s="92">
        <v>7.0000000000000001E-3</v>
      </c>
      <c r="J256" s="91">
        <f>E230</f>
        <v>2000</v>
      </c>
      <c r="K256" s="78">
        <f t="shared" si="41"/>
        <v>14</v>
      </c>
      <c r="L256" s="78">
        <f t="shared" si="38"/>
        <v>0</v>
      </c>
      <c r="M256" s="77">
        <f t="shared" si="42"/>
        <v>0</v>
      </c>
    </row>
    <row r="257" spans="1:20" x14ac:dyDescent="0.25">
      <c r="A257" s="40" t="str">
        <f t="shared" si="39"/>
        <v>GENERAL SERVICE LESS THAN 50 kW SERVICE CLASSIFICATION</v>
      </c>
      <c r="B257" s="76" t="s">
        <v>197</v>
      </c>
      <c r="C257" s="50"/>
      <c r="D257" s="83" t="s">
        <v>199</v>
      </c>
      <c r="E257" s="82"/>
      <c r="F257" s="138">
        <v>6.5000000000000002E-2</v>
      </c>
      <c r="G257" s="80">
        <f>IF(AND(E230*12&gt;=150000),0.65*E230*E232,0.65*E230)</f>
        <v>1300</v>
      </c>
      <c r="H257" s="79">
        <f t="shared" si="40"/>
        <v>84.5</v>
      </c>
      <c r="I257" s="137">
        <v>6.5000000000000002E-2</v>
      </c>
      <c r="J257" s="80">
        <f>IF(AND(E230*12&gt;=150000),0.65*E230*E232,0.65*E230)</f>
        <v>1300</v>
      </c>
      <c r="K257" s="78">
        <f t="shared" si="41"/>
        <v>84.5</v>
      </c>
      <c r="L257" s="78">
        <f t="shared" si="38"/>
        <v>0</v>
      </c>
      <c r="M257" s="77">
        <f t="shared" si="42"/>
        <v>0</v>
      </c>
    </row>
    <row r="258" spans="1:20" x14ac:dyDescent="0.25">
      <c r="A258" s="40" t="str">
        <f t="shared" si="39"/>
        <v>GENERAL SERVICE LESS THAN 50 kW SERVICE CLASSIFICATION</v>
      </c>
      <c r="B258" s="76" t="s">
        <v>197</v>
      </c>
      <c r="C258" s="50"/>
      <c r="D258" s="83" t="s">
        <v>198</v>
      </c>
      <c r="E258" s="82"/>
      <c r="F258" s="138">
        <v>9.5000000000000001E-2</v>
      </c>
      <c r="G258" s="80">
        <f>IF(AND(E230*12&gt;=150000),0.17*E230*E231,0.17*E230)</f>
        <v>340</v>
      </c>
      <c r="H258" s="79">
        <f t="shared" si="40"/>
        <v>32.299999999999997</v>
      </c>
      <c r="I258" s="137">
        <v>9.5000000000000001E-2</v>
      </c>
      <c r="J258" s="80">
        <f>IF(AND(E230*12&gt;=150000),0.17*E230*E232,0.17*E230)</f>
        <v>340</v>
      </c>
      <c r="K258" s="78">
        <f t="shared" si="41"/>
        <v>32.299999999999997</v>
      </c>
      <c r="L258" s="78">
        <f t="shared" si="38"/>
        <v>0</v>
      </c>
      <c r="M258" s="77">
        <f t="shared" si="42"/>
        <v>0</v>
      </c>
    </row>
    <row r="259" spans="1:20" x14ac:dyDescent="0.25">
      <c r="A259" s="40" t="str">
        <f t="shared" si="39"/>
        <v>GENERAL SERVICE LESS THAN 50 kW SERVICE CLASSIFICATION</v>
      </c>
      <c r="B259" s="76" t="s">
        <v>197</v>
      </c>
      <c r="C259" s="50"/>
      <c r="D259" s="76" t="s">
        <v>196</v>
      </c>
      <c r="E259" s="82"/>
      <c r="F259" s="138">
        <v>0.13200000000000001</v>
      </c>
      <c r="G259" s="80">
        <f>IF(AND(E230*12&gt;=150000),0.18*E230*E231,0.18*E230)</f>
        <v>360</v>
      </c>
      <c r="H259" s="79">
        <f t="shared" si="40"/>
        <v>47.52</v>
      </c>
      <c r="I259" s="137">
        <v>0.13200000000000001</v>
      </c>
      <c r="J259" s="80">
        <f>IF(AND(E230*12&gt;=150000),0.18*E230*E232,0.18*E230)</f>
        <v>360</v>
      </c>
      <c r="K259" s="78">
        <f t="shared" si="41"/>
        <v>47.52</v>
      </c>
      <c r="L259" s="78">
        <f t="shared" si="38"/>
        <v>0</v>
      </c>
      <c r="M259" s="77">
        <f t="shared" si="42"/>
        <v>0</v>
      </c>
    </row>
    <row r="260" spans="1:20" x14ac:dyDescent="0.25">
      <c r="A260" s="40" t="str">
        <f t="shared" si="39"/>
        <v>GENERAL SERVICE LESS THAN 50 kW SERVICE CLASSIFICATION</v>
      </c>
      <c r="B260" s="40" t="s">
        <v>195</v>
      </c>
      <c r="C260" s="50"/>
      <c r="D260" s="83" t="s">
        <v>194</v>
      </c>
      <c r="E260" s="82"/>
      <c r="F260" s="143"/>
      <c r="G260" s="142"/>
      <c r="H260" s="141"/>
      <c r="I260" s="143"/>
      <c r="J260" s="142"/>
      <c r="K260" s="141"/>
      <c r="L260" s="140"/>
      <c r="M260" s="139"/>
    </row>
    <row r="261" spans="1:20" ht="13.8" thickBot="1" x14ac:dyDescent="0.3">
      <c r="A261" s="40" t="str">
        <f t="shared" si="39"/>
        <v>GENERAL SERVICE LESS THAN 50 kW SERVICE CLASSIFICATION</v>
      </c>
      <c r="B261" s="40" t="s">
        <v>188</v>
      </c>
      <c r="C261" s="50"/>
      <c r="D261" s="83" t="s">
        <v>193</v>
      </c>
      <c r="E261" s="82"/>
      <c r="F261" s="143"/>
      <c r="G261" s="142"/>
      <c r="H261" s="141"/>
      <c r="I261" s="143"/>
      <c r="J261" s="142"/>
      <c r="K261" s="141"/>
      <c r="L261" s="140"/>
      <c r="M261" s="139"/>
    </row>
    <row r="262" spans="1:20" ht="13.8" thickBot="1" x14ac:dyDescent="0.3">
      <c r="A262" s="40" t="str">
        <f t="shared" si="39"/>
        <v>GENERAL SERVICE LESS THAN 50 kW SERVICE CLASSIFICATION</v>
      </c>
      <c r="B262" s="76"/>
      <c r="C262" s="50"/>
      <c r="D262" s="49"/>
      <c r="E262" s="48"/>
      <c r="F262" s="74"/>
      <c r="G262" s="75"/>
      <c r="H262" s="72"/>
      <c r="I262" s="74"/>
      <c r="J262" s="73"/>
      <c r="K262" s="72"/>
      <c r="L262" s="71"/>
      <c r="M262" s="70"/>
    </row>
    <row r="263" spans="1:20" x14ac:dyDescent="0.25">
      <c r="A263" s="40" t="str">
        <f t="shared" si="39"/>
        <v>GENERAL SERVICE LESS THAN 50 kW SERVICE CLASSIFICATION</v>
      </c>
      <c r="B263" s="40" t="s">
        <v>188</v>
      </c>
      <c r="C263" s="50"/>
      <c r="D263" s="69" t="s">
        <v>225</v>
      </c>
      <c r="E263" s="63"/>
      <c r="F263" s="61"/>
      <c r="G263" s="62"/>
      <c r="H263" s="67">
        <f>SUM(H251:H261)</f>
        <v>262.81265906250508</v>
      </c>
      <c r="I263" s="68"/>
      <c r="J263" s="68"/>
      <c r="K263" s="67">
        <f>SUM(K251:K261)</f>
        <v>256.09716999747508</v>
      </c>
      <c r="L263" s="66">
        <f>K263-H263</f>
        <v>-6.715489065029999</v>
      </c>
      <c r="M263" s="65">
        <f>IF((H263)=0,"",(L263/H263))</f>
        <v>-2.5552380501705E-2</v>
      </c>
    </row>
    <row r="264" spans="1:20" x14ac:dyDescent="0.25">
      <c r="A264" s="40" t="str">
        <f t="shared" si="39"/>
        <v>GENERAL SERVICE LESS THAN 50 kW SERVICE CLASSIFICATION</v>
      </c>
      <c r="B264" s="40" t="s">
        <v>188</v>
      </c>
      <c r="C264" s="50"/>
      <c r="D264" s="64" t="s">
        <v>192</v>
      </c>
      <c r="E264" s="63"/>
      <c r="F264" s="61">
        <v>0.13</v>
      </c>
      <c r="G264" s="62"/>
      <c r="H264" s="59">
        <f>H263*F264</f>
        <v>34.165645678125664</v>
      </c>
      <c r="I264" s="61">
        <v>0.13</v>
      </c>
      <c r="J264" s="60"/>
      <c r="K264" s="59">
        <f>K263*I264</f>
        <v>33.292632099671764</v>
      </c>
      <c r="L264" s="58">
        <f>K264-H264</f>
        <v>-0.87301357845390015</v>
      </c>
      <c r="M264" s="57">
        <f>IF((H264)=0,"",(L264/H264))</f>
        <v>-2.5552380501705007E-2</v>
      </c>
    </row>
    <row r="265" spans="1:20" x14ac:dyDescent="0.25">
      <c r="A265" s="40" t="str">
        <f t="shared" si="39"/>
        <v>GENERAL SERVICE LESS THAN 50 kW SERVICE CLASSIFICATION</v>
      </c>
      <c r="B265" s="40" t="s">
        <v>188</v>
      </c>
      <c r="C265" s="50"/>
      <c r="D265" s="64" t="s">
        <v>191</v>
      </c>
      <c r="E265" s="63"/>
      <c r="F265" s="61">
        <v>0.08</v>
      </c>
      <c r="G265" s="62"/>
      <c r="H265" s="59">
        <v>0</v>
      </c>
      <c r="I265" s="61">
        <v>0.08</v>
      </c>
      <c r="J265" s="60"/>
      <c r="K265" s="59">
        <v>0</v>
      </c>
      <c r="L265" s="58"/>
      <c r="M265" s="57"/>
    </row>
    <row r="266" spans="1:20" ht="13.8" thickBot="1" x14ac:dyDescent="0.3">
      <c r="A266" s="40" t="str">
        <f t="shared" si="39"/>
        <v>GENERAL SERVICE LESS THAN 50 kW SERVICE CLASSIFICATION</v>
      </c>
      <c r="B266" s="40" t="s">
        <v>190</v>
      </c>
      <c r="C266" s="50">
        <f>B32</f>
        <v>3</v>
      </c>
      <c r="D266" s="264" t="s">
        <v>224</v>
      </c>
      <c r="E266" s="264"/>
      <c r="F266" s="56"/>
      <c r="G266" s="55"/>
      <c r="H266" s="53">
        <f>H263+H264+H265</f>
        <v>296.97830474063073</v>
      </c>
      <c r="I266" s="54"/>
      <c r="J266" s="54"/>
      <c r="K266" s="53">
        <f>K263+K264+K265</f>
        <v>289.38980209714686</v>
      </c>
      <c r="L266" s="52">
        <f>K266-H266</f>
        <v>-7.5885026434838778</v>
      </c>
      <c r="M266" s="51">
        <f>IF((H266)=0,"",(L266/H266))</f>
        <v>-2.5552380501704931E-2</v>
      </c>
    </row>
    <row r="267" spans="1:20" ht="13.8" thickBot="1" x14ac:dyDescent="0.3">
      <c r="A267" s="40" t="str">
        <f t="shared" si="39"/>
        <v>GENERAL SERVICE LESS THAN 50 kW SERVICE CLASSIFICATION</v>
      </c>
      <c r="B267" s="40" t="s">
        <v>188</v>
      </c>
      <c r="C267" s="50"/>
      <c r="D267" s="49"/>
      <c r="E267" s="48"/>
      <c r="F267" s="46"/>
      <c r="G267" s="47"/>
      <c r="H267" s="44"/>
      <c r="I267" s="46"/>
      <c r="J267" s="45"/>
      <c r="K267" s="44"/>
      <c r="L267" s="43"/>
      <c r="M267" s="42"/>
    </row>
    <row r="272" spans="1:20" x14ac:dyDescent="0.25">
      <c r="D272" s="128" t="s">
        <v>223</v>
      </c>
      <c r="E272" s="265" t="str">
        <f>D33</f>
        <v>GENERAL SERVICE 50 TO 999 KW INTERVAL &lt;1000</v>
      </c>
      <c r="F272" s="265"/>
      <c r="G272" s="265"/>
      <c r="H272" s="265"/>
      <c r="I272" s="265"/>
      <c r="J272" s="265"/>
      <c r="K272" s="40" t="str">
        <f>IF(N76="DEMAND - INTERVAL","RTSR - INTERVAL METERED","")</f>
        <v/>
      </c>
      <c r="T272" s="40" t="s">
        <v>222</v>
      </c>
    </row>
    <row r="273" spans="1:13" x14ac:dyDescent="0.25">
      <c r="D273" s="128" t="s">
        <v>221</v>
      </c>
      <c r="E273" s="266">
        <f>H76</f>
        <v>0.54365679344194362</v>
      </c>
      <c r="F273" s="266"/>
      <c r="G273" s="266"/>
      <c r="H273" s="135"/>
      <c r="I273" s="135"/>
    </row>
    <row r="274" spans="1:13" ht="15.6" x14ac:dyDescent="0.25">
      <c r="D274" s="128" t="s">
        <v>220</v>
      </c>
      <c r="E274" s="132">
        <f>K33</f>
        <v>20000</v>
      </c>
      <c r="F274" s="134" t="s">
        <v>219</v>
      </c>
      <c r="G274" s="76"/>
      <c r="J274" s="133"/>
      <c r="K274" s="133"/>
      <c r="L274" s="133"/>
      <c r="M274" s="133"/>
    </row>
    <row r="275" spans="1:13" ht="15.6" x14ac:dyDescent="0.3">
      <c r="D275" s="128" t="s">
        <v>218</v>
      </c>
      <c r="E275" s="132">
        <f>L33</f>
        <v>60</v>
      </c>
      <c r="F275" s="131" t="s">
        <v>217</v>
      </c>
      <c r="G275" s="130"/>
      <c r="H275" s="129"/>
      <c r="I275" s="129"/>
      <c r="J275" s="129"/>
    </row>
    <row r="276" spans="1:13" x14ac:dyDescent="0.25">
      <c r="D276" s="128" t="s">
        <v>216</v>
      </c>
      <c r="E276" s="127">
        <f>I33</f>
        <v>1.0495000000000001</v>
      </c>
    </row>
    <row r="277" spans="1:13" x14ac:dyDescent="0.25">
      <c r="D277" s="128" t="s">
        <v>215</v>
      </c>
      <c r="E277" s="127">
        <f>J33</f>
        <v>1.030684649944027</v>
      </c>
    </row>
    <row r="278" spans="1:13" x14ac:dyDescent="0.25">
      <c r="D278" s="76"/>
    </row>
    <row r="279" spans="1:13" x14ac:dyDescent="0.25">
      <c r="D279" s="76"/>
      <c r="E279" s="126"/>
      <c r="F279" s="267" t="s">
        <v>214</v>
      </c>
      <c r="G279" s="268"/>
      <c r="H279" s="269"/>
      <c r="I279" s="267" t="s">
        <v>139</v>
      </c>
      <c r="J279" s="268"/>
      <c r="K279" s="269"/>
      <c r="L279" s="267" t="s">
        <v>213</v>
      </c>
      <c r="M279" s="269"/>
    </row>
    <row r="280" spans="1:13" x14ac:dyDescent="0.25">
      <c r="D280" s="76"/>
      <c r="E280" s="270"/>
      <c r="F280" s="125" t="s">
        <v>212</v>
      </c>
      <c r="G280" s="125" t="s">
        <v>211</v>
      </c>
      <c r="H280" s="123" t="s">
        <v>210</v>
      </c>
      <c r="I280" s="125" t="s">
        <v>212</v>
      </c>
      <c r="J280" s="124" t="s">
        <v>211</v>
      </c>
      <c r="K280" s="123" t="s">
        <v>210</v>
      </c>
      <c r="L280" s="272" t="s">
        <v>209</v>
      </c>
      <c r="M280" s="274" t="s">
        <v>208</v>
      </c>
    </row>
    <row r="281" spans="1:13" x14ac:dyDescent="0.25">
      <c r="D281" s="76"/>
      <c r="E281" s="271"/>
      <c r="F281" s="122" t="s">
        <v>207</v>
      </c>
      <c r="G281" s="122"/>
      <c r="H281" s="121" t="s">
        <v>207</v>
      </c>
      <c r="I281" s="122" t="s">
        <v>207</v>
      </c>
      <c r="J281" s="121"/>
      <c r="K281" s="121" t="s">
        <v>207</v>
      </c>
      <c r="L281" s="273"/>
      <c r="M281" s="275"/>
    </row>
    <row r="282" spans="1:13" x14ac:dyDescent="0.25">
      <c r="A282" s="40" t="str">
        <f>$E$316</f>
        <v>GENERAL SERVICE 50 TO 999 KW SERVICE CLASSIFICATION</v>
      </c>
      <c r="C282" s="50"/>
      <c r="D282" s="120" t="s">
        <v>97</v>
      </c>
      <c r="E282" s="82"/>
      <c r="F282" s="117">
        <f>SUMIFS('2.2-TSC Current Schedule'!E:E,'2.2-TSC Current Schedule'!H:H,'5. 2-W Bill Impacts'!$A282,'2.2-TSC Current Schedule'!G:G,'5. 2-W Bill Impacts'!D282)</f>
        <v>96.98</v>
      </c>
      <c r="G282" s="94">
        <v>1</v>
      </c>
      <c r="H282" s="78">
        <f>G282*F282</f>
        <v>96.98</v>
      </c>
      <c r="I282" s="117">
        <f>SUMIFS('4.2-TS Tariff Schedule'!E:E,'4.2-TS Tariff Schedule'!H:H,'5. 2-W Bill Impacts'!$A282,'4.2-TS Tariff Schedule'!G:G,'5. 2-W Bill Impacts'!D282)</f>
        <v>99.1</v>
      </c>
      <c r="J282" s="115">
        <f>G282</f>
        <v>1</v>
      </c>
      <c r="K282" s="78">
        <f>J282*I282</f>
        <v>99.1</v>
      </c>
      <c r="L282" s="78">
        <f t="shared" ref="L282:L305" si="43">K282-H282</f>
        <v>2.1199999999999903</v>
      </c>
      <c r="M282" s="77">
        <f>IF(ISERROR(L282/H282), "", L282/H282)</f>
        <v>2.1860177356155808E-2</v>
      </c>
    </row>
    <row r="283" spans="1:13" x14ac:dyDescent="0.25">
      <c r="A283" s="40" t="str">
        <f>A282</f>
        <v>GENERAL SERVICE 50 TO 999 KW SERVICE CLASSIFICATION</v>
      </c>
      <c r="C283" s="50"/>
      <c r="D283" s="120" t="s">
        <v>96</v>
      </c>
      <c r="E283" s="82"/>
      <c r="F283" s="92">
        <f>SUMIFS('2.2-TSC Current Schedule'!E:E,'2.2-TSC Current Schedule'!H:H,'5. 2-W Bill Impacts'!$A283,'2.2-TSC Current Schedule'!G:G,'5. 2-W Bill Impacts'!D283)</f>
        <v>3.9297</v>
      </c>
      <c r="G283" s="94">
        <f>IF($E275&gt;0, $E275, $E274)</f>
        <v>60</v>
      </c>
      <c r="H283" s="78">
        <f>G283*F283</f>
        <v>235.78200000000001</v>
      </c>
      <c r="I283" s="93">
        <f>SUMIFS('4.2-TS Tariff Schedule'!E:E,'4.2-TS Tariff Schedule'!H:H,'5. 2-W Bill Impacts'!$A283,'4.2-TS Tariff Schedule'!G:G,'5. 2-W Bill Impacts'!D283)</f>
        <v>3.6675</v>
      </c>
      <c r="J283" s="115">
        <f>IF($E275&gt;0, $E275, $E274)</f>
        <v>60</v>
      </c>
      <c r="K283" s="78">
        <f>J283*I283</f>
        <v>220.05</v>
      </c>
      <c r="L283" s="78">
        <f t="shared" si="43"/>
        <v>-15.731999999999999</v>
      </c>
      <c r="M283" s="77">
        <f>IF(ISERROR(L283/H283), "", L283/H283)</f>
        <v>-6.672265058401404E-2</v>
      </c>
    </row>
    <row r="284" spans="1:13" x14ac:dyDescent="0.25">
      <c r="A284" s="40" t="str">
        <f>A283</f>
        <v>GENERAL SERVICE 50 TO 999 KW SERVICE CLASSIFICATION</v>
      </c>
      <c r="C284" s="50"/>
      <c r="D284" s="119" t="s">
        <v>118</v>
      </c>
      <c r="E284" s="82"/>
      <c r="F284" s="118">
        <f>SUMIFS('2.2-TSC Current Schedule'!E:E,'2.2-TSC Current Schedule'!H:H,'5. 2-W Bill Impacts'!$A284,'2.2-TSC Current Schedule'!G:G,'5. 2-W Bill Impacts'!D284)</f>
        <v>0</v>
      </c>
      <c r="G284" s="94">
        <v>1</v>
      </c>
      <c r="H284" s="78">
        <f>G284*F284</f>
        <v>0</v>
      </c>
      <c r="I284" s="117">
        <f>SUMIFS('4.2-TS Tariff Schedule'!E:E,'4.2-TS Tariff Schedule'!H:H,'5. 2-W Bill Impacts'!$A284,'4.2-TS Tariff Schedule'!G:G,'5. 2-W Bill Impacts'!D284)</f>
        <v>18.561313423742977</v>
      </c>
      <c r="J284" s="115">
        <f>G284</f>
        <v>1</v>
      </c>
      <c r="K284" s="78">
        <f>J284*I284</f>
        <v>18.561313423742977</v>
      </c>
      <c r="L284" s="78">
        <f t="shared" si="43"/>
        <v>18.561313423742977</v>
      </c>
      <c r="M284" s="77" t="str">
        <f>IF(ISERROR(L284/H284), "", L284/H284)</f>
        <v/>
      </c>
    </row>
    <row r="285" spans="1:13" x14ac:dyDescent="0.25">
      <c r="A285" s="40" t="str">
        <f>A284</f>
        <v>GENERAL SERVICE 50 TO 999 KW SERVICE CLASSIFICATION</v>
      </c>
      <c r="C285" s="50"/>
      <c r="D285" s="116" t="s">
        <v>152</v>
      </c>
      <c r="E285" s="82"/>
      <c r="F285" s="92">
        <f>SUMIFS('2.2-TSC Current Schedule'!E:E,'2.2-TSC Current Schedule'!H:H,'5. 2-W Bill Impacts'!$A285,'2.2-TSC Current Schedule'!G:G,'5. 2-W Bill Impacts'!D285)</f>
        <v>0</v>
      </c>
      <c r="G285" s="94">
        <f>IF($E275&gt;0, $E275, $E274)</f>
        <v>60</v>
      </c>
      <c r="H285" s="78">
        <f>G285*F285</f>
        <v>0</v>
      </c>
      <c r="I285" s="93">
        <f>SUMIFS('4.2-TS Tariff Schedule'!E:E,'4.2-TS Tariff Schedule'!H:H,'5. 2-W Bill Impacts'!$A285,'4.2-TS Tariff Schedule'!G:G,'5. 2-W Bill Impacts'!D285)</f>
        <v>0.48451992927483067</v>
      </c>
      <c r="J285" s="115">
        <f>IF($E275&gt;0, $E275, $E274)</f>
        <v>60</v>
      </c>
      <c r="K285" s="78">
        <f>J285*I285</f>
        <v>29.071195756489839</v>
      </c>
      <c r="L285" s="78">
        <f t="shared" si="43"/>
        <v>29.071195756489839</v>
      </c>
      <c r="M285" s="77" t="str">
        <f>IF(ISERROR(L285/H285), "", L285/H285)</f>
        <v/>
      </c>
    </row>
    <row r="286" spans="1:13" x14ac:dyDescent="0.25">
      <c r="A286" s="40" t="str">
        <f>$E$272</f>
        <v>GENERAL SERVICE 50 TO 999 KW INTERVAL &lt;1000</v>
      </c>
      <c r="B286" s="114" t="s">
        <v>206</v>
      </c>
      <c r="C286" s="50">
        <f>B33</f>
        <v>4</v>
      </c>
      <c r="D286" s="113" t="s">
        <v>205</v>
      </c>
      <c r="E286" s="102"/>
      <c r="F286" s="112"/>
      <c r="G286" s="100"/>
      <c r="H286" s="97">
        <f>SUM(H282:H285)</f>
        <v>332.762</v>
      </c>
      <c r="I286" s="111"/>
      <c r="J286" s="106"/>
      <c r="K286" s="97">
        <f>SUM(K282:K285)</f>
        <v>366.78250918023281</v>
      </c>
      <c r="L286" s="97">
        <f t="shared" si="43"/>
        <v>34.020509180232807</v>
      </c>
      <c r="M286" s="96">
        <f>IF((H286)=0,"",(L286/H286))</f>
        <v>0.10223676134965172</v>
      </c>
    </row>
    <row r="287" spans="1:13" x14ac:dyDescent="0.25">
      <c r="A287" s="40" t="str">
        <f>A285</f>
        <v>GENERAL SERVICE 50 TO 999 KW SERVICE CLASSIFICATION</v>
      </c>
      <c r="C287" s="50"/>
      <c r="D287" s="110" t="s">
        <v>204</v>
      </c>
      <c r="E287" s="82"/>
      <c r="F287" s="92">
        <f>SUMIFS('2.2-TSC Current Schedule'!E:E,'2.2-TSC Current Schedule'!H:H,'5. 2-W Bill Impacts'!$A287,'2.2-TSC Current Schedule'!G:G,'5. 2-W Bill Impacts'!D287)</f>
        <v>0</v>
      </c>
      <c r="G287" s="91">
        <f>IF(F287=0, 0, $E274*E276-E274)</f>
        <v>0</v>
      </c>
      <c r="H287" s="78">
        <f>G287*F287</f>
        <v>0</v>
      </c>
      <c r="I287" s="93">
        <f>SUMIFS('4.2-TS Tariff Schedule'!E:E,'4.2-TS Tariff Schedule'!H:H,'5. 2-W Bill Impacts'!$A287,'4.2-TS Tariff Schedule'!G:G,'5. 2-W Bill Impacts'!D287)</f>
        <v>0</v>
      </c>
      <c r="J287" s="91">
        <f>IF(I287=0, 0, E274*E277-E274)</f>
        <v>0</v>
      </c>
      <c r="K287" s="78">
        <f>J287*I287</f>
        <v>0</v>
      </c>
      <c r="L287" s="78">
        <f t="shared" si="43"/>
        <v>0</v>
      </c>
      <c r="M287" s="77" t="str">
        <f>IF(ISERROR(L287/H287), "", L287/H287)</f>
        <v/>
      </c>
    </row>
    <row r="288" spans="1:13" x14ac:dyDescent="0.25">
      <c r="A288" s="40" t="str">
        <f>A287</f>
        <v>GENERAL SERVICE 50 TO 999 KW SERVICE CLASSIFICATION</v>
      </c>
      <c r="C288" s="50"/>
      <c r="D288" s="110" t="s">
        <v>90</v>
      </c>
      <c r="E288" s="82"/>
      <c r="F288" s="92">
        <f>SUMIFS('2.2-TSC Current Schedule'!E:E,'2.2-TSC Current Schedule'!H:H,'5. 2-W Bill Impacts'!$A288,'2.2-TSC Current Schedule'!G:G,'5. 2-W Bill Impacts'!D288)</f>
        <v>-2.8760694640552322</v>
      </c>
      <c r="G288" s="109">
        <f>IF($E275&gt;0, $E275, $E274)</f>
        <v>60</v>
      </c>
      <c r="H288" s="78">
        <f>G288*F288</f>
        <v>-172.56416784331392</v>
      </c>
      <c r="I288" s="93">
        <f>SUMIFS('4.2-TS Tariff Schedule'!E:E,'4.2-TS Tariff Schedule'!H:H,'5. 2-W Bill Impacts'!$A288,'4.2-TS Tariff Schedule'!G:G,'5. 2-W Bill Impacts'!D288)</f>
        <v>-0.44239718207740403</v>
      </c>
      <c r="J288" s="109">
        <f>IF($E275&gt;0, $E275, $E274)</f>
        <v>60</v>
      </c>
      <c r="K288" s="78">
        <f>J288*I288</f>
        <v>-26.54383092464424</v>
      </c>
      <c r="L288" s="78">
        <f t="shared" si="43"/>
        <v>146.02033691866967</v>
      </c>
      <c r="M288" s="77">
        <f>IF(ISERROR(L288/H288), "", L288/H288)</f>
        <v>-0.84617993841719374</v>
      </c>
    </row>
    <row r="289" spans="1:13" x14ac:dyDescent="0.25">
      <c r="A289" s="40" t="str">
        <f>A288</f>
        <v>GENERAL SERVICE 50 TO 999 KW SERVICE CLASSIFICATION</v>
      </c>
      <c r="C289" s="50"/>
      <c r="D289" s="110" t="s">
        <v>92</v>
      </c>
      <c r="E289" s="82"/>
      <c r="F289" s="92">
        <f>SUMIFS('2.2-TSC Current Schedule'!E:E,'2.2-TSC Current Schedule'!H:H,'5. 2-W Bill Impacts'!$A289,'2.2-TSC Current Schedule'!G:G,'5. 2-W Bill Impacts'!D289)</f>
        <v>1.4200000000000001E-2</v>
      </c>
      <c r="G289" s="109">
        <f>E274</f>
        <v>20000</v>
      </c>
      <c r="H289" s="78">
        <f>G289*F289</f>
        <v>284</v>
      </c>
      <c r="I289" s="93">
        <f>SUMIFS('4.2-TS Tariff Schedule'!E:E,'4.2-TS Tariff Schedule'!H:H,'5. 2-W Bill Impacts'!$A289,'4.2-TS Tariff Schedule'!G:G,'5. 2-W Bill Impacts'!D289)</f>
        <v>3.8237144354832221E-4</v>
      </c>
      <c r="J289" s="109">
        <f>E274</f>
        <v>20000</v>
      </c>
      <c r="K289" s="78">
        <f>J289*I289</f>
        <v>7.6474288709664444</v>
      </c>
      <c r="L289" s="78">
        <f t="shared" si="43"/>
        <v>-276.35257112903355</v>
      </c>
      <c r="M289" s="77">
        <f>IF(ISERROR(L289/H289), "", L289/H289)</f>
        <v>-0.97307243355293505</v>
      </c>
    </row>
    <row r="290" spans="1:13" x14ac:dyDescent="0.25">
      <c r="A290" s="40" t="str">
        <f>A289</f>
        <v>GENERAL SERVICE 50 TO 999 KW SERVICE CLASSIFICATION</v>
      </c>
      <c r="C290" s="50"/>
      <c r="D290" s="108" t="s">
        <v>94</v>
      </c>
      <c r="E290" s="82"/>
      <c r="F290" s="92">
        <f>SUMIFS('2.2-TSC Current Schedule'!E:E,'2.2-TSC Current Schedule'!H:H,'5. 2-W Bill Impacts'!$A290,'2.2-TSC Current Schedule'!G:G,'5. 2-W Bill Impacts'!D290)</f>
        <v>1.1222000000000001</v>
      </c>
      <c r="G290" s="109">
        <f>IF($E275&gt;0, $E275, $E274)</f>
        <v>60</v>
      </c>
      <c r="H290" s="78">
        <f>G290*F290</f>
        <v>67.332000000000008</v>
      </c>
      <c r="I290" s="93">
        <f>SUMIFS('4.2-TS Tariff Schedule'!E:E,'4.2-TS Tariff Schedule'!H:H,'5. 2-W Bill Impacts'!$A290,'4.2-TS Tariff Schedule'!G:G,'5. 2-W Bill Impacts'!D290)</f>
        <v>0.14680000000000001</v>
      </c>
      <c r="J290" s="109">
        <f>IF($E275&gt;0, $E275, $E274)</f>
        <v>60</v>
      </c>
      <c r="K290" s="78">
        <f>J290*I290</f>
        <v>8.8080000000000016</v>
      </c>
      <c r="L290" s="78">
        <f t="shared" si="43"/>
        <v>-58.524000000000008</v>
      </c>
      <c r="M290" s="77">
        <f>IF(ISERROR(L290/H290), "", L290/H290)</f>
        <v>-0.86918552842630548</v>
      </c>
    </row>
    <row r="291" spans="1:13" x14ac:dyDescent="0.25">
      <c r="A291" s="40" t="str">
        <f>A290</f>
        <v>GENERAL SERVICE 50 TO 999 KW SERVICE CLASSIFICATION</v>
      </c>
      <c r="C291" s="50"/>
      <c r="D291" s="108" t="s">
        <v>116</v>
      </c>
      <c r="E291" s="82"/>
      <c r="F291" s="92">
        <f>SUMIFS('2.2-TSC Current Schedule'!E:E,'2.2-TSC Current Schedule'!H:H,'5. 2-W Bill Impacts'!$A291,'2.2-TSC Current Schedule'!G:G,'5. 2-W Bill Impacts'!D291)</f>
        <v>0</v>
      </c>
      <c r="G291" s="94">
        <v>1</v>
      </c>
      <c r="H291" s="78">
        <f>G291*F291</f>
        <v>0</v>
      </c>
      <c r="I291" s="93">
        <f>SUMIFS('4.2-TS Tariff Schedule'!E:E,'4.2-TS Tariff Schedule'!H:H,'5. 2-W Bill Impacts'!$A291,'4.2-TS Tariff Schedule'!G:G,'5. 2-W Bill Impacts'!D291)</f>
        <v>0</v>
      </c>
      <c r="J291" s="94">
        <v>1</v>
      </c>
      <c r="K291" s="78">
        <f>J291*I291</f>
        <v>0</v>
      </c>
      <c r="L291" s="78">
        <f t="shared" si="43"/>
        <v>0</v>
      </c>
      <c r="M291" s="77" t="str">
        <f>IF(ISERROR(L291/H291), "", L291/H291)</f>
        <v/>
      </c>
    </row>
    <row r="292" spans="1:13" x14ac:dyDescent="0.25">
      <c r="A292" s="40" t="str">
        <f>$E$272</f>
        <v>GENERAL SERVICE 50 TO 999 KW INTERVAL &lt;1000</v>
      </c>
      <c r="B292" s="76" t="s">
        <v>203</v>
      </c>
      <c r="C292" s="50">
        <f>B33</f>
        <v>4</v>
      </c>
      <c r="D292" s="103" t="s">
        <v>202</v>
      </c>
      <c r="E292" s="107"/>
      <c r="F292" s="101"/>
      <c r="G292" s="100"/>
      <c r="H292" s="97">
        <f>SUM(H286:H291)</f>
        <v>511.5298321566861</v>
      </c>
      <c r="I292" s="99"/>
      <c r="J292" s="106"/>
      <c r="K292" s="97">
        <f>SUM(K286:K291)</f>
        <v>356.69410712655502</v>
      </c>
      <c r="L292" s="97">
        <f t="shared" si="43"/>
        <v>-154.83572503013107</v>
      </c>
      <c r="M292" s="96">
        <f>IF((H292)=0,"",(L292/H292))</f>
        <v>-0.30269148600252804</v>
      </c>
    </row>
    <row r="293" spans="1:13" x14ac:dyDescent="0.25">
      <c r="A293" s="40" t="str">
        <f>A290</f>
        <v>GENERAL SERVICE 50 TO 999 KW SERVICE CLASSIFICATION</v>
      </c>
      <c r="C293" s="50"/>
      <c r="D293" s="105" t="s">
        <v>88</v>
      </c>
      <c r="E293" s="82"/>
      <c r="F293" s="92">
        <f>SUMIFS('2.2-TSC Current Schedule'!E:E,'2.2-TSC Current Schedule'!H:H,'5. 2-W Bill Impacts'!$E272,'2.2-TSC Current Schedule'!G:G,'5. 2-W Bill Impacts'!D293)</f>
        <v>2.3616999999999999</v>
      </c>
      <c r="G293" s="91">
        <f>IF($E275&gt;0, $E275, $E274*$E276)</f>
        <v>60</v>
      </c>
      <c r="H293" s="78">
        <f>G293*F293</f>
        <v>141.702</v>
      </c>
      <c r="I293" s="93">
        <f>SUMIFS('4.2-TS Tariff Schedule'!E:E,'4.2-TS Tariff Schedule'!H:H,'5. 2-W Bill Impacts'!$E272,'4.2-TS Tariff Schedule'!G:G,'5. 2-W Bill Impacts'!D293)</f>
        <v>3.0762753953164337</v>
      </c>
      <c r="J293" s="91">
        <f>IF($E275&gt;0, $E275, $E274*$E277)</f>
        <v>60</v>
      </c>
      <c r="K293" s="78">
        <f>J293*I293</f>
        <v>184.57652371898601</v>
      </c>
      <c r="L293" s="78">
        <f t="shared" si="43"/>
        <v>42.874523718986012</v>
      </c>
      <c r="M293" s="77">
        <f>IF(ISERROR(L293/H293), "", L293/H293)</f>
        <v>0.30256823276302391</v>
      </c>
    </row>
    <row r="294" spans="1:13" x14ac:dyDescent="0.25">
      <c r="A294" s="40" t="str">
        <f>A293</f>
        <v>GENERAL SERVICE 50 TO 999 KW SERVICE CLASSIFICATION</v>
      </c>
      <c r="C294" s="50"/>
      <c r="D294" s="104" t="s">
        <v>86</v>
      </c>
      <c r="E294" s="82"/>
      <c r="F294" s="92">
        <f>SUMIFS('2.2-TSC Current Schedule'!E:E,'2.2-TSC Current Schedule'!H:H,'5. 2-W Bill Impacts'!$E272,'2.2-TSC Current Schedule'!G:G,'5. 2-W Bill Impacts'!D294)</f>
        <v>1.3052999999999999</v>
      </c>
      <c r="G294" s="91">
        <f>IF($E275&gt;0, $E275, $E274*$E276)</f>
        <v>60</v>
      </c>
      <c r="H294" s="78">
        <f>G294*F294</f>
        <v>78.317999999999998</v>
      </c>
      <c r="I294" s="93">
        <f>SUMIFS('4.2-TS Tariff Schedule'!E:E,'4.2-TS Tariff Schedule'!H:H,'5. 2-W Bill Impacts'!$E272,'4.2-TS Tariff Schedule'!G:G,'5. 2-W Bill Impacts'!D294)</f>
        <v>2.3092430060376326</v>
      </c>
      <c r="J294" s="91">
        <f>IF($E275&gt;0, $E275, $E274*$E277)</f>
        <v>60</v>
      </c>
      <c r="K294" s="78">
        <f>J294*I294</f>
        <v>138.55458036225795</v>
      </c>
      <c r="L294" s="78">
        <f t="shared" si="43"/>
        <v>60.236580362257953</v>
      </c>
      <c r="M294" s="77">
        <f>IF(ISERROR(L294/H294), "", L294/H294)</f>
        <v>0.76912817439487668</v>
      </c>
    </row>
    <row r="295" spans="1:13" x14ac:dyDescent="0.25">
      <c r="A295" s="40" t="str">
        <f>$E$272</f>
        <v>GENERAL SERVICE 50 TO 999 KW INTERVAL &lt;1000</v>
      </c>
      <c r="B295" s="76" t="s">
        <v>201</v>
      </c>
      <c r="C295" s="50">
        <f>B33</f>
        <v>4</v>
      </c>
      <c r="D295" s="103" t="s">
        <v>200</v>
      </c>
      <c r="E295" s="102"/>
      <c r="F295" s="101"/>
      <c r="G295" s="100"/>
      <c r="H295" s="97">
        <f>SUM(H292:H294)</f>
        <v>731.54983215668608</v>
      </c>
      <c r="I295" s="99"/>
      <c r="J295" s="98"/>
      <c r="K295" s="97">
        <f>SUM(K292:K294)</f>
        <v>679.82521120779904</v>
      </c>
      <c r="L295" s="97">
        <f t="shared" si="43"/>
        <v>-51.724620948887036</v>
      </c>
      <c r="M295" s="96">
        <f>IF((H295)=0,"",(L295/H295))</f>
        <v>-7.0705533205301124E-2</v>
      </c>
    </row>
    <row r="296" spans="1:13" x14ac:dyDescent="0.25">
      <c r="A296" s="40" t="str">
        <f>A294</f>
        <v>GENERAL SERVICE 50 TO 999 KW SERVICE CLASSIFICATION</v>
      </c>
      <c r="C296" s="50"/>
      <c r="D296" s="95" t="s">
        <v>83</v>
      </c>
      <c r="E296" s="82"/>
      <c r="F296" s="92">
        <f>SUMIFS('2.2-TSC Current Schedule'!E:E,'2.2-TSC Current Schedule'!H:H,'5. 2-W Bill Impacts'!$A296,'2.2-TSC Current Schedule'!G:G,'5. 2-W Bill Impacts'!D296)</f>
        <v>3.2000000000000002E-3</v>
      </c>
      <c r="G296" s="91">
        <f>E274*E276</f>
        <v>20990.000000000004</v>
      </c>
      <c r="H296" s="78">
        <f t="shared" ref="H296:H305" si="44">G296*F296</f>
        <v>67.168000000000021</v>
      </c>
      <c r="I296" s="93">
        <f>SUMIFS('4.2-TS Tariff Schedule'!E:E,'4.2-TS Tariff Schedule'!H:H,'5. 2-W Bill Impacts'!$A296,'4.2-TS Tariff Schedule'!G:G,'5. 2-W Bill Impacts'!D296)</f>
        <v>3.2000000000000002E-3</v>
      </c>
      <c r="J296" s="91">
        <f>E274*E277</f>
        <v>20613.692998880539</v>
      </c>
      <c r="K296" s="78">
        <f t="shared" ref="K296:K305" si="45">J296*I296</f>
        <v>65.963817596417726</v>
      </c>
      <c r="L296" s="78">
        <f t="shared" si="43"/>
        <v>-1.2041824035822941</v>
      </c>
      <c r="M296" s="77">
        <f t="shared" ref="M296:M305" si="46">IF(ISERROR(L296/H296), "", L296/H296)</f>
        <v>-1.7927918109550585E-2</v>
      </c>
    </row>
    <row r="297" spans="1:13" x14ac:dyDescent="0.25">
      <c r="A297" s="40" t="str">
        <f t="shared" ref="A297:A305" si="47">A296</f>
        <v>GENERAL SERVICE 50 TO 999 KW SERVICE CLASSIFICATION</v>
      </c>
      <c r="C297" s="50"/>
      <c r="D297" s="95" t="s">
        <v>81</v>
      </c>
      <c r="E297" s="82"/>
      <c r="F297" s="92">
        <f>SUMIFS('2.2-TSC Current Schedule'!E:E,'2.2-TSC Current Schedule'!H:H,'5. 2-W Bill Impacts'!$A297,'2.2-TSC Current Schedule'!G:G,'5. 2-W Bill Impacts'!D297)</f>
        <v>4.0000000000000002E-4</v>
      </c>
      <c r="G297" s="91">
        <f>E274*E276</f>
        <v>20990.000000000004</v>
      </c>
      <c r="H297" s="78">
        <f t="shared" si="44"/>
        <v>8.3960000000000026</v>
      </c>
      <c r="I297" s="93">
        <f>SUMIFS('4.2-TS Tariff Schedule'!E:E,'4.2-TS Tariff Schedule'!H:H,'5. 2-W Bill Impacts'!$A297,'4.2-TS Tariff Schedule'!G:G,'5. 2-W Bill Impacts'!D297)</f>
        <v>4.0000000000000002E-4</v>
      </c>
      <c r="J297" s="91">
        <f>E274*E277</f>
        <v>20613.692998880539</v>
      </c>
      <c r="K297" s="78">
        <f t="shared" si="45"/>
        <v>8.2454771995522158</v>
      </c>
      <c r="L297" s="78">
        <f t="shared" si="43"/>
        <v>-0.15052280044778676</v>
      </c>
      <c r="M297" s="77">
        <f t="shared" si="46"/>
        <v>-1.7927918109550585E-2</v>
      </c>
    </row>
    <row r="298" spans="1:13" x14ac:dyDescent="0.25">
      <c r="A298" s="40" t="str">
        <f t="shared" si="47"/>
        <v>GENERAL SERVICE 50 TO 999 KW SERVICE CLASSIFICATION</v>
      </c>
      <c r="C298" s="50"/>
      <c r="D298" s="95" t="s">
        <v>78</v>
      </c>
      <c r="E298" s="82"/>
      <c r="F298" s="92">
        <f>SUMIFS('2.2-TSC Current Schedule'!E:E,'2.2-TSC Current Schedule'!H:H,'5. 2-W Bill Impacts'!$A298,'2.2-TSC Current Schedule'!G:G,'5. 2-W Bill Impacts'!D298)</f>
        <v>2.9999999999999997E-4</v>
      </c>
      <c r="G298" s="91">
        <f>E274*E276</f>
        <v>20990.000000000004</v>
      </c>
      <c r="H298" s="78">
        <f t="shared" si="44"/>
        <v>6.2970000000000006</v>
      </c>
      <c r="I298" s="93">
        <f>SUMIFS('4.2-TS Tariff Schedule'!E:E,'4.2-TS Tariff Schedule'!H:H,'5. 2-W Bill Impacts'!$A298,'4.2-TS Tariff Schedule'!G:G,'5. 2-W Bill Impacts'!D298)</f>
        <v>2.9999999999999997E-4</v>
      </c>
      <c r="J298" s="91">
        <f>E274*E277</f>
        <v>20613.692998880539</v>
      </c>
      <c r="K298" s="78">
        <f t="shared" si="45"/>
        <v>6.184107899664161</v>
      </c>
      <c r="L298" s="78">
        <f t="shared" si="43"/>
        <v>-0.11289210033583963</v>
      </c>
      <c r="M298" s="77">
        <f t="shared" si="46"/>
        <v>-1.7927918109550519E-2</v>
      </c>
    </row>
    <row r="299" spans="1:13" x14ac:dyDescent="0.25">
      <c r="A299" s="40" t="str">
        <f t="shared" si="47"/>
        <v>GENERAL SERVICE 50 TO 999 KW SERVICE CLASSIFICATION</v>
      </c>
      <c r="C299" s="50"/>
      <c r="D299" s="63" t="s">
        <v>76</v>
      </c>
      <c r="E299" s="82"/>
      <c r="F299" s="92">
        <f>SUMIFS('2.2-TSC Current Schedule'!E:E,'2.2-TSC Current Schedule'!H:H,'5. 2-W Bill Impacts'!$A299,'2.2-TSC Current Schedule'!G:G,'5. 2-W Bill Impacts'!D299)</f>
        <v>0.25</v>
      </c>
      <c r="G299" s="94">
        <v>1</v>
      </c>
      <c r="H299" s="78">
        <f t="shared" si="44"/>
        <v>0.25</v>
      </c>
      <c r="I299" s="93">
        <f>SUMIFS('4.2-TS Tariff Schedule'!E:E,'4.2-TS Tariff Schedule'!H:H,'5. 2-W Bill Impacts'!$A299,'4.2-TS Tariff Schedule'!G:G,'5. 2-W Bill Impacts'!D299)</f>
        <v>0.25</v>
      </c>
      <c r="J299" s="78">
        <v>1</v>
      </c>
      <c r="K299" s="78">
        <f t="shared" si="45"/>
        <v>0.25</v>
      </c>
      <c r="L299" s="78">
        <f t="shared" si="43"/>
        <v>0</v>
      </c>
      <c r="M299" s="77">
        <f t="shared" si="46"/>
        <v>0</v>
      </c>
    </row>
    <row r="300" spans="1:13" x14ac:dyDescent="0.25">
      <c r="A300" s="40" t="str">
        <f t="shared" si="47"/>
        <v>GENERAL SERVICE 50 TO 999 KW SERVICE CLASSIFICATION</v>
      </c>
      <c r="C300" s="50"/>
      <c r="D300" s="63" t="s">
        <v>132</v>
      </c>
      <c r="E300" s="82"/>
      <c r="F300" s="92">
        <v>7.0000000000000001E-3</v>
      </c>
      <c r="G300" s="91">
        <f>E274</f>
        <v>20000</v>
      </c>
      <c r="H300" s="78">
        <f t="shared" si="44"/>
        <v>140</v>
      </c>
      <c r="I300" s="92">
        <v>7.0000000000000001E-3</v>
      </c>
      <c r="J300" s="91">
        <f>E274</f>
        <v>20000</v>
      </c>
      <c r="K300" s="78">
        <f t="shared" si="45"/>
        <v>140</v>
      </c>
      <c r="L300" s="78">
        <f t="shared" si="43"/>
        <v>0</v>
      </c>
      <c r="M300" s="77">
        <f t="shared" si="46"/>
        <v>0</v>
      </c>
    </row>
    <row r="301" spans="1:13" x14ac:dyDescent="0.25">
      <c r="A301" s="40" t="str">
        <f t="shared" si="47"/>
        <v>GENERAL SERVICE 50 TO 999 KW SERVICE CLASSIFICATION</v>
      </c>
      <c r="B301" s="76" t="s">
        <v>197</v>
      </c>
      <c r="C301" s="50"/>
      <c r="D301" s="83" t="s">
        <v>199</v>
      </c>
      <c r="E301" s="82"/>
      <c r="F301" s="138">
        <v>6.5000000000000002E-2</v>
      </c>
      <c r="G301" s="80"/>
      <c r="H301" s="79">
        <f t="shared" si="44"/>
        <v>0</v>
      </c>
      <c r="I301" s="137">
        <v>6.5000000000000002E-2</v>
      </c>
      <c r="J301" s="80"/>
      <c r="K301" s="79">
        <f t="shared" si="45"/>
        <v>0</v>
      </c>
      <c r="L301" s="78">
        <f t="shared" si="43"/>
        <v>0</v>
      </c>
      <c r="M301" s="77" t="str">
        <f t="shared" si="46"/>
        <v/>
      </c>
    </row>
    <row r="302" spans="1:13" x14ac:dyDescent="0.25">
      <c r="A302" s="40" t="str">
        <f t="shared" si="47"/>
        <v>GENERAL SERVICE 50 TO 999 KW SERVICE CLASSIFICATION</v>
      </c>
      <c r="B302" s="76" t="s">
        <v>197</v>
      </c>
      <c r="C302" s="50"/>
      <c r="D302" s="83" t="s">
        <v>198</v>
      </c>
      <c r="E302" s="82"/>
      <c r="F302" s="138">
        <v>9.5000000000000001E-2</v>
      </c>
      <c r="G302" s="80"/>
      <c r="H302" s="79">
        <f t="shared" si="44"/>
        <v>0</v>
      </c>
      <c r="I302" s="137">
        <v>9.5000000000000001E-2</v>
      </c>
      <c r="J302" s="80"/>
      <c r="K302" s="79">
        <f t="shared" si="45"/>
        <v>0</v>
      </c>
      <c r="L302" s="78">
        <f t="shared" si="43"/>
        <v>0</v>
      </c>
      <c r="M302" s="77" t="str">
        <f t="shared" si="46"/>
        <v/>
      </c>
    </row>
    <row r="303" spans="1:13" x14ac:dyDescent="0.25">
      <c r="A303" s="40" t="str">
        <f t="shared" si="47"/>
        <v>GENERAL SERVICE 50 TO 999 KW SERVICE CLASSIFICATION</v>
      </c>
      <c r="B303" s="76" t="s">
        <v>197</v>
      </c>
      <c r="C303" s="50"/>
      <c r="D303" s="76" t="s">
        <v>196</v>
      </c>
      <c r="E303" s="82"/>
      <c r="F303" s="138">
        <v>0.13200000000000001</v>
      </c>
      <c r="G303" s="80"/>
      <c r="H303" s="79">
        <f t="shared" si="44"/>
        <v>0</v>
      </c>
      <c r="I303" s="137">
        <v>0.13200000000000001</v>
      </c>
      <c r="J303" s="80"/>
      <c r="K303" s="79">
        <f t="shared" si="45"/>
        <v>0</v>
      </c>
      <c r="L303" s="78">
        <f t="shared" si="43"/>
        <v>0</v>
      </c>
      <c r="M303" s="77" t="str">
        <f t="shared" si="46"/>
        <v/>
      </c>
    </row>
    <row r="304" spans="1:13" x14ac:dyDescent="0.25">
      <c r="A304" s="40" t="str">
        <f t="shared" si="47"/>
        <v>GENERAL SERVICE 50 TO 999 KW SERVICE CLASSIFICATION</v>
      </c>
      <c r="B304" s="40" t="s">
        <v>195</v>
      </c>
      <c r="C304" s="50"/>
      <c r="D304" s="83" t="s">
        <v>194</v>
      </c>
      <c r="E304" s="82"/>
      <c r="F304" s="81">
        <v>1.8855833333333332E-2</v>
      </c>
      <c r="G304" s="80">
        <f>IF(AND(E274*12&gt;=150000),E274*E276,E274)</f>
        <v>20990.000000000004</v>
      </c>
      <c r="H304" s="79">
        <f t="shared" si="44"/>
        <v>395.78394166666669</v>
      </c>
      <c r="I304" s="81">
        <v>1.8855833333333332E-2</v>
      </c>
      <c r="J304" s="80">
        <f>IF(AND(E274*12&gt;=150000),E274*E277,E274)</f>
        <v>20613.692998880539</v>
      </c>
      <c r="K304" s="79">
        <f t="shared" si="45"/>
        <v>388.68835957139157</v>
      </c>
      <c r="L304" s="78">
        <f t="shared" si="43"/>
        <v>-7.0955820952751196</v>
      </c>
      <c r="M304" s="77">
        <f t="shared" si="46"/>
        <v>-1.7927918109550519E-2</v>
      </c>
    </row>
    <row r="305" spans="1:20" ht="13.8" thickBot="1" x14ac:dyDescent="0.3">
      <c r="A305" s="40" t="str">
        <f t="shared" si="47"/>
        <v>GENERAL SERVICE 50 TO 999 KW SERVICE CLASSIFICATION</v>
      </c>
      <c r="B305" s="40" t="s">
        <v>188</v>
      </c>
      <c r="C305" s="50"/>
      <c r="D305" s="83" t="s">
        <v>193</v>
      </c>
      <c r="E305" s="82"/>
      <c r="F305" s="81">
        <v>0.10303000000000001</v>
      </c>
      <c r="G305" s="80">
        <f>IF(AND(E274*12&gt;=150000),E274*E276,E274)</f>
        <v>20990.000000000004</v>
      </c>
      <c r="H305" s="79">
        <f t="shared" si="44"/>
        <v>2162.5997000000007</v>
      </c>
      <c r="I305" s="81">
        <v>0.10303000000000001</v>
      </c>
      <c r="J305" s="80">
        <f>IF(AND(E274*12&gt;=150000),E274*E277,E274)</f>
        <v>20613.692998880539</v>
      </c>
      <c r="K305" s="79">
        <f t="shared" si="45"/>
        <v>2123.8287896746619</v>
      </c>
      <c r="L305" s="78">
        <f t="shared" si="43"/>
        <v>-38.770910325338718</v>
      </c>
      <c r="M305" s="77">
        <f t="shared" si="46"/>
        <v>-1.7927918109550606E-2</v>
      </c>
    </row>
    <row r="306" spans="1:20" ht="13.8" thickBot="1" x14ac:dyDescent="0.3">
      <c r="A306" s="40" t="str">
        <f t="shared" ref="A306:A311" si="48">$E$272</f>
        <v>GENERAL SERVICE 50 TO 999 KW INTERVAL &lt;1000</v>
      </c>
      <c r="B306" s="76"/>
      <c r="C306" s="50"/>
      <c r="D306" s="49"/>
      <c r="E306" s="48"/>
      <c r="F306" s="74"/>
      <c r="G306" s="75"/>
      <c r="H306" s="72"/>
      <c r="I306" s="74"/>
      <c r="J306" s="73"/>
      <c r="K306" s="72"/>
      <c r="L306" s="71"/>
      <c r="M306" s="70"/>
    </row>
    <row r="307" spans="1:20" x14ac:dyDescent="0.25">
      <c r="A307" s="40" t="str">
        <f t="shared" si="48"/>
        <v>GENERAL SERVICE 50 TO 999 KW INTERVAL &lt;1000</v>
      </c>
      <c r="B307" s="40" t="s">
        <v>188</v>
      </c>
      <c r="C307" s="50"/>
      <c r="D307" s="69" t="s">
        <v>189</v>
      </c>
      <c r="E307" s="63"/>
      <c r="F307" s="61"/>
      <c r="G307" s="62"/>
      <c r="H307" s="67">
        <f>SUM(H295:H305)</f>
        <v>3512.0444738233537</v>
      </c>
      <c r="I307" s="68"/>
      <c r="J307" s="68"/>
      <c r="K307" s="67">
        <f>SUM(K295:K305)</f>
        <v>3412.9857631494865</v>
      </c>
      <c r="L307" s="66">
        <f>K307-H307</f>
        <v>-99.058710673867154</v>
      </c>
      <c r="M307" s="65">
        <f>IF((H307)=0,"",(L307/H307))</f>
        <v>-2.8205426045196925E-2</v>
      </c>
    </row>
    <row r="308" spans="1:20" x14ac:dyDescent="0.25">
      <c r="A308" s="40" t="str">
        <f t="shared" si="48"/>
        <v>GENERAL SERVICE 50 TO 999 KW INTERVAL &lt;1000</v>
      </c>
      <c r="B308" s="40" t="s">
        <v>188</v>
      </c>
      <c r="C308" s="50"/>
      <c r="D308" s="64" t="s">
        <v>192</v>
      </c>
      <c r="E308" s="63"/>
      <c r="F308" s="61">
        <v>0.13</v>
      </c>
      <c r="G308" s="62"/>
      <c r="H308" s="59">
        <f>H307*F308</f>
        <v>456.56578159703599</v>
      </c>
      <c r="I308" s="61">
        <v>0.13</v>
      </c>
      <c r="J308" s="60"/>
      <c r="K308" s="59">
        <f>K307*I308</f>
        <v>443.68814920943328</v>
      </c>
      <c r="L308" s="58">
        <f>K308-H308</f>
        <v>-12.877632387602716</v>
      </c>
      <c r="M308" s="57">
        <f>IF((H308)=0,"",(L308/H308))</f>
        <v>-2.8205426045196894E-2</v>
      </c>
    </row>
    <row r="309" spans="1:20" x14ac:dyDescent="0.25">
      <c r="A309" s="40" t="str">
        <f t="shared" si="48"/>
        <v>GENERAL SERVICE 50 TO 999 KW INTERVAL &lt;1000</v>
      </c>
      <c r="B309" s="40" t="s">
        <v>188</v>
      </c>
      <c r="C309" s="50"/>
      <c r="D309" s="64" t="s">
        <v>191</v>
      </c>
      <c r="E309" s="63"/>
      <c r="F309" s="61">
        <v>0.08</v>
      </c>
      <c r="G309" s="62"/>
      <c r="H309" s="59">
        <v>0</v>
      </c>
      <c r="I309" s="61">
        <v>0.08</v>
      </c>
      <c r="J309" s="60"/>
      <c r="K309" s="59">
        <v>0</v>
      </c>
      <c r="L309" s="58"/>
      <c r="M309" s="57"/>
    </row>
    <row r="310" spans="1:20" ht="13.8" thickBot="1" x14ac:dyDescent="0.3">
      <c r="A310" s="40" t="str">
        <f t="shared" si="48"/>
        <v>GENERAL SERVICE 50 TO 999 KW INTERVAL &lt;1000</v>
      </c>
      <c r="B310" s="40" t="s">
        <v>190</v>
      </c>
      <c r="C310" s="50">
        <f>B33</f>
        <v>4</v>
      </c>
      <c r="D310" s="264" t="s">
        <v>189</v>
      </c>
      <c r="E310" s="264"/>
      <c r="F310" s="56"/>
      <c r="G310" s="55"/>
      <c r="H310" s="53">
        <f>H307+H308+H309</f>
        <v>3968.6102554203899</v>
      </c>
      <c r="I310" s="54"/>
      <c r="J310" s="54"/>
      <c r="K310" s="53">
        <f>K307+K308+K309</f>
        <v>3856.6739123589196</v>
      </c>
      <c r="L310" s="52">
        <f>K310-H310</f>
        <v>-111.93634306147032</v>
      </c>
      <c r="M310" s="51">
        <f>IF((H310)=0,"",(L310/H310))</f>
        <v>-2.8205426045197036E-2</v>
      </c>
    </row>
    <row r="311" spans="1:20" ht="13.8" thickBot="1" x14ac:dyDescent="0.3">
      <c r="A311" s="40" t="str">
        <f t="shared" si="48"/>
        <v>GENERAL SERVICE 50 TO 999 KW INTERVAL &lt;1000</v>
      </c>
      <c r="B311" s="40" t="s">
        <v>188</v>
      </c>
      <c r="C311" s="50"/>
      <c r="D311" s="49"/>
      <c r="E311" s="48"/>
      <c r="F311" s="46"/>
      <c r="G311" s="47"/>
      <c r="H311" s="44"/>
      <c r="I311" s="46"/>
      <c r="J311" s="45"/>
      <c r="K311" s="44"/>
      <c r="L311" s="43"/>
      <c r="M311" s="42"/>
    </row>
    <row r="316" spans="1:20" x14ac:dyDescent="0.25">
      <c r="D316" s="128" t="s">
        <v>223</v>
      </c>
      <c r="E316" s="265" t="str">
        <f>D34</f>
        <v>GENERAL SERVICE 50 TO 999 KW SERVICE CLASSIFICATION</v>
      </c>
      <c r="F316" s="265"/>
      <c r="G316" s="265"/>
      <c r="H316" s="265"/>
      <c r="I316" s="265"/>
      <c r="J316" s="265"/>
      <c r="K316" s="40" t="str">
        <f>IF(N33="DEMAND - INTERVAL","RTSR - INTERVAL METERED","")</f>
        <v/>
      </c>
      <c r="T316" s="40" t="s">
        <v>222</v>
      </c>
    </row>
    <row r="317" spans="1:20" x14ac:dyDescent="0.25">
      <c r="D317" s="128" t="s">
        <v>221</v>
      </c>
      <c r="E317" s="266" t="str">
        <f>H33</f>
        <v>Non-RPP (Other)</v>
      </c>
      <c r="F317" s="266"/>
      <c r="G317" s="266"/>
      <c r="H317" s="135"/>
      <c r="I317" s="135"/>
    </row>
    <row r="318" spans="1:20" ht="15.6" x14ac:dyDescent="0.25">
      <c r="D318" s="128" t="s">
        <v>220</v>
      </c>
      <c r="E318" s="132">
        <f>K34</f>
        <v>20000</v>
      </c>
      <c r="F318" s="134" t="s">
        <v>219</v>
      </c>
      <c r="G318" s="76"/>
      <c r="J318" s="133"/>
      <c r="K318" s="133"/>
      <c r="L318" s="133"/>
      <c r="M318" s="133"/>
    </row>
    <row r="319" spans="1:20" ht="15.6" x14ac:dyDescent="0.3">
      <c r="D319" s="128" t="s">
        <v>218</v>
      </c>
      <c r="E319" s="132">
        <f>L34</f>
        <v>60</v>
      </c>
      <c r="F319" s="131" t="s">
        <v>217</v>
      </c>
      <c r="G319" s="130"/>
      <c r="H319" s="129"/>
      <c r="I319" s="129"/>
      <c r="J319" s="129"/>
    </row>
    <row r="320" spans="1:20" x14ac:dyDescent="0.25">
      <c r="D320" s="128" t="s">
        <v>216</v>
      </c>
      <c r="E320" s="127">
        <f>I34</f>
        <v>1.0495000000000001</v>
      </c>
    </row>
    <row r="321" spans="1:13" x14ac:dyDescent="0.25">
      <c r="D321" s="128" t="s">
        <v>215</v>
      </c>
      <c r="E321" s="127">
        <f>J34</f>
        <v>1.030684649944027</v>
      </c>
    </row>
    <row r="322" spans="1:13" x14ac:dyDescent="0.25">
      <c r="D322" s="76"/>
    </row>
    <row r="323" spans="1:13" x14ac:dyDescent="0.25">
      <c r="D323" s="76"/>
      <c r="E323" s="126"/>
      <c r="F323" s="267" t="s">
        <v>214</v>
      </c>
      <c r="G323" s="268"/>
      <c r="H323" s="269"/>
      <c r="I323" s="267" t="s">
        <v>139</v>
      </c>
      <c r="J323" s="268"/>
      <c r="K323" s="269"/>
      <c r="L323" s="267" t="s">
        <v>213</v>
      </c>
      <c r="M323" s="269"/>
    </row>
    <row r="324" spans="1:13" x14ac:dyDescent="0.25">
      <c r="D324" s="76"/>
      <c r="E324" s="270"/>
      <c r="F324" s="125" t="s">
        <v>212</v>
      </c>
      <c r="G324" s="125" t="s">
        <v>211</v>
      </c>
      <c r="H324" s="123" t="s">
        <v>210</v>
      </c>
      <c r="I324" s="125" t="s">
        <v>212</v>
      </c>
      <c r="J324" s="124" t="s">
        <v>211</v>
      </c>
      <c r="K324" s="123" t="s">
        <v>210</v>
      </c>
      <c r="L324" s="272" t="s">
        <v>209</v>
      </c>
      <c r="M324" s="274" t="s">
        <v>208</v>
      </c>
    </row>
    <row r="325" spans="1:13" x14ac:dyDescent="0.25">
      <c r="D325" s="76"/>
      <c r="E325" s="271"/>
      <c r="F325" s="122" t="s">
        <v>207</v>
      </c>
      <c r="G325" s="122"/>
      <c r="H325" s="121" t="s">
        <v>207</v>
      </c>
      <c r="I325" s="122" t="s">
        <v>207</v>
      </c>
      <c r="J325" s="121"/>
      <c r="K325" s="121" t="s">
        <v>207</v>
      </c>
      <c r="L325" s="273"/>
      <c r="M325" s="275"/>
    </row>
    <row r="326" spans="1:13" x14ac:dyDescent="0.25">
      <c r="A326" s="40" t="str">
        <f t="shared" ref="A326:A355" si="49">$E$316</f>
        <v>GENERAL SERVICE 50 TO 999 KW SERVICE CLASSIFICATION</v>
      </c>
      <c r="C326" s="50"/>
      <c r="D326" s="120" t="s">
        <v>97</v>
      </c>
      <c r="E326" s="82"/>
      <c r="F326" s="117">
        <f>SUMIFS('2.2-TSC Current Schedule'!E:E,'2.2-TSC Current Schedule'!H:H,'5. 2-W Bill Impacts'!$A326,'2.2-TSC Current Schedule'!G:G,'5. 2-W Bill Impacts'!D326)</f>
        <v>96.98</v>
      </c>
      <c r="G326" s="94">
        <v>1</v>
      </c>
      <c r="H326" s="78">
        <f>G326*F326</f>
        <v>96.98</v>
      </c>
      <c r="I326" s="117">
        <f>SUMIFS('4.2-TS Tariff Schedule'!E:E,'4.2-TS Tariff Schedule'!H:H,'5. 2-W Bill Impacts'!$A326,'4.2-TS Tariff Schedule'!G:G,'5. 2-W Bill Impacts'!D326)</f>
        <v>99.1</v>
      </c>
      <c r="J326" s="115">
        <f>G326</f>
        <v>1</v>
      </c>
      <c r="K326" s="78">
        <f>J326*I326</f>
        <v>99.1</v>
      </c>
      <c r="L326" s="78">
        <f t="shared" ref="L326:L349" si="50">K326-H326</f>
        <v>2.1199999999999903</v>
      </c>
      <c r="M326" s="77">
        <f>IF(ISERROR(L326/H326), "", L326/H326)</f>
        <v>2.1860177356155808E-2</v>
      </c>
    </row>
    <row r="327" spans="1:13" x14ac:dyDescent="0.25">
      <c r="A327" s="40" t="str">
        <f t="shared" si="49"/>
        <v>GENERAL SERVICE 50 TO 999 KW SERVICE CLASSIFICATION</v>
      </c>
      <c r="C327" s="50"/>
      <c r="D327" s="120" t="s">
        <v>96</v>
      </c>
      <c r="E327" s="82"/>
      <c r="F327" s="92">
        <f>SUMIFS('2.2-TSC Current Schedule'!E:E,'2.2-TSC Current Schedule'!H:H,'5. 2-W Bill Impacts'!$A327,'2.2-TSC Current Schedule'!G:G,'5. 2-W Bill Impacts'!D327)</f>
        <v>3.9297</v>
      </c>
      <c r="G327" s="94">
        <f>IF($E319&gt;0, $E319, $E318)</f>
        <v>60</v>
      </c>
      <c r="H327" s="78">
        <f>G327*F327</f>
        <v>235.78200000000001</v>
      </c>
      <c r="I327" s="93">
        <f>SUMIFS('4.2-TS Tariff Schedule'!E:E,'4.2-TS Tariff Schedule'!H:H,'5. 2-W Bill Impacts'!$A327,'4.2-TS Tariff Schedule'!G:G,'5. 2-W Bill Impacts'!D327)</f>
        <v>3.6675</v>
      </c>
      <c r="J327" s="115">
        <f>IF($E319&gt;0, $E319, $E318)</f>
        <v>60</v>
      </c>
      <c r="K327" s="78">
        <f>J327*I327</f>
        <v>220.05</v>
      </c>
      <c r="L327" s="78">
        <f t="shared" si="50"/>
        <v>-15.731999999999999</v>
      </c>
      <c r="M327" s="77">
        <f>IF(ISERROR(L327/H327), "", L327/H327)</f>
        <v>-6.672265058401404E-2</v>
      </c>
    </row>
    <row r="328" spans="1:13" x14ac:dyDescent="0.25">
      <c r="A328" s="40" t="str">
        <f t="shared" si="49"/>
        <v>GENERAL SERVICE 50 TO 999 KW SERVICE CLASSIFICATION</v>
      </c>
      <c r="C328" s="50"/>
      <c r="D328" s="119" t="s">
        <v>118</v>
      </c>
      <c r="E328" s="82"/>
      <c r="F328" s="118">
        <f>SUMIFS('2.2-TSC Current Schedule'!E:E,'2.2-TSC Current Schedule'!H:H,'5. 2-W Bill Impacts'!$A328,'2.2-TSC Current Schedule'!G:G,'5. 2-W Bill Impacts'!D328)</f>
        <v>0</v>
      </c>
      <c r="G328" s="94">
        <v>1</v>
      </c>
      <c r="H328" s="78">
        <f>G328*F328</f>
        <v>0</v>
      </c>
      <c r="I328" s="117">
        <f>SUMIFS('4.2-TS Tariff Schedule'!E:E,'4.2-TS Tariff Schedule'!H:H,'5. 2-W Bill Impacts'!$A328,'4.2-TS Tariff Schedule'!G:G,'5. 2-W Bill Impacts'!D328)</f>
        <v>18.561313423742977</v>
      </c>
      <c r="J328" s="115">
        <f>G328</f>
        <v>1</v>
      </c>
      <c r="K328" s="78">
        <f>J328*I328</f>
        <v>18.561313423742977</v>
      </c>
      <c r="L328" s="78">
        <f t="shared" si="50"/>
        <v>18.561313423742977</v>
      </c>
      <c r="M328" s="77" t="str">
        <f>IF(ISERROR(L328/H328), "", L328/H328)</f>
        <v/>
      </c>
    </row>
    <row r="329" spans="1:13" x14ac:dyDescent="0.25">
      <c r="A329" s="40" t="str">
        <f t="shared" si="49"/>
        <v>GENERAL SERVICE 50 TO 999 KW SERVICE CLASSIFICATION</v>
      </c>
      <c r="C329" s="50"/>
      <c r="D329" s="116" t="s">
        <v>152</v>
      </c>
      <c r="E329" s="82"/>
      <c r="F329" s="92">
        <f>SUMIFS('2.2-TSC Current Schedule'!E:E,'2.2-TSC Current Schedule'!H:H,'5. 2-W Bill Impacts'!$A329,'2.2-TSC Current Schedule'!G:G,'5. 2-W Bill Impacts'!D329)</f>
        <v>0</v>
      </c>
      <c r="G329" s="94">
        <f>IF($E319&gt;0, $E319, $E318)</f>
        <v>60</v>
      </c>
      <c r="H329" s="78">
        <f>G329*F329</f>
        <v>0</v>
      </c>
      <c r="I329" s="93">
        <f>SUMIFS('4.2-TS Tariff Schedule'!E:E,'4.2-TS Tariff Schedule'!H:H,'5. 2-W Bill Impacts'!$A329,'4.2-TS Tariff Schedule'!G:G,'5. 2-W Bill Impacts'!D329)</f>
        <v>0.48451992927483067</v>
      </c>
      <c r="J329" s="115">
        <f>IF($E319&gt;0, $E319, $E318)</f>
        <v>60</v>
      </c>
      <c r="K329" s="78">
        <f>J329*I329</f>
        <v>29.071195756489839</v>
      </c>
      <c r="L329" s="78">
        <f t="shared" si="50"/>
        <v>29.071195756489839</v>
      </c>
      <c r="M329" s="77" t="str">
        <f>IF(ISERROR(L329/H329), "", L329/H329)</f>
        <v/>
      </c>
    </row>
    <row r="330" spans="1:13" x14ac:dyDescent="0.25">
      <c r="A330" s="40" t="str">
        <f t="shared" si="49"/>
        <v>GENERAL SERVICE 50 TO 999 KW SERVICE CLASSIFICATION</v>
      </c>
      <c r="B330" s="114" t="s">
        <v>206</v>
      </c>
      <c r="C330" s="50">
        <f>B34</f>
        <v>5</v>
      </c>
      <c r="D330" s="113" t="s">
        <v>205</v>
      </c>
      <c r="E330" s="102"/>
      <c r="F330" s="112"/>
      <c r="G330" s="100"/>
      <c r="H330" s="97">
        <f>SUM(H326:H329)</f>
        <v>332.762</v>
      </c>
      <c r="I330" s="111"/>
      <c r="J330" s="106"/>
      <c r="K330" s="97">
        <f>SUM(K326:K329)</f>
        <v>366.78250918023281</v>
      </c>
      <c r="L330" s="97">
        <f t="shared" si="50"/>
        <v>34.020509180232807</v>
      </c>
      <c r="M330" s="96">
        <f>IF((H330)=0,"",(L330/H330))</f>
        <v>0.10223676134965172</v>
      </c>
    </row>
    <row r="331" spans="1:13" x14ac:dyDescent="0.25">
      <c r="A331" s="40" t="str">
        <f t="shared" si="49"/>
        <v>GENERAL SERVICE 50 TO 999 KW SERVICE CLASSIFICATION</v>
      </c>
      <c r="C331" s="50"/>
      <c r="D331" s="110" t="s">
        <v>204</v>
      </c>
      <c r="E331" s="82"/>
      <c r="F331" s="92">
        <f>SUMIFS('2.2-TSC Current Schedule'!E:E,'2.2-TSC Current Schedule'!H:H,'5. 2-W Bill Impacts'!$A331,'2.2-TSC Current Schedule'!G:G,'5. 2-W Bill Impacts'!D331)</f>
        <v>0</v>
      </c>
      <c r="G331" s="91">
        <f>IF(F331=0, 0, $E318*E320-E318)</f>
        <v>0</v>
      </c>
      <c r="H331" s="78">
        <f>G331*F331</f>
        <v>0</v>
      </c>
      <c r="I331" s="93">
        <f>SUMIFS('4.2-TS Tariff Schedule'!E:E,'4.2-TS Tariff Schedule'!H:H,'5. 2-W Bill Impacts'!$A331,'4.2-TS Tariff Schedule'!G:G,'5. 2-W Bill Impacts'!D331)</f>
        <v>0</v>
      </c>
      <c r="J331" s="91">
        <f>IF(I331=0, 0, E318*E321-E318)</f>
        <v>0</v>
      </c>
      <c r="K331" s="78">
        <f>J331*I331</f>
        <v>0</v>
      </c>
      <c r="L331" s="78">
        <f t="shared" si="50"/>
        <v>0</v>
      </c>
      <c r="M331" s="77" t="str">
        <f>IF(ISERROR(L331/H331), "", L331/H331)</f>
        <v/>
      </c>
    </row>
    <row r="332" spans="1:13" x14ac:dyDescent="0.25">
      <c r="A332" s="40" t="str">
        <f t="shared" si="49"/>
        <v>GENERAL SERVICE 50 TO 999 KW SERVICE CLASSIFICATION</v>
      </c>
      <c r="C332" s="50"/>
      <c r="D332" s="110" t="s">
        <v>90</v>
      </c>
      <c r="E332" s="82"/>
      <c r="F332" s="92">
        <f>SUMIFS('2.2-TSC Current Schedule'!E:E,'2.2-TSC Current Schedule'!H:H,'5. 2-W Bill Impacts'!$A332,'2.2-TSC Current Schedule'!G:G,'5. 2-W Bill Impacts'!D332)</f>
        <v>-2.8760694640552322</v>
      </c>
      <c r="G332" s="109">
        <f>IF($E319&gt;0, $E319, $E318)</f>
        <v>60</v>
      </c>
      <c r="H332" s="78">
        <f>G332*F332</f>
        <v>-172.56416784331392</v>
      </c>
      <c r="I332" s="93">
        <f>SUMIFS('4.2-TS Tariff Schedule'!E:E,'4.2-TS Tariff Schedule'!H:H,'5. 2-W Bill Impacts'!$A332,'4.2-TS Tariff Schedule'!G:G,'5. 2-W Bill Impacts'!D332)</f>
        <v>-0.44239718207740403</v>
      </c>
      <c r="J332" s="109">
        <f>IF($E319&gt;0, $E319, $E318)</f>
        <v>60</v>
      </c>
      <c r="K332" s="78">
        <f>J332*I332</f>
        <v>-26.54383092464424</v>
      </c>
      <c r="L332" s="78">
        <f t="shared" si="50"/>
        <v>146.02033691866967</v>
      </c>
      <c r="M332" s="77">
        <f>IF(ISERROR(L332/H332), "", L332/H332)</f>
        <v>-0.84617993841719374</v>
      </c>
    </row>
    <row r="333" spans="1:13" x14ac:dyDescent="0.25">
      <c r="A333" s="40" t="str">
        <f t="shared" si="49"/>
        <v>GENERAL SERVICE 50 TO 999 KW SERVICE CLASSIFICATION</v>
      </c>
      <c r="C333" s="50"/>
      <c r="D333" s="110" t="s">
        <v>92</v>
      </c>
      <c r="E333" s="82"/>
      <c r="F333" s="92">
        <f>SUMIFS('2.2-TSC Current Schedule'!E:E,'2.2-TSC Current Schedule'!H:H,'5. 2-W Bill Impacts'!$A333,'2.2-TSC Current Schedule'!G:G,'5. 2-W Bill Impacts'!D333)</f>
        <v>1.4200000000000001E-2</v>
      </c>
      <c r="G333" s="109">
        <f>E318</f>
        <v>20000</v>
      </c>
      <c r="H333" s="78">
        <f>G333*F333</f>
        <v>284</v>
      </c>
      <c r="I333" s="93">
        <f>SUMIFS('4.2-TS Tariff Schedule'!E:E,'4.2-TS Tariff Schedule'!H:H,'5. 2-W Bill Impacts'!$A333,'4.2-TS Tariff Schedule'!G:G,'5. 2-W Bill Impacts'!D333)</f>
        <v>3.8237144354832221E-4</v>
      </c>
      <c r="J333" s="109">
        <f>E318</f>
        <v>20000</v>
      </c>
      <c r="K333" s="78">
        <f>J333*I333</f>
        <v>7.6474288709664444</v>
      </c>
      <c r="L333" s="78">
        <f t="shared" si="50"/>
        <v>-276.35257112903355</v>
      </c>
      <c r="M333" s="77">
        <f>IF(ISERROR(L333/H333), "", L333/H333)</f>
        <v>-0.97307243355293505</v>
      </c>
    </row>
    <row r="334" spans="1:13" x14ac:dyDescent="0.25">
      <c r="A334" s="40" t="str">
        <f t="shared" si="49"/>
        <v>GENERAL SERVICE 50 TO 999 KW SERVICE CLASSIFICATION</v>
      </c>
      <c r="C334" s="50"/>
      <c r="D334" s="108" t="s">
        <v>94</v>
      </c>
      <c r="E334" s="82"/>
      <c r="F334" s="92">
        <f>SUMIFS('2.2-TSC Current Schedule'!E:E,'2.2-TSC Current Schedule'!H:H,'5. 2-W Bill Impacts'!$A334,'2.2-TSC Current Schedule'!G:G,'5. 2-W Bill Impacts'!D334)</f>
        <v>1.1222000000000001</v>
      </c>
      <c r="G334" s="109">
        <f>IF($E319&gt;0, $E319, $E318)</f>
        <v>60</v>
      </c>
      <c r="H334" s="78">
        <f>G334*F334</f>
        <v>67.332000000000008</v>
      </c>
      <c r="I334" s="93">
        <f>SUMIFS('4.2-TS Tariff Schedule'!E:E,'4.2-TS Tariff Schedule'!H:H,'5. 2-W Bill Impacts'!$A334,'4.2-TS Tariff Schedule'!G:G,'5. 2-W Bill Impacts'!D334)</f>
        <v>0.14680000000000001</v>
      </c>
      <c r="J334" s="109">
        <f>IF($E319&gt;0, $E319, $E318)</f>
        <v>60</v>
      </c>
      <c r="K334" s="78">
        <f>J334*I334</f>
        <v>8.8080000000000016</v>
      </c>
      <c r="L334" s="78">
        <f t="shared" si="50"/>
        <v>-58.524000000000008</v>
      </c>
      <c r="M334" s="77">
        <f>IF(ISERROR(L334/H334), "", L334/H334)</f>
        <v>-0.86918552842630548</v>
      </c>
    </row>
    <row r="335" spans="1:13" x14ac:dyDescent="0.25">
      <c r="A335" s="40" t="str">
        <f t="shared" si="49"/>
        <v>GENERAL SERVICE 50 TO 999 KW SERVICE CLASSIFICATION</v>
      </c>
      <c r="C335" s="50"/>
      <c r="D335" s="108" t="s">
        <v>116</v>
      </c>
      <c r="E335" s="82"/>
      <c r="F335" s="92">
        <f>SUMIFS('2.2-TSC Current Schedule'!E:E,'2.2-TSC Current Schedule'!H:H,'5. 2-W Bill Impacts'!$A335,'2.2-TSC Current Schedule'!G:G,'5. 2-W Bill Impacts'!D335)</f>
        <v>0</v>
      </c>
      <c r="G335" s="94">
        <v>1</v>
      </c>
      <c r="H335" s="78">
        <f>G335*F335</f>
        <v>0</v>
      </c>
      <c r="I335" s="93">
        <f>SUMIFS('4.2-TS Tariff Schedule'!E:E,'4.2-TS Tariff Schedule'!H:H,'5. 2-W Bill Impacts'!$A335,'4.2-TS Tariff Schedule'!G:G,'5. 2-W Bill Impacts'!D335)</f>
        <v>0</v>
      </c>
      <c r="J335" s="94">
        <v>1</v>
      </c>
      <c r="K335" s="78">
        <f>J335*I335</f>
        <v>0</v>
      </c>
      <c r="L335" s="78">
        <f t="shared" si="50"/>
        <v>0</v>
      </c>
      <c r="M335" s="77" t="str">
        <f>IF(ISERROR(L335/H335), "", L335/H335)</f>
        <v/>
      </c>
    </row>
    <row r="336" spans="1:13" x14ac:dyDescent="0.25">
      <c r="A336" s="40" t="str">
        <f t="shared" si="49"/>
        <v>GENERAL SERVICE 50 TO 999 KW SERVICE CLASSIFICATION</v>
      </c>
      <c r="B336" s="76" t="s">
        <v>203</v>
      </c>
      <c r="C336" s="50">
        <f>B34</f>
        <v>5</v>
      </c>
      <c r="D336" s="103" t="s">
        <v>202</v>
      </c>
      <c r="E336" s="107"/>
      <c r="F336" s="101"/>
      <c r="G336" s="100"/>
      <c r="H336" s="97">
        <f>SUM(H330:H335)</f>
        <v>511.5298321566861</v>
      </c>
      <c r="I336" s="99"/>
      <c r="J336" s="106"/>
      <c r="K336" s="97">
        <f>SUM(K330:K335)</f>
        <v>356.69410712655502</v>
      </c>
      <c r="L336" s="97">
        <f t="shared" si="50"/>
        <v>-154.83572503013107</v>
      </c>
      <c r="M336" s="96">
        <f>IF((H336)=0,"",(L336/H336))</f>
        <v>-0.30269148600252804</v>
      </c>
    </row>
    <row r="337" spans="1:13" x14ac:dyDescent="0.25">
      <c r="A337" s="40" t="str">
        <f t="shared" si="49"/>
        <v>GENERAL SERVICE 50 TO 999 KW SERVICE CLASSIFICATION</v>
      </c>
      <c r="C337" s="50"/>
      <c r="D337" s="105" t="s">
        <v>88</v>
      </c>
      <c r="E337" s="82"/>
      <c r="F337" s="92">
        <f>SUMIFS('2.2-TSC Current Schedule'!E:E,'2.2-TSC Current Schedule'!H:H,'5. 2-W Bill Impacts'!$E316,'2.2-TSC Current Schedule'!G:G,'5. 2-W Bill Impacts'!D337)</f>
        <v>2.2263999999999999</v>
      </c>
      <c r="G337" s="91">
        <f>IF($E319&gt;0, $E319, $E318*$E320)</f>
        <v>60</v>
      </c>
      <c r="H337" s="78">
        <f>G337*F337</f>
        <v>133.584</v>
      </c>
      <c r="I337" s="93">
        <f>SUMIFS('4.2-TS Tariff Schedule'!E:E,'4.2-TS Tariff Schedule'!H:H,'5. 2-W Bill Impacts'!$E316,'4.2-TS Tariff Schedule'!G:G,'5. 2-W Bill Impacts'!D337)</f>
        <v>3.0565878768844219</v>
      </c>
      <c r="J337" s="91">
        <f>IF($E319&gt;0, $E319, $E318*$E321)</f>
        <v>60</v>
      </c>
      <c r="K337" s="78">
        <f>J337*I337</f>
        <v>183.39527261306532</v>
      </c>
      <c r="L337" s="78">
        <f t="shared" si="50"/>
        <v>49.811272613065313</v>
      </c>
      <c r="M337" s="77">
        <f>IF(ISERROR(L337/H337), "", L337/H337)</f>
        <v>0.37288352357367133</v>
      </c>
    </row>
    <row r="338" spans="1:13" x14ac:dyDescent="0.25">
      <c r="A338" s="40" t="str">
        <f t="shared" si="49"/>
        <v>GENERAL SERVICE 50 TO 999 KW SERVICE CLASSIFICATION</v>
      </c>
      <c r="C338" s="50"/>
      <c r="D338" s="104" t="s">
        <v>86</v>
      </c>
      <c r="E338" s="82"/>
      <c r="F338" s="92">
        <f>SUMIFS('2.2-TSC Current Schedule'!E:E,'2.2-TSC Current Schedule'!H:H,'5. 2-W Bill Impacts'!$E316,'2.2-TSC Current Schedule'!G:G,'5. 2-W Bill Impacts'!D338)</f>
        <v>1.1812</v>
      </c>
      <c r="G338" s="91">
        <f>IF($E319&gt;0, $E319, $E318*$E320)</f>
        <v>60</v>
      </c>
      <c r="H338" s="78">
        <f>G338*F338</f>
        <v>70.872</v>
      </c>
      <c r="I338" s="93">
        <f>SUMIFS('4.2-TS Tariff Schedule'!E:E,'4.2-TS Tariff Schedule'!H:H,'5. 2-W Bill Impacts'!$E316,'4.2-TS Tariff Schedule'!G:G,'5. 2-W Bill Impacts'!D338)</f>
        <v>2.288136643492007</v>
      </c>
      <c r="J338" s="91">
        <f>IF($E319&gt;0, $E319, $E318*$E321)</f>
        <v>60</v>
      </c>
      <c r="K338" s="78">
        <f>J338*I338</f>
        <v>137.28819860952041</v>
      </c>
      <c r="L338" s="78">
        <f t="shared" si="50"/>
        <v>66.416198609520407</v>
      </c>
      <c r="M338" s="77">
        <f>IF(ISERROR(L338/H338), "", L338/H338)</f>
        <v>0.93712888883508871</v>
      </c>
    </row>
    <row r="339" spans="1:13" x14ac:dyDescent="0.25">
      <c r="A339" s="40" t="str">
        <f t="shared" si="49"/>
        <v>GENERAL SERVICE 50 TO 999 KW SERVICE CLASSIFICATION</v>
      </c>
      <c r="B339" s="76" t="s">
        <v>201</v>
      </c>
      <c r="C339" s="50">
        <f>B34</f>
        <v>5</v>
      </c>
      <c r="D339" s="103" t="s">
        <v>200</v>
      </c>
      <c r="E339" s="102"/>
      <c r="F339" s="101"/>
      <c r="G339" s="100"/>
      <c r="H339" s="97">
        <f>SUM(H336:H338)</f>
        <v>715.98583215668612</v>
      </c>
      <c r="I339" s="99"/>
      <c r="J339" s="98"/>
      <c r="K339" s="97">
        <f>SUM(K336:K338)</f>
        <v>677.37757834914078</v>
      </c>
      <c r="L339" s="97">
        <f t="shared" si="50"/>
        <v>-38.608253807545339</v>
      </c>
      <c r="M339" s="96">
        <f>IF((H339)=0,"",(L339/H339))</f>
        <v>-5.3923209194307521E-2</v>
      </c>
    </row>
    <row r="340" spans="1:13" x14ac:dyDescent="0.25">
      <c r="A340" s="40" t="str">
        <f t="shared" si="49"/>
        <v>GENERAL SERVICE 50 TO 999 KW SERVICE CLASSIFICATION</v>
      </c>
      <c r="C340" s="50"/>
      <c r="D340" s="95" t="s">
        <v>83</v>
      </c>
      <c r="E340" s="82"/>
      <c r="F340" s="92">
        <f>SUMIFS('2.2-TSC Current Schedule'!E:E,'2.2-TSC Current Schedule'!H:H,'5. 2-W Bill Impacts'!$A340,'2.2-TSC Current Schedule'!G:G,'5. 2-W Bill Impacts'!D340)</f>
        <v>3.2000000000000002E-3</v>
      </c>
      <c r="G340" s="91">
        <f>E318*E320</f>
        <v>20990.000000000004</v>
      </c>
      <c r="H340" s="78">
        <f t="shared" ref="H340:H349" si="51">G340*F340</f>
        <v>67.168000000000021</v>
      </c>
      <c r="I340" s="93">
        <f>SUMIFS('4.2-TS Tariff Schedule'!E:E,'4.2-TS Tariff Schedule'!H:H,'5. 2-W Bill Impacts'!$A340,'4.2-TS Tariff Schedule'!G:G,'5. 2-W Bill Impacts'!D340)</f>
        <v>3.2000000000000002E-3</v>
      </c>
      <c r="J340" s="91">
        <f>E318*E321</f>
        <v>20613.692998880539</v>
      </c>
      <c r="K340" s="78">
        <f t="shared" ref="K340:K349" si="52">J340*I340</f>
        <v>65.963817596417726</v>
      </c>
      <c r="L340" s="78">
        <f t="shared" si="50"/>
        <v>-1.2041824035822941</v>
      </c>
      <c r="M340" s="77">
        <f t="shared" ref="M340:M349" si="53">IF(ISERROR(L340/H340), "", L340/H340)</f>
        <v>-1.7927918109550585E-2</v>
      </c>
    </row>
    <row r="341" spans="1:13" x14ac:dyDescent="0.25">
      <c r="A341" s="40" t="str">
        <f t="shared" si="49"/>
        <v>GENERAL SERVICE 50 TO 999 KW SERVICE CLASSIFICATION</v>
      </c>
      <c r="C341" s="50"/>
      <c r="D341" s="95" t="s">
        <v>81</v>
      </c>
      <c r="E341" s="82"/>
      <c r="F341" s="92">
        <f>SUMIFS('2.2-TSC Current Schedule'!E:E,'2.2-TSC Current Schedule'!H:H,'5. 2-W Bill Impacts'!$A341,'2.2-TSC Current Schedule'!G:G,'5. 2-W Bill Impacts'!D341)</f>
        <v>4.0000000000000002E-4</v>
      </c>
      <c r="G341" s="91">
        <f>E318*E320</f>
        <v>20990.000000000004</v>
      </c>
      <c r="H341" s="78">
        <f t="shared" si="51"/>
        <v>8.3960000000000026</v>
      </c>
      <c r="I341" s="93">
        <f>SUMIFS('4.2-TS Tariff Schedule'!E:E,'4.2-TS Tariff Schedule'!H:H,'5. 2-W Bill Impacts'!$A341,'4.2-TS Tariff Schedule'!G:G,'5. 2-W Bill Impacts'!D341)</f>
        <v>4.0000000000000002E-4</v>
      </c>
      <c r="J341" s="91">
        <f>E318*E321</f>
        <v>20613.692998880539</v>
      </c>
      <c r="K341" s="78">
        <f t="shared" si="52"/>
        <v>8.2454771995522158</v>
      </c>
      <c r="L341" s="78">
        <f t="shared" si="50"/>
        <v>-0.15052280044778676</v>
      </c>
      <c r="M341" s="77">
        <f t="shared" si="53"/>
        <v>-1.7927918109550585E-2</v>
      </c>
    </row>
    <row r="342" spans="1:13" x14ac:dyDescent="0.25">
      <c r="A342" s="40" t="str">
        <f t="shared" si="49"/>
        <v>GENERAL SERVICE 50 TO 999 KW SERVICE CLASSIFICATION</v>
      </c>
      <c r="C342" s="50"/>
      <c r="D342" s="95" t="s">
        <v>78</v>
      </c>
      <c r="E342" s="82"/>
      <c r="F342" s="92">
        <f>SUMIFS('2.2-TSC Current Schedule'!E:E,'2.2-TSC Current Schedule'!H:H,'5. 2-W Bill Impacts'!$A342,'2.2-TSC Current Schedule'!G:G,'5. 2-W Bill Impacts'!D342)</f>
        <v>2.9999999999999997E-4</v>
      </c>
      <c r="G342" s="91">
        <f>E318*E320</f>
        <v>20990.000000000004</v>
      </c>
      <c r="H342" s="78">
        <f t="shared" si="51"/>
        <v>6.2970000000000006</v>
      </c>
      <c r="I342" s="93">
        <f>SUMIFS('4.2-TS Tariff Schedule'!E:E,'4.2-TS Tariff Schedule'!H:H,'5. 2-W Bill Impacts'!$A342,'4.2-TS Tariff Schedule'!G:G,'5. 2-W Bill Impacts'!D342)</f>
        <v>2.9999999999999997E-4</v>
      </c>
      <c r="J342" s="91">
        <f>E318*E321</f>
        <v>20613.692998880539</v>
      </c>
      <c r="K342" s="78">
        <f t="shared" si="52"/>
        <v>6.184107899664161</v>
      </c>
      <c r="L342" s="78">
        <f t="shared" si="50"/>
        <v>-0.11289210033583963</v>
      </c>
      <c r="M342" s="77">
        <f t="shared" si="53"/>
        <v>-1.7927918109550519E-2</v>
      </c>
    </row>
    <row r="343" spans="1:13" x14ac:dyDescent="0.25">
      <c r="A343" s="40" t="str">
        <f t="shared" si="49"/>
        <v>GENERAL SERVICE 50 TO 999 KW SERVICE CLASSIFICATION</v>
      </c>
      <c r="C343" s="50"/>
      <c r="D343" s="63" t="s">
        <v>76</v>
      </c>
      <c r="E343" s="82"/>
      <c r="F343" s="92">
        <f>SUMIFS('2.2-TSC Current Schedule'!E:E,'2.2-TSC Current Schedule'!H:H,'5. 2-W Bill Impacts'!$A343,'2.2-TSC Current Schedule'!G:G,'5. 2-W Bill Impacts'!D343)</f>
        <v>0.25</v>
      </c>
      <c r="G343" s="94">
        <v>1</v>
      </c>
      <c r="H343" s="78">
        <f t="shared" si="51"/>
        <v>0.25</v>
      </c>
      <c r="I343" s="93">
        <f>SUMIFS('4.2-TS Tariff Schedule'!E:E,'4.2-TS Tariff Schedule'!H:H,'5. 2-W Bill Impacts'!$A343,'4.2-TS Tariff Schedule'!G:G,'5. 2-W Bill Impacts'!D343)</f>
        <v>0.25</v>
      </c>
      <c r="J343" s="78">
        <v>1</v>
      </c>
      <c r="K343" s="78">
        <f t="shared" si="52"/>
        <v>0.25</v>
      </c>
      <c r="L343" s="78">
        <f t="shared" si="50"/>
        <v>0</v>
      </c>
      <c r="M343" s="77">
        <f t="shared" si="53"/>
        <v>0</v>
      </c>
    </row>
    <row r="344" spans="1:13" x14ac:dyDescent="0.25">
      <c r="A344" s="40" t="str">
        <f t="shared" si="49"/>
        <v>GENERAL SERVICE 50 TO 999 KW SERVICE CLASSIFICATION</v>
      </c>
      <c r="C344" s="50"/>
      <c r="D344" s="63" t="s">
        <v>132</v>
      </c>
      <c r="E344" s="82"/>
      <c r="F344" s="92">
        <v>7.0000000000000001E-3</v>
      </c>
      <c r="G344" s="91">
        <f>E318</f>
        <v>20000</v>
      </c>
      <c r="H344" s="78">
        <f t="shared" si="51"/>
        <v>140</v>
      </c>
      <c r="I344" s="92">
        <v>7.0000000000000001E-3</v>
      </c>
      <c r="J344" s="91">
        <f>E318</f>
        <v>20000</v>
      </c>
      <c r="K344" s="78">
        <f t="shared" si="52"/>
        <v>140</v>
      </c>
      <c r="L344" s="78">
        <f t="shared" si="50"/>
        <v>0</v>
      </c>
      <c r="M344" s="77">
        <f t="shared" si="53"/>
        <v>0</v>
      </c>
    </row>
    <row r="345" spans="1:13" x14ac:dyDescent="0.25">
      <c r="A345" s="40" t="str">
        <f t="shared" si="49"/>
        <v>GENERAL SERVICE 50 TO 999 KW SERVICE CLASSIFICATION</v>
      </c>
      <c r="B345" s="76" t="s">
        <v>197</v>
      </c>
      <c r="C345" s="50"/>
      <c r="D345" s="83" t="s">
        <v>199</v>
      </c>
      <c r="E345" s="82"/>
      <c r="F345" s="138">
        <v>6.5000000000000002E-2</v>
      </c>
      <c r="G345" s="80"/>
      <c r="H345" s="79">
        <f t="shared" si="51"/>
        <v>0</v>
      </c>
      <c r="I345" s="137">
        <v>6.5000000000000002E-2</v>
      </c>
      <c r="J345" s="80"/>
      <c r="K345" s="79">
        <f t="shared" si="52"/>
        <v>0</v>
      </c>
      <c r="L345" s="78">
        <f t="shared" si="50"/>
        <v>0</v>
      </c>
      <c r="M345" s="77" t="str">
        <f t="shared" si="53"/>
        <v/>
      </c>
    </row>
    <row r="346" spans="1:13" x14ac:dyDescent="0.25">
      <c r="A346" s="40" t="str">
        <f t="shared" si="49"/>
        <v>GENERAL SERVICE 50 TO 999 KW SERVICE CLASSIFICATION</v>
      </c>
      <c r="B346" s="76" t="s">
        <v>197</v>
      </c>
      <c r="C346" s="50"/>
      <c r="D346" s="83" t="s">
        <v>198</v>
      </c>
      <c r="E346" s="82"/>
      <c r="F346" s="138">
        <v>9.5000000000000001E-2</v>
      </c>
      <c r="G346" s="80"/>
      <c r="H346" s="79">
        <f t="shared" si="51"/>
        <v>0</v>
      </c>
      <c r="I346" s="137">
        <v>9.5000000000000001E-2</v>
      </c>
      <c r="J346" s="80"/>
      <c r="K346" s="79">
        <f t="shared" si="52"/>
        <v>0</v>
      </c>
      <c r="L346" s="78">
        <f t="shared" si="50"/>
        <v>0</v>
      </c>
      <c r="M346" s="77" t="str">
        <f t="shared" si="53"/>
        <v/>
      </c>
    </row>
    <row r="347" spans="1:13" x14ac:dyDescent="0.25">
      <c r="A347" s="40" t="str">
        <f t="shared" si="49"/>
        <v>GENERAL SERVICE 50 TO 999 KW SERVICE CLASSIFICATION</v>
      </c>
      <c r="B347" s="76" t="s">
        <v>197</v>
      </c>
      <c r="C347" s="50"/>
      <c r="D347" s="76" t="s">
        <v>196</v>
      </c>
      <c r="E347" s="82"/>
      <c r="F347" s="138">
        <v>0.13200000000000001</v>
      </c>
      <c r="G347" s="80"/>
      <c r="H347" s="79">
        <f t="shared" si="51"/>
        <v>0</v>
      </c>
      <c r="I347" s="137">
        <v>0.13200000000000001</v>
      </c>
      <c r="J347" s="80"/>
      <c r="K347" s="79">
        <f t="shared" si="52"/>
        <v>0</v>
      </c>
      <c r="L347" s="78">
        <f t="shared" si="50"/>
        <v>0</v>
      </c>
      <c r="M347" s="77" t="str">
        <f t="shared" si="53"/>
        <v/>
      </c>
    </row>
    <row r="348" spans="1:13" x14ac:dyDescent="0.25">
      <c r="A348" s="40" t="str">
        <f t="shared" si="49"/>
        <v>GENERAL SERVICE 50 TO 999 KW SERVICE CLASSIFICATION</v>
      </c>
      <c r="B348" s="40" t="s">
        <v>195</v>
      </c>
      <c r="C348" s="50"/>
      <c r="D348" s="83" t="s">
        <v>194</v>
      </c>
      <c r="E348" s="82"/>
      <c r="F348" s="81">
        <v>1.8855833333333332E-2</v>
      </c>
      <c r="G348" s="80">
        <f>IF(AND(E318*12&gt;=150000),E318*E320,E318)</f>
        <v>20990.000000000004</v>
      </c>
      <c r="H348" s="79">
        <f t="shared" si="51"/>
        <v>395.78394166666669</v>
      </c>
      <c r="I348" s="81">
        <v>1.8855833333333332E-2</v>
      </c>
      <c r="J348" s="80">
        <f>IF(AND(E318*12&gt;=150000),E318*E321,E318)</f>
        <v>20613.692998880539</v>
      </c>
      <c r="K348" s="79">
        <f t="shared" si="52"/>
        <v>388.68835957139157</v>
      </c>
      <c r="L348" s="78">
        <f t="shared" si="50"/>
        <v>-7.0955820952751196</v>
      </c>
      <c r="M348" s="77">
        <f t="shared" si="53"/>
        <v>-1.7927918109550519E-2</v>
      </c>
    </row>
    <row r="349" spans="1:13" ht="13.8" thickBot="1" x14ac:dyDescent="0.3">
      <c r="A349" s="40" t="str">
        <f t="shared" si="49"/>
        <v>GENERAL SERVICE 50 TO 999 KW SERVICE CLASSIFICATION</v>
      </c>
      <c r="B349" s="40" t="s">
        <v>188</v>
      </c>
      <c r="C349" s="50"/>
      <c r="D349" s="83" t="s">
        <v>193</v>
      </c>
      <c r="E349" s="82"/>
      <c r="F349" s="81">
        <v>0.10303000000000001</v>
      </c>
      <c r="G349" s="80">
        <f>IF(AND(E318*12&gt;=150000),E318*E320,E318)</f>
        <v>20990.000000000004</v>
      </c>
      <c r="H349" s="79">
        <f t="shared" si="51"/>
        <v>2162.5997000000007</v>
      </c>
      <c r="I349" s="81">
        <v>0.10303000000000001</v>
      </c>
      <c r="J349" s="80">
        <f>IF(AND(E318*12&gt;=150000),E318*E321,E318)</f>
        <v>20613.692998880539</v>
      </c>
      <c r="K349" s="79">
        <f t="shared" si="52"/>
        <v>2123.8287896746619</v>
      </c>
      <c r="L349" s="78">
        <f t="shared" si="50"/>
        <v>-38.770910325338718</v>
      </c>
      <c r="M349" s="77">
        <f t="shared" si="53"/>
        <v>-1.7927918109550606E-2</v>
      </c>
    </row>
    <row r="350" spans="1:13" ht="13.8" thickBot="1" x14ac:dyDescent="0.3">
      <c r="A350" s="40" t="str">
        <f t="shared" si="49"/>
        <v>GENERAL SERVICE 50 TO 999 KW SERVICE CLASSIFICATION</v>
      </c>
      <c r="B350" s="76"/>
      <c r="C350" s="50"/>
      <c r="D350" s="49"/>
      <c r="E350" s="48"/>
      <c r="F350" s="74"/>
      <c r="G350" s="75"/>
      <c r="H350" s="72"/>
      <c r="I350" s="74"/>
      <c r="J350" s="73"/>
      <c r="K350" s="72"/>
      <c r="L350" s="71"/>
      <c r="M350" s="70"/>
    </row>
    <row r="351" spans="1:13" x14ac:dyDescent="0.25">
      <c r="A351" s="40" t="str">
        <f t="shared" si="49"/>
        <v>GENERAL SERVICE 50 TO 999 KW SERVICE CLASSIFICATION</v>
      </c>
      <c r="B351" s="40" t="s">
        <v>188</v>
      </c>
      <c r="C351" s="50"/>
      <c r="D351" s="69" t="s">
        <v>189</v>
      </c>
      <c r="E351" s="63"/>
      <c r="F351" s="61"/>
      <c r="G351" s="62"/>
      <c r="H351" s="67">
        <f>SUM(H339:H349)</f>
        <v>3496.4804738233533</v>
      </c>
      <c r="I351" s="68"/>
      <c r="J351" s="68"/>
      <c r="K351" s="67">
        <f>SUM(K339:K349)</f>
        <v>3410.5381302908281</v>
      </c>
      <c r="L351" s="66">
        <f>K351-H351</f>
        <v>-85.942343532525229</v>
      </c>
      <c r="M351" s="65">
        <f>IF((H351)=0,"",(L351/H351))</f>
        <v>-2.4579672094821814E-2</v>
      </c>
    </row>
    <row r="352" spans="1:13" x14ac:dyDescent="0.25">
      <c r="A352" s="40" t="str">
        <f t="shared" si="49"/>
        <v>GENERAL SERVICE 50 TO 999 KW SERVICE CLASSIFICATION</v>
      </c>
      <c r="B352" s="40" t="s">
        <v>188</v>
      </c>
      <c r="C352" s="50"/>
      <c r="D352" s="64" t="s">
        <v>192</v>
      </c>
      <c r="E352" s="63"/>
      <c r="F352" s="61">
        <v>0.13</v>
      </c>
      <c r="G352" s="62"/>
      <c r="H352" s="59">
        <f>H351*F352</f>
        <v>454.54246159703592</v>
      </c>
      <c r="I352" s="61">
        <v>0.13</v>
      </c>
      <c r="J352" s="60"/>
      <c r="K352" s="59">
        <f>K351*I352</f>
        <v>443.36995693780767</v>
      </c>
      <c r="L352" s="58">
        <f>K352-H352</f>
        <v>-11.172504659228252</v>
      </c>
      <c r="M352" s="57">
        <f>IF((H352)=0,"",(L352/H352))</f>
        <v>-2.4579672094821755E-2</v>
      </c>
    </row>
    <row r="353" spans="1:20" hidden="1" x14ac:dyDescent="0.25">
      <c r="A353" s="40" t="str">
        <f t="shared" si="49"/>
        <v>GENERAL SERVICE 50 TO 999 KW SERVICE CLASSIFICATION</v>
      </c>
      <c r="B353" s="40" t="s">
        <v>188</v>
      </c>
      <c r="C353" s="50"/>
      <c r="D353" s="64" t="s">
        <v>191</v>
      </c>
      <c r="E353" s="63"/>
      <c r="F353" s="61">
        <v>0.08</v>
      </c>
      <c r="G353" s="62"/>
      <c r="H353" s="59">
        <v>0</v>
      </c>
      <c r="I353" s="61">
        <v>0.08</v>
      </c>
      <c r="J353" s="60"/>
      <c r="K353" s="59">
        <v>0</v>
      </c>
      <c r="L353" s="58"/>
      <c r="M353" s="57"/>
    </row>
    <row r="354" spans="1:20" ht="13.8" thickBot="1" x14ac:dyDescent="0.3">
      <c r="A354" s="40" t="str">
        <f t="shared" si="49"/>
        <v>GENERAL SERVICE 50 TO 999 KW SERVICE CLASSIFICATION</v>
      </c>
      <c r="B354" s="40" t="s">
        <v>190</v>
      </c>
      <c r="C354" s="50">
        <f>B34</f>
        <v>5</v>
      </c>
      <c r="D354" s="264" t="s">
        <v>189</v>
      </c>
      <c r="E354" s="264"/>
      <c r="F354" s="56"/>
      <c r="G354" s="55"/>
      <c r="H354" s="53">
        <f>H351+H352+H353</f>
        <v>3951.0229354203893</v>
      </c>
      <c r="I354" s="54"/>
      <c r="J354" s="54"/>
      <c r="K354" s="53">
        <f>K351+K352+K353</f>
        <v>3853.9080872286358</v>
      </c>
      <c r="L354" s="52">
        <f>K354-H354</f>
        <v>-97.114848191753481</v>
      </c>
      <c r="M354" s="51">
        <f>IF((H354)=0,"",(L354/H354))</f>
        <v>-2.4579672094821807E-2</v>
      </c>
    </row>
    <row r="355" spans="1:20" ht="13.8" thickBot="1" x14ac:dyDescent="0.3">
      <c r="A355" s="40" t="str">
        <f t="shared" si="49"/>
        <v>GENERAL SERVICE 50 TO 999 KW SERVICE CLASSIFICATION</v>
      </c>
      <c r="B355" s="40" t="s">
        <v>188</v>
      </c>
      <c r="C355" s="50"/>
      <c r="D355" s="49"/>
      <c r="E355" s="48"/>
      <c r="F355" s="46"/>
      <c r="G355" s="47"/>
      <c r="H355" s="44"/>
      <c r="I355" s="46"/>
      <c r="J355" s="45"/>
      <c r="K355" s="44"/>
      <c r="L355" s="43"/>
      <c r="M355" s="42"/>
    </row>
    <row r="360" spans="1:20" x14ac:dyDescent="0.25">
      <c r="D360" s="128" t="s">
        <v>223</v>
      </c>
      <c r="E360" s="265" t="str">
        <f>D35</f>
        <v>GENERAL SERVICE 1,000 TO 4,999 KW SERVICE CLASSIFICATION</v>
      </c>
      <c r="F360" s="265"/>
      <c r="G360" s="265"/>
      <c r="H360" s="265"/>
      <c r="I360" s="265"/>
      <c r="J360" s="265"/>
      <c r="K360" s="40" t="str">
        <f>IF(N35="DEMAND - INTERVAL","RTSR - INTERVAL METERED","")</f>
        <v/>
      </c>
      <c r="T360" s="40" t="s">
        <v>222</v>
      </c>
    </row>
    <row r="361" spans="1:20" x14ac:dyDescent="0.25">
      <c r="D361" s="128" t="s">
        <v>221</v>
      </c>
      <c r="E361" s="266" t="str">
        <f>H35</f>
        <v>Non-RPP (Other)</v>
      </c>
      <c r="F361" s="266"/>
      <c r="G361" s="266"/>
      <c r="H361" s="135"/>
      <c r="I361" s="135"/>
    </row>
    <row r="362" spans="1:20" ht="15.6" x14ac:dyDescent="0.25">
      <c r="D362" s="128" t="s">
        <v>220</v>
      </c>
      <c r="E362" s="132">
        <f>K35</f>
        <v>800000</v>
      </c>
      <c r="F362" s="134" t="s">
        <v>219</v>
      </c>
      <c r="G362" s="76"/>
      <c r="J362" s="133"/>
      <c r="K362" s="133"/>
      <c r="L362" s="133"/>
      <c r="M362" s="133"/>
    </row>
    <row r="363" spans="1:20" ht="15.6" x14ac:dyDescent="0.3">
      <c r="D363" s="128" t="s">
        <v>218</v>
      </c>
      <c r="E363" s="132">
        <f>L35</f>
        <v>2000</v>
      </c>
      <c r="F363" s="131" t="s">
        <v>217</v>
      </c>
      <c r="G363" s="130"/>
      <c r="H363" s="129"/>
      <c r="I363" s="129"/>
      <c r="J363" s="129"/>
    </row>
    <row r="364" spans="1:20" x14ac:dyDescent="0.25">
      <c r="D364" s="128" t="s">
        <v>216</v>
      </c>
      <c r="E364" s="127">
        <f>I35</f>
        <v>1.0495000000000001</v>
      </c>
    </row>
    <row r="365" spans="1:20" x14ac:dyDescent="0.25">
      <c r="D365" s="128" t="s">
        <v>215</v>
      </c>
      <c r="E365" s="127">
        <f>J35</f>
        <v>1.030684649944027</v>
      </c>
    </row>
    <row r="366" spans="1:20" x14ac:dyDescent="0.25">
      <c r="D366" s="76"/>
    </row>
    <row r="367" spans="1:20" x14ac:dyDescent="0.25">
      <c r="D367" s="76"/>
      <c r="E367" s="126"/>
      <c r="F367" s="267" t="s">
        <v>214</v>
      </c>
      <c r="G367" s="268"/>
      <c r="H367" s="269"/>
      <c r="I367" s="267" t="s">
        <v>139</v>
      </c>
      <c r="J367" s="268"/>
      <c r="K367" s="269"/>
      <c r="L367" s="267" t="s">
        <v>213</v>
      </c>
      <c r="M367" s="269"/>
    </row>
    <row r="368" spans="1:20" x14ac:dyDescent="0.25">
      <c r="D368" s="76"/>
      <c r="E368" s="270"/>
      <c r="F368" s="125" t="s">
        <v>212</v>
      </c>
      <c r="G368" s="125" t="s">
        <v>211</v>
      </c>
      <c r="H368" s="123" t="s">
        <v>210</v>
      </c>
      <c r="I368" s="125" t="s">
        <v>212</v>
      </c>
      <c r="J368" s="124" t="s">
        <v>211</v>
      </c>
      <c r="K368" s="123" t="s">
        <v>210</v>
      </c>
      <c r="L368" s="272" t="s">
        <v>209</v>
      </c>
      <c r="M368" s="274" t="s">
        <v>208</v>
      </c>
    </row>
    <row r="369" spans="1:13" x14ac:dyDescent="0.25">
      <c r="D369" s="76"/>
      <c r="E369" s="271"/>
      <c r="F369" s="122" t="s">
        <v>207</v>
      </c>
      <c r="G369" s="122"/>
      <c r="H369" s="121" t="s">
        <v>207</v>
      </c>
      <c r="I369" s="122" t="s">
        <v>207</v>
      </c>
      <c r="J369" s="121"/>
      <c r="K369" s="121" t="s">
        <v>207</v>
      </c>
      <c r="L369" s="273"/>
      <c r="M369" s="275"/>
    </row>
    <row r="370" spans="1:13" x14ac:dyDescent="0.25">
      <c r="A370" s="40" t="str">
        <f>A349</f>
        <v>GENERAL SERVICE 50 TO 999 KW SERVICE CLASSIFICATION</v>
      </c>
      <c r="C370" s="50"/>
      <c r="D370" s="120" t="s">
        <v>97</v>
      </c>
      <c r="E370" s="82"/>
      <c r="F370" s="117">
        <f>SUMIFS('2.2-TSC Current Schedule'!E:E,'2.2-TSC Current Schedule'!H:H,'5. 2-W Bill Impacts'!$A370,'2.2-TSC Current Schedule'!G:G,'5. 2-W Bill Impacts'!D370)</f>
        <v>96.98</v>
      </c>
      <c r="G370" s="94">
        <v>1</v>
      </c>
      <c r="H370" s="78">
        <f>G370*F370</f>
        <v>96.98</v>
      </c>
      <c r="I370" s="117">
        <f>SUMIFS('4.2-TS Tariff Schedule'!E:E,'4.2-TS Tariff Schedule'!H:H,'5. 2-W Bill Impacts'!$E360,'4.2-TS Tariff Schedule'!G:G,'5. 2-W Bill Impacts'!D370)</f>
        <v>893.19</v>
      </c>
      <c r="J370" s="115">
        <f>G370</f>
        <v>1</v>
      </c>
      <c r="K370" s="78">
        <f>J370*I370</f>
        <v>893.19</v>
      </c>
      <c r="L370" s="78">
        <f t="shared" ref="L370:L388" si="54">K370-H370</f>
        <v>796.21</v>
      </c>
      <c r="M370" s="77">
        <f>IF(ISERROR(L370/H370), "", L370/H370)</f>
        <v>8.2100433078985358</v>
      </c>
    </row>
    <row r="371" spans="1:13" x14ac:dyDescent="0.25">
      <c r="A371" s="40" t="str">
        <f>A370</f>
        <v>GENERAL SERVICE 50 TO 999 KW SERVICE CLASSIFICATION</v>
      </c>
      <c r="C371" s="50"/>
      <c r="D371" s="120" t="s">
        <v>96</v>
      </c>
      <c r="E371" s="82"/>
      <c r="F371" s="92">
        <f>SUMIFS('2.2-TSC Current Schedule'!E:E,'2.2-TSC Current Schedule'!H:H,'5. 2-W Bill Impacts'!$A371,'2.2-TSC Current Schedule'!G:G,'5. 2-W Bill Impacts'!D371)</f>
        <v>3.9297</v>
      </c>
      <c r="G371" s="94">
        <f>IF($E363&gt;0, $E363, $E362)</f>
        <v>2000</v>
      </c>
      <c r="H371" s="78">
        <f>G371*F371</f>
        <v>7859.4</v>
      </c>
      <c r="I371" s="93">
        <f>SUMIFS('4.2-TS Tariff Schedule'!E:E,'4.2-TS Tariff Schedule'!H:H,'5. 2-W Bill Impacts'!$E360,'4.2-TS Tariff Schedule'!G:G,'5. 2-W Bill Impacts'!D371)</f>
        <v>3.8060999999999998</v>
      </c>
      <c r="J371" s="115">
        <f>IF($E363&gt;0, $E363, $E362)</f>
        <v>2000</v>
      </c>
      <c r="K371" s="78">
        <f>J371*I371</f>
        <v>7612.2</v>
      </c>
      <c r="L371" s="78">
        <f t="shared" si="54"/>
        <v>-247.19999999999982</v>
      </c>
      <c r="M371" s="77">
        <f>IF(ISERROR(L371/H371), "", L371/H371)</f>
        <v>-3.1452782655164498E-2</v>
      </c>
    </row>
    <row r="372" spans="1:13" x14ac:dyDescent="0.25">
      <c r="A372" s="40" t="str">
        <f>A371</f>
        <v>GENERAL SERVICE 50 TO 999 KW SERVICE CLASSIFICATION</v>
      </c>
      <c r="C372" s="50"/>
      <c r="D372" s="119" t="s">
        <v>118</v>
      </c>
      <c r="E372" s="82"/>
      <c r="F372" s="118">
        <f>SUMIFS('2.2-TSC Current Schedule'!E:E,'2.2-TSC Current Schedule'!H:H,'5. 2-W Bill Impacts'!$A372,'2.2-TSC Current Schedule'!G:G,'5. 2-W Bill Impacts'!D372)</f>
        <v>0</v>
      </c>
      <c r="G372" s="94">
        <v>1</v>
      </c>
      <c r="H372" s="78">
        <f>G372*F372</f>
        <v>0</v>
      </c>
      <c r="I372" s="117">
        <f>SUMIFS('4.2-TS Tariff Schedule'!E:E,'4.2-TS Tariff Schedule'!H:H,'5. 2-W Bill Impacts'!$E360,'4.2-TS Tariff Schedule'!G:G,'5. 2-W Bill Impacts'!D372)</f>
        <v>0</v>
      </c>
      <c r="J372" s="115">
        <f>G372</f>
        <v>1</v>
      </c>
      <c r="K372" s="78">
        <f>J372*I372</f>
        <v>0</v>
      </c>
      <c r="L372" s="78">
        <f t="shared" si="54"/>
        <v>0</v>
      </c>
      <c r="M372" s="77" t="str">
        <f>IF(ISERROR(L372/H372), "", L372/H372)</f>
        <v/>
      </c>
    </row>
    <row r="373" spans="1:13" x14ac:dyDescent="0.25">
      <c r="A373" s="40" t="str">
        <f>A372</f>
        <v>GENERAL SERVICE 50 TO 999 KW SERVICE CLASSIFICATION</v>
      </c>
      <c r="C373" s="50"/>
      <c r="D373" s="116" t="s">
        <v>152</v>
      </c>
      <c r="E373" s="82"/>
      <c r="F373" s="92">
        <f>SUMIFS('2.2-TSC Current Schedule'!E:E,'2.2-TSC Current Schedule'!H:H,'5. 2-W Bill Impacts'!$A373,'2.2-TSC Current Schedule'!G:G,'5. 2-W Bill Impacts'!D373)</f>
        <v>0</v>
      </c>
      <c r="G373" s="94">
        <f>IF($E363&gt;0, $E363, $E362)</f>
        <v>2000</v>
      </c>
      <c r="H373" s="78">
        <f>G373*F373</f>
        <v>0</v>
      </c>
      <c r="I373" s="93">
        <f>SUMIFS('4.2-TS Tariff Schedule'!E:E,'4.2-TS Tariff Schedule'!H:H,'5. 2-W Bill Impacts'!$E360,'4.2-TS Tariff Schedule'!G:G,'5. 2-W Bill Impacts'!D373)</f>
        <v>2.2668363214101234E-2</v>
      </c>
      <c r="J373" s="115">
        <f>IF($E363&gt;0, $E363, $E362)</f>
        <v>2000</v>
      </c>
      <c r="K373" s="78">
        <f>J373*I373</f>
        <v>45.336726428202468</v>
      </c>
      <c r="L373" s="78">
        <f t="shared" si="54"/>
        <v>45.336726428202468</v>
      </c>
      <c r="M373" s="77" t="str">
        <f>IF(ISERROR(L373/H373), "", L373/H373)</f>
        <v/>
      </c>
    </row>
    <row r="374" spans="1:13" x14ac:dyDescent="0.25">
      <c r="A374" s="40" t="str">
        <f>$E$360</f>
        <v>GENERAL SERVICE 1,000 TO 4,999 KW SERVICE CLASSIFICATION</v>
      </c>
      <c r="B374" s="114" t="s">
        <v>206</v>
      </c>
      <c r="C374" s="50">
        <f>B35</f>
        <v>6</v>
      </c>
      <c r="D374" s="113" t="s">
        <v>205</v>
      </c>
      <c r="E374" s="102"/>
      <c r="F374" s="112"/>
      <c r="G374" s="100"/>
      <c r="H374" s="97">
        <f>SUM(H370:H373)</f>
        <v>7956.3799999999992</v>
      </c>
      <c r="I374" s="111"/>
      <c r="J374" s="106"/>
      <c r="K374" s="97">
        <f>SUM(K370:K373)</f>
        <v>8550.7267264282018</v>
      </c>
      <c r="L374" s="97">
        <f t="shared" si="54"/>
        <v>594.3467264282026</v>
      </c>
      <c r="M374" s="96">
        <f>IF((H374)=0,"",(L374/H374))</f>
        <v>7.4700646076256122E-2</v>
      </c>
    </row>
    <row r="375" spans="1:13" x14ac:dyDescent="0.25">
      <c r="A375" s="40" t="str">
        <f>A373</f>
        <v>GENERAL SERVICE 50 TO 999 KW SERVICE CLASSIFICATION</v>
      </c>
      <c r="C375" s="50"/>
      <c r="D375" s="110" t="s">
        <v>204</v>
      </c>
      <c r="E375" s="82"/>
      <c r="F375" s="92">
        <f>SUMIFS('2.2-TSC Current Schedule'!E:E,'2.2-TSC Current Schedule'!H:H,'5. 2-W Bill Impacts'!$A375,'2.2-TSC Current Schedule'!G:G,'5. 2-W Bill Impacts'!D375)</f>
        <v>0</v>
      </c>
      <c r="G375" s="91">
        <f>IF(F375=0, 0, $E362*E364-E362)</f>
        <v>0</v>
      </c>
      <c r="H375" s="78">
        <f>G375*F375</f>
        <v>0</v>
      </c>
      <c r="I375" s="93">
        <f>IF((E362*12&gt;=150000), 0, IF(E361="RPP",(I390*0.65+I391*0.17+I392*0.18),IF(E361="Non-RPP (Retailer)",I393,I394)))</f>
        <v>0</v>
      </c>
      <c r="J375" s="91">
        <f>IF(I375=0, 0, E362*E365-E362)</f>
        <v>0</v>
      </c>
      <c r="K375" s="78">
        <f>J375*I375</f>
        <v>0</v>
      </c>
      <c r="L375" s="78">
        <f t="shared" si="54"/>
        <v>0</v>
      </c>
      <c r="M375" s="77" t="str">
        <f>IF(ISERROR(L375/H375), "", L375/H375)</f>
        <v/>
      </c>
    </row>
    <row r="376" spans="1:13" x14ac:dyDescent="0.25">
      <c r="A376" s="40" t="str">
        <f>A375</f>
        <v>GENERAL SERVICE 50 TO 999 KW SERVICE CLASSIFICATION</v>
      </c>
      <c r="C376" s="50"/>
      <c r="D376" s="110" t="s">
        <v>90</v>
      </c>
      <c r="E376" s="82"/>
      <c r="F376" s="92">
        <f>SUMIFS('2.2-TSC Current Schedule'!E:E,'2.2-TSC Current Schedule'!H:H,'5. 2-W Bill Impacts'!$A376,'2.2-TSC Current Schedule'!G:G,'5. 2-W Bill Impacts'!D376)</f>
        <v>-2.8760694640552322</v>
      </c>
      <c r="G376" s="109">
        <f>IF($E363&gt;0, $E363, $E362)</f>
        <v>2000</v>
      </c>
      <c r="H376" s="78">
        <f>G376*F376</f>
        <v>-5752.1389281104648</v>
      </c>
      <c r="I376" s="93">
        <f>SUMIFS('4.2-TS Tariff Schedule'!E:E,'4.2-TS Tariff Schedule'!H:H,'5. 2-W Bill Impacts'!$E360,'4.2-TS Tariff Schedule'!G:G,'5. 2-W Bill Impacts'!D376)</f>
        <v>-0.60705470029281217</v>
      </c>
      <c r="J376" s="109">
        <f>IF($E363&gt;0, $E363, $E362)</f>
        <v>2000</v>
      </c>
      <c r="K376" s="78">
        <f>J376*I376</f>
        <v>-1214.1094005856244</v>
      </c>
      <c r="L376" s="78">
        <f t="shared" si="54"/>
        <v>4538.0295275248409</v>
      </c>
      <c r="M376" s="77">
        <f>IF(ISERROR(L376/H376), "", L376/H376)</f>
        <v>-0.78892905478128816</v>
      </c>
    </row>
    <row r="377" spans="1:13" x14ac:dyDescent="0.25">
      <c r="A377" s="40" t="str">
        <f>A376</f>
        <v>GENERAL SERVICE 50 TO 999 KW SERVICE CLASSIFICATION</v>
      </c>
      <c r="C377" s="50"/>
      <c r="D377" s="110" t="s">
        <v>92</v>
      </c>
      <c r="E377" s="82"/>
      <c r="F377" s="92">
        <f>SUMIFS('2.2-TSC Current Schedule'!E:E,'2.2-TSC Current Schedule'!H:H,'5. 2-W Bill Impacts'!$A377,'2.2-TSC Current Schedule'!G:G,'5. 2-W Bill Impacts'!D377)</f>
        <v>1.4200000000000001E-2</v>
      </c>
      <c r="G377" s="109">
        <f>E362</f>
        <v>800000</v>
      </c>
      <c r="H377" s="78">
        <f>G377*F377</f>
        <v>11360</v>
      </c>
      <c r="I377" s="93">
        <f>SUMIFS('4.2-TS Tariff Schedule'!E:E,'4.2-TS Tariff Schedule'!H:H,'5. 2-W Bill Impacts'!$E360,'4.2-TS Tariff Schedule'!G:G,'5. 2-W Bill Impacts'!D377)</f>
        <v>3.8237144354832221E-4</v>
      </c>
      <c r="J377" s="109">
        <f>E362</f>
        <v>800000</v>
      </c>
      <c r="K377" s="78">
        <f>J377*I377</f>
        <v>305.89715483865774</v>
      </c>
      <c r="L377" s="78">
        <f t="shared" si="54"/>
        <v>-11054.102845161342</v>
      </c>
      <c r="M377" s="77">
        <f>IF(ISERROR(L377/H377), "", L377/H377)</f>
        <v>-0.97307243355293505</v>
      </c>
    </row>
    <row r="378" spans="1:13" x14ac:dyDescent="0.25">
      <c r="A378" s="40" t="str">
        <f>A377</f>
        <v>GENERAL SERVICE 50 TO 999 KW SERVICE CLASSIFICATION</v>
      </c>
      <c r="C378" s="50"/>
      <c r="D378" s="108" t="s">
        <v>94</v>
      </c>
      <c r="E378" s="82"/>
      <c r="F378" s="92">
        <f>SUMIFS('2.2-TSC Current Schedule'!E:E,'2.2-TSC Current Schedule'!H:H,'5. 2-W Bill Impacts'!$A378,'2.2-TSC Current Schedule'!G:G,'5. 2-W Bill Impacts'!D378)</f>
        <v>1.1222000000000001</v>
      </c>
      <c r="G378" s="109">
        <f>IF($E363&gt;0, $E363, $E362)</f>
        <v>2000</v>
      </c>
      <c r="H378" s="78">
        <f>G378*F378</f>
        <v>2244.4</v>
      </c>
      <c r="I378" s="93">
        <f>SUMIFS('4.2-TS Tariff Schedule'!E:E,'4.2-TS Tariff Schedule'!H:H,'5. 2-W Bill Impacts'!$E360,'4.2-TS Tariff Schedule'!G:G,'5. 2-W Bill Impacts'!D378)</f>
        <v>0.1152</v>
      </c>
      <c r="J378" s="109">
        <f>IF($E363&gt;0, $E363, $E362)</f>
        <v>2000</v>
      </c>
      <c r="K378" s="78">
        <f>J378*I378</f>
        <v>230.4</v>
      </c>
      <c r="L378" s="78">
        <f t="shared" si="54"/>
        <v>-2014</v>
      </c>
      <c r="M378" s="77">
        <f>IF(ISERROR(L378/H378), "", L378/H378)</f>
        <v>-0.8973445018713242</v>
      </c>
    </row>
    <row r="379" spans="1:13" x14ac:dyDescent="0.25">
      <c r="A379" s="40" t="str">
        <f>A378</f>
        <v>GENERAL SERVICE 50 TO 999 KW SERVICE CLASSIFICATION</v>
      </c>
      <c r="C379" s="50"/>
      <c r="D379" s="108" t="s">
        <v>116</v>
      </c>
      <c r="E379" s="82"/>
      <c r="F379" s="92">
        <f>SUMIFS('2.2-TSC Current Schedule'!E:E,'2.2-TSC Current Schedule'!H:H,'5. 2-W Bill Impacts'!$A379,'2.2-TSC Current Schedule'!G:G,'5. 2-W Bill Impacts'!D379)</f>
        <v>0</v>
      </c>
      <c r="G379" s="94">
        <v>1</v>
      </c>
      <c r="H379" s="78">
        <f>G379*F379</f>
        <v>0</v>
      </c>
      <c r="I379" s="93">
        <f>SUMIFS('4.2-TS Tariff Schedule'!E:E,'4.2-TS Tariff Schedule'!H:H,'5. 2-W Bill Impacts'!$E360,'4.2-TS Tariff Schedule'!G:G,'5. 2-W Bill Impacts'!D379)</f>
        <v>0</v>
      </c>
      <c r="J379" s="94">
        <v>1</v>
      </c>
      <c r="K379" s="78">
        <f>J379*I379</f>
        <v>0</v>
      </c>
      <c r="L379" s="78">
        <f t="shared" si="54"/>
        <v>0</v>
      </c>
      <c r="M379" s="77" t="str">
        <f>IF(ISERROR(L379/H379), "", L379/H379)</f>
        <v/>
      </c>
    </row>
    <row r="380" spans="1:13" x14ac:dyDescent="0.25">
      <c r="A380" s="40" t="str">
        <f>A374</f>
        <v>GENERAL SERVICE 1,000 TO 4,999 KW SERVICE CLASSIFICATION</v>
      </c>
      <c r="B380" s="76" t="s">
        <v>203</v>
      </c>
      <c r="C380" s="50">
        <f>B35</f>
        <v>6</v>
      </c>
      <c r="D380" s="103" t="s">
        <v>202</v>
      </c>
      <c r="E380" s="107"/>
      <c r="F380" s="101"/>
      <c r="G380" s="100"/>
      <c r="H380" s="97">
        <f>SUM(H374:H379)</f>
        <v>15808.641071889533</v>
      </c>
      <c r="I380" s="99"/>
      <c r="J380" s="106"/>
      <c r="K380" s="97">
        <f>SUM(K374:K379)</f>
        <v>7872.9144806812346</v>
      </c>
      <c r="L380" s="97">
        <f t="shared" si="54"/>
        <v>-7935.7265912082985</v>
      </c>
      <c r="M380" s="96">
        <f>IF((H380)=0,"",(L380/H380))</f>
        <v>-0.50198663851754954</v>
      </c>
    </row>
    <row r="381" spans="1:13" x14ac:dyDescent="0.25">
      <c r="A381" s="40" t="str">
        <f>A380</f>
        <v>GENERAL SERVICE 1,000 TO 4,999 KW SERVICE CLASSIFICATION</v>
      </c>
      <c r="C381" s="50"/>
      <c r="D381" s="105" t="s">
        <v>88</v>
      </c>
      <c r="E381" s="82"/>
      <c r="F381" s="92">
        <f>SUMIFS('2.2-TSC Current Schedule'!E:E,'2.2-TSC Current Schedule'!H:H,'5. 2-W Bill Impacts'!$A381,'2.2-TSC Current Schedule'!G:G,'5. 2-W Bill Impacts'!D381)</f>
        <v>2.3643999999999998</v>
      </c>
      <c r="G381" s="91">
        <f>IF($E363&gt;0, $E363, $E362*$E364)</f>
        <v>2000</v>
      </c>
      <c r="H381" s="78">
        <f>G381*F381</f>
        <v>4728.7999999999993</v>
      </c>
      <c r="I381" s="93">
        <f>SUMIFS('4.2-TS Tariff Schedule'!E:E,'4.2-TS Tariff Schedule'!H:H,'5. 2-W Bill Impacts'!$E360,'4.2-TS Tariff Schedule'!G:G,'5. 2-W Bill Impacts'!D381)</f>
        <v>2.3986258053521552</v>
      </c>
      <c r="J381" s="91">
        <f>IF($E363&gt;0, $E363, $E362*$E365)</f>
        <v>2000</v>
      </c>
      <c r="K381" s="78">
        <f>J381*I381</f>
        <v>4797.2516107043102</v>
      </c>
      <c r="L381" s="78">
        <f t="shared" si="54"/>
        <v>68.451610704310951</v>
      </c>
      <c r="M381" s="77">
        <f>IF(ISERROR(L381/H381), "", L381/H381)</f>
        <v>1.4475471727353867E-2</v>
      </c>
    </row>
    <row r="382" spans="1:13" x14ac:dyDescent="0.25">
      <c r="A382" s="40" t="str">
        <f>A381</f>
        <v>GENERAL SERVICE 1,000 TO 4,999 KW SERVICE CLASSIFICATION</v>
      </c>
      <c r="C382" s="50"/>
      <c r="D382" s="104" t="s">
        <v>86</v>
      </c>
      <c r="E382" s="82"/>
      <c r="F382" s="92">
        <f>SUMIFS('2.2-TSC Current Schedule'!E:E,'2.2-TSC Current Schedule'!H:H,'5. 2-W Bill Impacts'!$A382,'2.2-TSC Current Schedule'!G:G,'5. 2-W Bill Impacts'!D382)</f>
        <v>1.2948999999999999</v>
      </c>
      <c r="G382" s="91">
        <f>IF($E363&gt;0, $E363, $E362*$E364)</f>
        <v>2000</v>
      </c>
      <c r="H382" s="78">
        <f>G382*F382</f>
        <v>2589.7999999999997</v>
      </c>
      <c r="I382" s="93">
        <f>SUMIFS('4.2-TS Tariff Schedule'!E:E,'4.2-TS Tariff Schedule'!H:H,'5. 2-W Bill Impacts'!$E360,'4.2-TS Tariff Schedule'!G:G,'5. 2-W Bill Impacts'!D382)</f>
        <v>1.8212464856586605</v>
      </c>
      <c r="J382" s="91">
        <f>IF($E363&gt;0, $E363, $E362*$E365)</f>
        <v>2000</v>
      </c>
      <c r="K382" s="78">
        <f>J382*I382</f>
        <v>3642.492971317321</v>
      </c>
      <c r="L382" s="78">
        <f t="shared" si="54"/>
        <v>1052.6929713173213</v>
      </c>
      <c r="M382" s="77">
        <f>IF(ISERROR(L382/H382), "", L382/H382)</f>
        <v>0.40647655082142303</v>
      </c>
    </row>
    <row r="383" spans="1:13" x14ac:dyDescent="0.25">
      <c r="A383" s="40" t="str">
        <f>A380</f>
        <v>GENERAL SERVICE 1,000 TO 4,999 KW SERVICE CLASSIFICATION</v>
      </c>
      <c r="B383" s="76" t="s">
        <v>201</v>
      </c>
      <c r="C383" s="50">
        <f>B35</f>
        <v>6</v>
      </c>
      <c r="D383" s="103" t="s">
        <v>200</v>
      </c>
      <c r="E383" s="102"/>
      <c r="F383" s="101"/>
      <c r="G383" s="100"/>
      <c r="H383" s="97">
        <f>SUM(H380:H382)</f>
        <v>23127.24107188953</v>
      </c>
      <c r="I383" s="99"/>
      <c r="J383" s="98"/>
      <c r="K383" s="97">
        <f>SUM(K380:K382)</f>
        <v>16312.659062702865</v>
      </c>
      <c r="L383" s="97">
        <f t="shared" si="54"/>
        <v>-6814.5820091866644</v>
      </c>
      <c r="M383" s="96">
        <f>IF((H383)=0,"",(L383/H383))</f>
        <v>-0.29465607194580529</v>
      </c>
    </row>
    <row r="384" spans="1:13" x14ac:dyDescent="0.25">
      <c r="A384" s="40" t="str">
        <f>A377</f>
        <v>GENERAL SERVICE 50 TO 999 KW SERVICE CLASSIFICATION</v>
      </c>
      <c r="C384" s="50"/>
      <c r="D384" s="95" t="s">
        <v>83</v>
      </c>
      <c r="E384" s="82"/>
      <c r="F384" s="92">
        <f>SUMIFS('2.2-TSC Current Schedule'!E:E,'2.2-TSC Current Schedule'!H:H,'5. 2-W Bill Impacts'!$A384,'2.2-TSC Current Schedule'!G:G,'5. 2-W Bill Impacts'!D384)</f>
        <v>3.2000000000000002E-3</v>
      </c>
      <c r="G384" s="91">
        <f>E362*E364</f>
        <v>839600.00000000012</v>
      </c>
      <c r="H384" s="78">
        <f>G384*F384</f>
        <v>2686.7200000000007</v>
      </c>
      <c r="I384" s="93">
        <f>SUMIFS('4.2-TS Tariff Schedule'!E:E,'4.2-TS Tariff Schedule'!H:H,'5. 2-W Bill Impacts'!$E360,'4.2-TS Tariff Schedule'!G:G,'5. 2-W Bill Impacts'!D384)</f>
        <v>3.2000000000000002E-3</v>
      </c>
      <c r="J384" s="91">
        <f>E362*E365</f>
        <v>824547.71995522163</v>
      </c>
      <c r="K384" s="78">
        <f>J384*I384</f>
        <v>2638.5527038567093</v>
      </c>
      <c r="L384" s="78">
        <f t="shared" si="54"/>
        <v>-48.167296143291424</v>
      </c>
      <c r="M384" s="77">
        <f>IF(ISERROR(L384/H384), "", L384/H384)</f>
        <v>-1.792791810955046E-2</v>
      </c>
    </row>
    <row r="385" spans="1:13" x14ac:dyDescent="0.25">
      <c r="A385" s="40" t="str">
        <f t="shared" ref="A385:A393" si="55">A384</f>
        <v>GENERAL SERVICE 50 TO 999 KW SERVICE CLASSIFICATION</v>
      </c>
      <c r="C385" s="50"/>
      <c r="D385" s="95" t="s">
        <v>81</v>
      </c>
      <c r="E385" s="82"/>
      <c r="F385" s="92">
        <f>SUMIFS('2.2-TSC Current Schedule'!E:E,'2.2-TSC Current Schedule'!H:H,'5. 2-W Bill Impacts'!$A385,'2.2-TSC Current Schedule'!G:G,'5. 2-W Bill Impacts'!D385)</f>
        <v>4.0000000000000002E-4</v>
      </c>
      <c r="G385" s="91">
        <f>E362*E364</f>
        <v>839600.00000000012</v>
      </c>
      <c r="H385" s="78">
        <f>G385*F385</f>
        <v>335.84000000000009</v>
      </c>
      <c r="I385" s="93">
        <f>SUMIFS('4.2-TS Tariff Schedule'!E:E,'4.2-TS Tariff Schedule'!H:H,'5. 2-W Bill Impacts'!$E360,'4.2-TS Tariff Schedule'!G:G,'5. 2-W Bill Impacts'!D385)</f>
        <v>4.0000000000000002E-4</v>
      </c>
      <c r="J385" s="91">
        <f>E362*E365</f>
        <v>824547.71995522163</v>
      </c>
      <c r="K385" s="78">
        <f>J385*I385</f>
        <v>329.81908798208866</v>
      </c>
      <c r="L385" s="78">
        <f t="shared" si="54"/>
        <v>-6.0209120179114279</v>
      </c>
      <c r="M385" s="77">
        <f>IF(ISERROR(L385/H385), "", L385/H385)</f>
        <v>-1.792791810955046E-2</v>
      </c>
    </row>
    <row r="386" spans="1:13" x14ac:dyDescent="0.25">
      <c r="A386" s="40" t="str">
        <f t="shared" si="55"/>
        <v>GENERAL SERVICE 50 TO 999 KW SERVICE CLASSIFICATION</v>
      </c>
      <c r="C386" s="50"/>
      <c r="D386" s="95" t="s">
        <v>78</v>
      </c>
      <c r="E386" s="82"/>
      <c r="F386" s="92">
        <f>SUMIFS('2.2-TSC Current Schedule'!E:E,'2.2-TSC Current Schedule'!H:H,'5. 2-W Bill Impacts'!$A386,'2.2-TSC Current Schedule'!G:G,'5. 2-W Bill Impacts'!D386)</f>
        <v>2.9999999999999997E-4</v>
      </c>
      <c r="G386" s="91">
        <f>E362*E364</f>
        <v>839600.00000000012</v>
      </c>
      <c r="H386" s="78">
        <f>G386*F386</f>
        <v>251.88000000000002</v>
      </c>
      <c r="I386" s="93">
        <f>SUMIFS('4.2-TS Tariff Schedule'!E:E,'4.2-TS Tariff Schedule'!H:H,'5. 2-W Bill Impacts'!$E360,'4.2-TS Tariff Schedule'!G:G,'5. 2-W Bill Impacts'!D386)</f>
        <v>2.9999999999999997E-4</v>
      </c>
      <c r="J386" s="91">
        <f>E362*E365</f>
        <v>824547.71995522163</v>
      </c>
      <c r="K386" s="78">
        <f>J386*I386</f>
        <v>247.36431598656648</v>
      </c>
      <c r="L386" s="78">
        <f t="shared" si="54"/>
        <v>-4.5156840134335425</v>
      </c>
      <c r="M386" s="77">
        <f>IF(ISERROR(L386/H386), "", L386/H386)</f>
        <v>-1.7927918109550349E-2</v>
      </c>
    </row>
    <row r="387" spans="1:13" x14ac:dyDescent="0.25">
      <c r="A387" s="40" t="str">
        <f t="shared" si="55"/>
        <v>GENERAL SERVICE 50 TO 999 KW SERVICE CLASSIFICATION</v>
      </c>
      <c r="C387" s="50"/>
      <c r="D387" s="63" t="s">
        <v>76</v>
      </c>
      <c r="E387" s="82"/>
      <c r="F387" s="92">
        <f>SUMIFS('2.2-TSC Current Schedule'!E:E,'2.2-TSC Current Schedule'!H:H,'5. 2-W Bill Impacts'!$A387,'2.2-TSC Current Schedule'!G:G,'5. 2-W Bill Impacts'!D387)</f>
        <v>0.25</v>
      </c>
      <c r="G387" s="94">
        <v>1</v>
      </c>
      <c r="H387" s="78">
        <f>G387*F387</f>
        <v>0.25</v>
      </c>
      <c r="I387" s="93">
        <f>SUMIFS('4.2-TS Tariff Schedule'!E:E,'4.2-TS Tariff Schedule'!H:H,'5. 2-W Bill Impacts'!$E360,'4.2-TS Tariff Schedule'!G:G,'5. 2-W Bill Impacts'!D387)</f>
        <v>0.25</v>
      </c>
      <c r="J387" s="78">
        <v>1</v>
      </c>
      <c r="K387" s="78">
        <f>J387*I387</f>
        <v>0.25</v>
      </c>
      <c r="L387" s="78">
        <f t="shared" si="54"/>
        <v>0</v>
      </c>
      <c r="M387" s="77">
        <f>IF(ISERROR(L387/H387), "", L387/H387)</f>
        <v>0</v>
      </c>
    </row>
    <row r="388" spans="1:13" x14ac:dyDescent="0.25">
      <c r="A388" s="40" t="str">
        <f t="shared" si="55"/>
        <v>GENERAL SERVICE 50 TO 999 KW SERVICE CLASSIFICATION</v>
      </c>
      <c r="C388" s="50"/>
      <c r="D388" s="63" t="s">
        <v>132</v>
      </c>
      <c r="E388" s="82"/>
      <c r="F388" s="92">
        <v>7.0000000000000001E-3</v>
      </c>
      <c r="G388" s="91">
        <f>E362</f>
        <v>800000</v>
      </c>
      <c r="H388" s="78">
        <f>G388*F388</f>
        <v>5600</v>
      </c>
      <c r="I388" s="92">
        <v>7.0000000000000001E-3</v>
      </c>
      <c r="J388" s="91">
        <f>E362</f>
        <v>800000</v>
      </c>
      <c r="K388" s="78">
        <f>J388*I388</f>
        <v>5600</v>
      </c>
      <c r="L388" s="78">
        <f t="shared" si="54"/>
        <v>0</v>
      </c>
      <c r="M388" s="77">
        <f>IF(ISERROR(L388/H388), "", L388/H388)</f>
        <v>0</v>
      </c>
    </row>
    <row r="389" spans="1:13" x14ac:dyDescent="0.25">
      <c r="A389" s="40" t="str">
        <f t="shared" si="55"/>
        <v>GENERAL SERVICE 50 TO 999 KW SERVICE CLASSIFICATION</v>
      </c>
      <c r="B389" s="76" t="s">
        <v>197</v>
      </c>
      <c r="C389" s="50"/>
      <c r="D389" s="83" t="s">
        <v>199</v>
      </c>
      <c r="E389" s="82"/>
      <c r="F389" s="90"/>
      <c r="G389" s="89"/>
      <c r="H389" s="86"/>
      <c r="I389" s="88"/>
      <c r="J389" s="87"/>
      <c r="K389" s="86"/>
      <c r="L389" s="85"/>
      <c r="M389" s="84"/>
    </row>
    <row r="390" spans="1:13" x14ac:dyDescent="0.25">
      <c r="A390" s="40" t="str">
        <f t="shared" si="55"/>
        <v>GENERAL SERVICE 50 TO 999 KW SERVICE CLASSIFICATION</v>
      </c>
      <c r="B390" s="76" t="s">
        <v>197</v>
      </c>
      <c r="C390" s="50"/>
      <c r="D390" s="83" t="s">
        <v>198</v>
      </c>
      <c r="E390" s="82"/>
      <c r="F390" s="90"/>
      <c r="G390" s="89"/>
      <c r="H390" s="86"/>
      <c r="I390" s="88"/>
      <c r="J390" s="87"/>
      <c r="K390" s="86"/>
      <c r="L390" s="85"/>
      <c r="M390" s="84"/>
    </row>
    <row r="391" spans="1:13" x14ac:dyDescent="0.25">
      <c r="A391" s="40" t="str">
        <f t="shared" si="55"/>
        <v>GENERAL SERVICE 50 TO 999 KW SERVICE CLASSIFICATION</v>
      </c>
      <c r="B391" s="76" t="s">
        <v>197</v>
      </c>
      <c r="C391" s="50"/>
      <c r="D391" s="76" t="s">
        <v>196</v>
      </c>
      <c r="E391" s="82"/>
      <c r="F391" s="90"/>
      <c r="G391" s="89"/>
      <c r="H391" s="86"/>
      <c r="I391" s="88"/>
      <c r="J391" s="87"/>
      <c r="K391" s="86"/>
      <c r="L391" s="85"/>
      <c r="M391" s="84"/>
    </row>
    <row r="392" spans="1:13" x14ac:dyDescent="0.25">
      <c r="A392" s="40" t="str">
        <f t="shared" si="55"/>
        <v>GENERAL SERVICE 50 TO 999 KW SERVICE CLASSIFICATION</v>
      </c>
      <c r="B392" s="40" t="s">
        <v>195</v>
      </c>
      <c r="C392" s="50"/>
      <c r="D392" s="83" t="s">
        <v>194</v>
      </c>
      <c r="E392" s="82"/>
      <c r="F392" s="81">
        <v>1.8855833333333332E-2</v>
      </c>
      <c r="G392" s="80">
        <f>IF(AND(E362*12&gt;=150000),E362*E364,E362)</f>
        <v>839600.00000000012</v>
      </c>
      <c r="H392" s="79">
        <f>G392*F392</f>
        <v>15831.357666666669</v>
      </c>
      <c r="I392" s="81">
        <v>1.8855833333333332E-2</v>
      </c>
      <c r="J392" s="80">
        <f>IF(AND(E362*12&gt;=150000),E362*E365,E362)</f>
        <v>824547.71995522163</v>
      </c>
      <c r="K392" s="79">
        <f>J392*I392</f>
        <v>15547.534382855665</v>
      </c>
      <c r="L392" s="78">
        <f>K392-H392</f>
        <v>-283.82328381100342</v>
      </c>
      <c r="M392" s="77">
        <f>IF(ISERROR(L392/H392), "", L392/H392)</f>
        <v>-1.7927918109550432E-2</v>
      </c>
    </row>
    <row r="393" spans="1:13" ht="13.8" thickBot="1" x14ac:dyDescent="0.3">
      <c r="A393" s="40" t="str">
        <f t="shared" si="55"/>
        <v>GENERAL SERVICE 50 TO 999 KW SERVICE CLASSIFICATION</v>
      </c>
      <c r="B393" s="40" t="s">
        <v>188</v>
      </c>
      <c r="C393" s="50"/>
      <c r="D393" s="83" t="s">
        <v>193</v>
      </c>
      <c r="E393" s="82"/>
      <c r="F393" s="81">
        <v>0.10303000000000001</v>
      </c>
      <c r="G393" s="80">
        <f>IF(AND(E362*12&gt;=150000),E362*E364,E362)</f>
        <v>839600.00000000012</v>
      </c>
      <c r="H393" s="79">
        <f>G393*F393</f>
        <v>86503.988000000027</v>
      </c>
      <c r="I393" s="81">
        <v>0.10303000000000001</v>
      </c>
      <c r="J393" s="80">
        <f>IF(AND(E362*12&gt;=150000),E362*E365,E362)</f>
        <v>824547.71995522163</v>
      </c>
      <c r="K393" s="79">
        <f>J393*I393</f>
        <v>84953.151586986496</v>
      </c>
      <c r="L393" s="78">
        <f>K393-H393</f>
        <v>-1550.8364130135305</v>
      </c>
      <c r="M393" s="77">
        <f>IF(ISERROR(L393/H393), "", L393/H393)</f>
        <v>-1.7927918109550394E-2</v>
      </c>
    </row>
    <row r="394" spans="1:13" ht="13.8" thickBot="1" x14ac:dyDescent="0.3">
      <c r="A394" s="40" t="str">
        <f>A383</f>
        <v>GENERAL SERVICE 1,000 TO 4,999 KW SERVICE CLASSIFICATION</v>
      </c>
      <c r="B394" s="76"/>
      <c r="C394" s="50"/>
      <c r="D394" s="49"/>
      <c r="E394" s="48"/>
      <c r="F394" s="74"/>
      <c r="G394" s="75"/>
      <c r="H394" s="72"/>
      <c r="I394" s="74"/>
      <c r="J394" s="73"/>
      <c r="K394" s="72"/>
      <c r="L394" s="71"/>
      <c r="M394" s="70"/>
    </row>
    <row r="395" spans="1:13" x14ac:dyDescent="0.25">
      <c r="A395" s="40" t="str">
        <f>A394</f>
        <v>GENERAL SERVICE 1,000 TO 4,999 KW SERVICE CLASSIFICATION</v>
      </c>
      <c r="B395" s="40" t="s">
        <v>188</v>
      </c>
      <c r="C395" s="50"/>
      <c r="D395" s="69" t="s">
        <v>189</v>
      </c>
      <c r="E395" s="63"/>
      <c r="F395" s="61"/>
      <c r="G395" s="62"/>
      <c r="H395" s="67">
        <f>SUM(H383:H394)</f>
        <v>134337.27673855622</v>
      </c>
      <c r="I395" s="68"/>
      <c r="J395" s="68"/>
      <c r="K395" s="67">
        <f>SUM(K383:K394)</f>
        <v>125629.3311403704</v>
      </c>
      <c r="L395" s="66">
        <f>K395-H395</f>
        <v>-8707.9455981858191</v>
      </c>
      <c r="M395" s="65">
        <f>IF((H395)=0,"",(L395/H395))</f>
        <v>-6.482151350390257E-2</v>
      </c>
    </row>
    <row r="396" spans="1:13" x14ac:dyDescent="0.25">
      <c r="A396" s="40" t="str">
        <f>A395</f>
        <v>GENERAL SERVICE 1,000 TO 4,999 KW SERVICE CLASSIFICATION</v>
      </c>
      <c r="B396" s="40" t="s">
        <v>188</v>
      </c>
      <c r="C396" s="50"/>
      <c r="D396" s="64" t="s">
        <v>192</v>
      </c>
      <c r="E396" s="63"/>
      <c r="F396" s="61">
        <v>0.13</v>
      </c>
      <c r="G396" s="62"/>
      <c r="H396" s="59">
        <f>H395*F396</f>
        <v>17463.845976012308</v>
      </c>
      <c r="I396" s="61">
        <v>0.13</v>
      </c>
      <c r="J396" s="60"/>
      <c r="K396" s="59">
        <f>K395*I396</f>
        <v>16331.813048248152</v>
      </c>
      <c r="L396" s="58">
        <f>K396-H396</f>
        <v>-1132.0329277641558</v>
      </c>
      <c r="M396" s="57">
        <f>IF((H396)=0,"",(L396/H396))</f>
        <v>-6.4821513503902542E-2</v>
      </c>
    </row>
    <row r="397" spans="1:13" x14ac:dyDescent="0.25">
      <c r="A397" s="40" t="str">
        <f>A396</f>
        <v>GENERAL SERVICE 1,000 TO 4,999 KW SERVICE CLASSIFICATION</v>
      </c>
      <c r="B397" s="40" t="s">
        <v>188</v>
      </c>
      <c r="C397" s="50"/>
      <c r="D397" s="64" t="s">
        <v>191</v>
      </c>
      <c r="E397" s="63"/>
      <c r="F397" s="61">
        <v>0.08</v>
      </c>
      <c r="G397" s="62"/>
      <c r="H397" s="59">
        <v>0</v>
      </c>
      <c r="I397" s="61">
        <v>0.08</v>
      </c>
      <c r="J397" s="60"/>
      <c r="K397" s="59">
        <v>0</v>
      </c>
      <c r="L397" s="58"/>
      <c r="M397" s="57"/>
    </row>
    <row r="398" spans="1:13" ht="13.8" thickBot="1" x14ac:dyDescent="0.3">
      <c r="A398" s="40" t="str">
        <f>A397</f>
        <v>GENERAL SERVICE 1,000 TO 4,999 KW SERVICE CLASSIFICATION</v>
      </c>
      <c r="B398" s="40" t="s">
        <v>190</v>
      </c>
      <c r="C398" s="50">
        <f>B35</f>
        <v>6</v>
      </c>
      <c r="D398" s="264" t="s">
        <v>189</v>
      </c>
      <c r="E398" s="264"/>
      <c r="F398" s="56"/>
      <c r="G398" s="55"/>
      <c r="H398" s="53">
        <f>H395+H396+H397</f>
        <v>151801.12271456851</v>
      </c>
      <c r="I398" s="54"/>
      <c r="J398" s="54"/>
      <c r="K398" s="53">
        <f>K395+K396+K397</f>
        <v>141961.14418861855</v>
      </c>
      <c r="L398" s="52">
        <f>K398-H398</f>
        <v>-9839.9785259499622</v>
      </c>
      <c r="M398" s="51">
        <f>IF((H398)=0,"",(L398/H398))</f>
        <v>-6.4821513503902486E-2</v>
      </c>
    </row>
    <row r="399" spans="1:13" ht="13.8" thickBot="1" x14ac:dyDescent="0.3">
      <c r="A399" s="40" t="str">
        <f>A398</f>
        <v>GENERAL SERVICE 1,000 TO 4,999 KW SERVICE CLASSIFICATION</v>
      </c>
      <c r="B399" s="40" t="s">
        <v>188</v>
      </c>
      <c r="C399" s="50"/>
      <c r="D399" s="49"/>
      <c r="E399" s="48"/>
      <c r="F399" s="46"/>
      <c r="G399" s="47"/>
      <c r="H399" s="44"/>
      <c r="I399" s="46"/>
      <c r="J399" s="45"/>
      <c r="K399" s="44"/>
      <c r="L399" s="43"/>
      <c r="M399" s="42"/>
    </row>
    <row r="404" spans="1:20" x14ac:dyDescent="0.25">
      <c r="D404" s="128" t="s">
        <v>223</v>
      </c>
      <c r="E404" s="265" t="str">
        <f>D36</f>
        <v>UNMETERED SCATTERED LOAD SERVICE CLASSIFICATION</v>
      </c>
      <c r="F404" s="265"/>
      <c r="G404" s="265"/>
      <c r="H404" s="265"/>
      <c r="I404" s="265"/>
      <c r="J404" s="265"/>
      <c r="K404" s="40" t="str">
        <f>IF(N79="DEMAND - INTERVAL","RTSR - INTERVAL METERED","")</f>
        <v/>
      </c>
      <c r="T404" s="40" t="s">
        <v>222</v>
      </c>
    </row>
    <row r="405" spans="1:20" x14ac:dyDescent="0.25">
      <c r="D405" s="128" t="s">
        <v>221</v>
      </c>
      <c r="E405" s="266" t="str">
        <f>H36</f>
        <v>RPP</v>
      </c>
      <c r="F405" s="266"/>
      <c r="G405" s="266"/>
      <c r="H405" s="135"/>
      <c r="I405" s="135"/>
    </row>
    <row r="406" spans="1:20" ht="15.6" x14ac:dyDescent="0.25">
      <c r="D406" s="128" t="s">
        <v>220</v>
      </c>
      <c r="E406" s="132">
        <f>K36</f>
        <v>100</v>
      </c>
      <c r="F406" s="134" t="s">
        <v>219</v>
      </c>
      <c r="G406" s="76"/>
      <c r="J406" s="133"/>
      <c r="K406" s="133"/>
      <c r="L406" s="133"/>
      <c r="M406" s="133"/>
    </row>
    <row r="407" spans="1:20" ht="15.6" x14ac:dyDescent="0.3">
      <c r="D407" s="128" t="s">
        <v>218</v>
      </c>
      <c r="E407" s="132">
        <f>L36</f>
        <v>0</v>
      </c>
      <c r="F407" s="131" t="s">
        <v>217</v>
      </c>
      <c r="G407" s="130"/>
      <c r="H407" s="129"/>
      <c r="I407" s="129"/>
      <c r="J407" s="129"/>
    </row>
    <row r="408" spans="1:20" x14ac:dyDescent="0.25">
      <c r="D408" s="128" t="s">
        <v>216</v>
      </c>
      <c r="E408" s="127">
        <f>I36</f>
        <v>1.0495000000000001</v>
      </c>
    </row>
    <row r="409" spans="1:20" x14ac:dyDescent="0.25">
      <c r="D409" s="128" t="s">
        <v>215</v>
      </c>
      <c r="E409" s="127">
        <f>J36</f>
        <v>1.030684649944027</v>
      </c>
    </row>
    <row r="410" spans="1:20" x14ac:dyDescent="0.25">
      <c r="D410" s="76"/>
    </row>
    <row r="411" spans="1:20" x14ac:dyDescent="0.25">
      <c r="D411" s="76"/>
      <c r="E411" s="126"/>
      <c r="F411" s="267" t="s">
        <v>214</v>
      </c>
      <c r="G411" s="268"/>
      <c r="H411" s="269"/>
      <c r="I411" s="267" t="s">
        <v>139</v>
      </c>
      <c r="J411" s="268"/>
      <c r="K411" s="269"/>
      <c r="L411" s="267" t="s">
        <v>213</v>
      </c>
      <c r="M411" s="269"/>
    </row>
    <row r="412" spans="1:20" x14ac:dyDescent="0.25">
      <c r="D412" s="76"/>
      <c r="E412" s="270"/>
      <c r="F412" s="125" t="s">
        <v>212</v>
      </c>
      <c r="G412" s="125" t="s">
        <v>211</v>
      </c>
      <c r="H412" s="123" t="s">
        <v>210</v>
      </c>
      <c r="I412" s="125" t="s">
        <v>212</v>
      </c>
      <c r="J412" s="124" t="s">
        <v>211</v>
      </c>
      <c r="K412" s="123" t="s">
        <v>210</v>
      </c>
      <c r="L412" s="272" t="s">
        <v>209</v>
      </c>
      <c r="M412" s="274" t="s">
        <v>208</v>
      </c>
    </row>
    <row r="413" spans="1:20" x14ac:dyDescent="0.25">
      <c r="D413" s="76"/>
      <c r="E413" s="271"/>
      <c r="F413" s="122" t="s">
        <v>207</v>
      </c>
      <c r="G413" s="122"/>
      <c r="H413" s="121" t="s">
        <v>207</v>
      </c>
      <c r="I413" s="122" t="s">
        <v>207</v>
      </c>
      <c r="J413" s="121"/>
      <c r="K413" s="121" t="s">
        <v>207</v>
      </c>
      <c r="L413" s="273"/>
      <c r="M413" s="275"/>
    </row>
    <row r="414" spans="1:20" x14ac:dyDescent="0.25">
      <c r="A414" s="40" t="str">
        <f>$E404</f>
        <v>UNMETERED SCATTERED LOAD SERVICE CLASSIFICATION</v>
      </c>
      <c r="C414" s="50"/>
      <c r="D414" s="120" t="s">
        <v>97</v>
      </c>
      <c r="E414" s="82"/>
      <c r="F414" s="117">
        <f>SUMIFS('2.2-TSC Current Schedule'!E:E,'2.2-TSC Current Schedule'!H:H,'5. 2-W Bill Impacts'!$E404,'2.2-TSC Current Schedule'!G:G,'5. 2-W Bill Impacts'!D414)</f>
        <v>2.04</v>
      </c>
      <c r="G414" s="94">
        <v>1</v>
      </c>
      <c r="H414" s="78">
        <f>G414*F414</f>
        <v>2.04</v>
      </c>
      <c r="I414" s="117">
        <f>SUMIFS('4.2-TS Tariff Schedule'!E:E,'4.2-TS Tariff Schedule'!H:H,'5. 2-W Bill Impacts'!$E404,'4.2-TS Tariff Schedule'!G:G,'5. 2-W Bill Impacts'!D414)</f>
        <v>5.8274999999999997</v>
      </c>
      <c r="J414" s="115">
        <f>G414</f>
        <v>1</v>
      </c>
      <c r="K414" s="78">
        <f>J414*I414</f>
        <v>5.8274999999999997</v>
      </c>
      <c r="L414" s="78">
        <f t="shared" ref="L414:L435" si="56">K414-H414</f>
        <v>3.7874999999999996</v>
      </c>
      <c r="M414" s="77">
        <f>IF(ISERROR(L414/H414), "", L414/H414)</f>
        <v>1.8566176470588234</v>
      </c>
    </row>
    <row r="415" spans="1:20" x14ac:dyDescent="0.25">
      <c r="A415" s="40" t="str">
        <f t="shared" ref="A415:A443" si="57">A414</f>
        <v>UNMETERED SCATTERED LOAD SERVICE CLASSIFICATION</v>
      </c>
      <c r="C415" s="50"/>
      <c r="D415" s="120" t="s">
        <v>96</v>
      </c>
      <c r="E415" s="82"/>
      <c r="F415" s="92">
        <f>SUMIFS('2.2-TSC Current Schedule'!E:E,'2.2-TSC Current Schedule'!H:H,'5. 2-W Bill Impacts'!$E404,'2.2-TSC Current Schedule'!G:G,'5. 2-W Bill Impacts'!D415)</f>
        <v>2.3300000000000001E-2</v>
      </c>
      <c r="G415" s="94">
        <f>IF($E407&gt;0, $E407, $E406)</f>
        <v>100</v>
      </c>
      <c r="H415" s="78">
        <f>G415*F415</f>
        <v>2.33</v>
      </c>
      <c r="I415" s="93">
        <f>SUMIFS('4.2-TS Tariff Schedule'!E:E,'4.2-TS Tariff Schedule'!H:H,'5. 2-W Bill Impacts'!$E404,'4.2-TS Tariff Schedule'!G:G,'5. 2-W Bill Impacts'!D415)</f>
        <v>1.43E-2</v>
      </c>
      <c r="J415" s="115">
        <f>IF($E407&gt;0, $E407, $E406)</f>
        <v>100</v>
      </c>
      <c r="K415" s="78">
        <f>J415*I415</f>
        <v>1.43</v>
      </c>
      <c r="L415" s="78">
        <f t="shared" si="56"/>
        <v>-0.90000000000000013</v>
      </c>
      <c r="M415" s="77">
        <f>IF(ISERROR(L415/H415), "", L415/H415)</f>
        <v>-0.38626609442060089</v>
      </c>
    </row>
    <row r="416" spans="1:20" x14ac:dyDescent="0.25">
      <c r="A416" s="40" t="str">
        <f t="shared" si="57"/>
        <v>UNMETERED SCATTERED LOAD SERVICE CLASSIFICATION</v>
      </c>
      <c r="C416" s="50"/>
      <c r="D416" s="119" t="s">
        <v>118</v>
      </c>
      <c r="E416" s="82"/>
      <c r="F416" s="118">
        <f>SUMIFS('2.2-TSC Current Schedule'!E:E,'2.2-TSC Current Schedule'!H:H,'5. 2-W Bill Impacts'!$E404,'2.2-TSC Current Schedule'!G:G,'5. 2-W Bill Impacts'!D416)</f>
        <v>0</v>
      </c>
      <c r="G416" s="94">
        <v>1</v>
      </c>
      <c r="H416" s="78">
        <f>G416*F416</f>
        <v>0</v>
      </c>
      <c r="I416" s="117">
        <f>SUMIFS('4.2-TS Tariff Schedule'!E:E,'4.2-TS Tariff Schedule'!H:H,'5. 2-W Bill Impacts'!$E404,'4.2-TS Tariff Schedule'!G:G,'5. 2-W Bill Impacts'!D416)</f>
        <v>0</v>
      </c>
      <c r="J416" s="115">
        <f>G416</f>
        <v>1</v>
      </c>
      <c r="K416" s="78">
        <f>J416*I416</f>
        <v>0</v>
      </c>
      <c r="L416" s="78">
        <f t="shared" si="56"/>
        <v>0</v>
      </c>
      <c r="M416" s="77" t="str">
        <f>IF(ISERROR(L416/H416), "", L416/H416)</f>
        <v/>
      </c>
    </row>
    <row r="417" spans="1:13" x14ac:dyDescent="0.25">
      <c r="A417" s="40" t="str">
        <f t="shared" si="57"/>
        <v>UNMETERED SCATTERED LOAD SERVICE CLASSIFICATION</v>
      </c>
      <c r="C417" s="50"/>
      <c r="D417" s="116" t="s">
        <v>152</v>
      </c>
      <c r="E417" s="82"/>
      <c r="F417" s="92">
        <f>SUMIFS('2.2-TSC Current Schedule'!E:E,'2.2-TSC Current Schedule'!H:H,'5. 2-W Bill Impacts'!$E404,'2.2-TSC Current Schedule'!G:G,'5. 2-W Bill Impacts'!D417)</f>
        <v>0</v>
      </c>
      <c r="G417" s="94">
        <f>IF($E407&gt;0, $E407, $E406)</f>
        <v>100</v>
      </c>
      <c r="H417" s="78">
        <f>G417*F417</f>
        <v>0</v>
      </c>
      <c r="I417" s="93">
        <f>SUMIFS('4.2-TS Tariff Schedule'!E:E,'4.2-TS Tariff Schedule'!H:H,'5. 2-W Bill Impacts'!$E404,'4.2-TS Tariff Schedule'!G:G,'5. 2-W Bill Impacts'!D417)</f>
        <v>-6.8168147380887132E-4</v>
      </c>
      <c r="J417" s="115">
        <f>IF($E407&gt;0, $E407, $E406)</f>
        <v>100</v>
      </c>
      <c r="K417" s="78">
        <f>J417*I417</f>
        <v>-6.8168147380887126E-2</v>
      </c>
      <c r="L417" s="78">
        <f t="shared" si="56"/>
        <v>-6.8168147380887126E-2</v>
      </c>
      <c r="M417" s="77" t="str">
        <f>IF(ISERROR(L417/H417), "", L417/H417)</f>
        <v/>
      </c>
    </row>
    <row r="418" spans="1:13" x14ac:dyDescent="0.25">
      <c r="A418" s="40" t="str">
        <f t="shared" si="57"/>
        <v>UNMETERED SCATTERED LOAD SERVICE CLASSIFICATION</v>
      </c>
      <c r="B418" s="114" t="s">
        <v>206</v>
      </c>
      <c r="C418" s="50">
        <f>$B$36</f>
        <v>7</v>
      </c>
      <c r="D418" s="113" t="s">
        <v>205</v>
      </c>
      <c r="E418" s="102"/>
      <c r="F418" s="112"/>
      <c r="G418" s="100"/>
      <c r="H418" s="97">
        <f>SUM(H414:H417)</f>
        <v>4.37</v>
      </c>
      <c r="I418" s="111"/>
      <c r="J418" s="106"/>
      <c r="K418" s="97">
        <f>SUM(K414:K417)</f>
        <v>7.1893318526191123</v>
      </c>
      <c r="L418" s="97">
        <f t="shared" si="56"/>
        <v>2.8193318526191122</v>
      </c>
      <c r="M418" s="96">
        <f>IF((H418)=0,"",(L418/H418))</f>
        <v>0.64515603034762292</v>
      </c>
    </row>
    <row r="419" spans="1:13" x14ac:dyDescent="0.25">
      <c r="A419" s="40" t="str">
        <f t="shared" si="57"/>
        <v>UNMETERED SCATTERED LOAD SERVICE CLASSIFICATION</v>
      </c>
      <c r="C419" s="50"/>
      <c r="D419" s="110" t="s">
        <v>204</v>
      </c>
      <c r="E419" s="82"/>
      <c r="F419" s="93">
        <f>IF((E406*12&gt;=150000), 0, IF(E405="RPP",(F433*0.65+F434*0.17+F435*0.18),IF(E405="Non-RPP (Retailer)",F436,F437)))</f>
        <v>8.2160000000000011E-2</v>
      </c>
      <c r="G419" s="91">
        <f>IF(F419=0, 0, $E406*E408-E406)</f>
        <v>4.9500000000000171</v>
      </c>
      <c r="H419" s="78">
        <f>G419*F419</f>
        <v>0.40669200000000144</v>
      </c>
      <c r="I419" s="93">
        <f>IF((E406*12&gt;=150000), 0, IF(E405="RPP",(I433*0.65+I434*0.17+I435*0.18),IF(E405="Non-RPP (Retailer)",I436,I437)))</f>
        <v>8.2160000000000011E-2</v>
      </c>
      <c r="J419" s="91">
        <f>IF(I419=0, 0, E406*E409-E406)</f>
        <v>3.0684649944027029</v>
      </c>
      <c r="K419" s="78">
        <f>J419*I419</f>
        <v>0.2521050839401261</v>
      </c>
      <c r="L419" s="78">
        <f t="shared" si="56"/>
        <v>-0.15458691605987535</v>
      </c>
      <c r="M419" s="77">
        <f>IF(ISERROR(L419/H419), "", L419/H419)</f>
        <v>-0.38010808193885004</v>
      </c>
    </row>
    <row r="420" spans="1:13" x14ac:dyDescent="0.25">
      <c r="A420" s="40" t="str">
        <f t="shared" si="57"/>
        <v>UNMETERED SCATTERED LOAD SERVICE CLASSIFICATION</v>
      </c>
      <c r="C420" s="50"/>
      <c r="D420" s="110" t="s">
        <v>90</v>
      </c>
      <c r="E420" s="82"/>
      <c r="F420" s="92">
        <f>SUMIFS('2.2-TSC Current Schedule'!E:E,'2.2-TSC Current Schedule'!H:H,'5. 2-W Bill Impacts'!$E404,'2.2-TSC Current Schedule'!G:G,'5. 2-W Bill Impacts'!D420)</f>
        <v>-6.3E-3</v>
      </c>
      <c r="G420" s="109">
        <f>IF($E407&gt;0, $E407, $E406)</f>
        <v>100</v>
      </c>
      <c r="H420" s="78">
        <f>G420*F420</f>
        <v>-0.63</v>
      </c>
      <c r="I420" s="93">
        <f>SUMIFS('4.2-TS Tariff Schedule'!E:E,'4.2-TS Tariff Schedule'!H:H,'5. 2-W Bill Impacts'!$E404,'4.2-TS Tariff Schedule'!G:G,'5. 2-W Bill Impacts'!D420)</f>
        <v>-1.385459106756803E-3</v>
      </c>
      <c r="J420" s="109">
        <f>IF($E407&gt;0, $E407, $E406)</f>
        <v>100</v>
      </c>
      <c r="K420" s="78">
        <f>J420*I420</f>
        <v>-0.13854591067568028</v>
      </c>
      <c r="L420" s="78">
        <f t="shared" si="56"/>
        <v>0.49145408932431972</v>
      </c>
      <c r="M420" s="77">
        <f>IF(ISERROR(L420/H420), "", L420/H420)</f>
        <v>-0.78008585607034875</v>
      </c>
    </row>
    <row r="421" spans="1:13" x14ac:dyDescent="0.25">
      <c r="A421" s="40" t="str">
        <f t="shared" si="57"/>
        <v>UNMETERED SCATTERED LOAD SERVICE CLASSIFICATION</v>
      </c>
      <c r="C421" s="50"/>
      <c r="D421" s="110" t="s">
        <v>92</v>
      </c>
      <c r="E421" s="82"/>
      <c r="F421" s="92">
        <f>SUMIFS('2.2-TSC Current Schedule'!E:E,'2.2-TSC Current Schedule'!H:H,'5. 2-W Bill Impacts'!$E404,'2.2-TSC Current Schedule'!G:G,'5. 2-W Bill Impacts'!D421)</f>
        <v>1.4200000000000001E-2</v>
      </c>
      <c r="G421" s="109">
        <f>E406</f>
        <v>100</v>
      </c>
      <c r="H421" s="78">
        <f>G421*F421</f>
        <v>1.4200000000000002</v>
      </c>
      <c r="I421" s="93">
        <f>SUMIFS('4.2-TS Tariff Schedule'!E:E,'4.2-TS Tariff Schedule'!H:H,'5. 2-W Bill Impacts'!$E404,'4.2-TS Tariff Schedule'!G:G,'5. 2-W Bill Impacts'!D421)</f>
        <v>3.8237144354832215E-4</v>
      </c>
      <c r="J421" s="109">
        <f>E406</f>
        <v>100</v>
      </c>
      <c r="K421" s="78">
        <f>J421*I421</f>
        <v>3.8237144354832213E-2</v>
      </c>
      <c r="L421" s="78">
        <f t="shared" si="56"/>
        <v>-1.381762855645168</v>
      </c>
      <c r="M421" s="77">
        <f>IF(ISERROR(L421/H421), "", L421/H421)</f>
        <v>-0.97307243355293505</v>
      </c>
    </row>
    <row r="422" spans="1:13" x14ac:dyDescent="0.25">
      <c r="A422" s="40" t="str">
        <f t="shared" si="57"/>
        <v>UNMETERED SCATTERED LOAD SERVICE CLASSIFICATION</v>
      </c>
      <c r="C422" s="50"/>
      <c r="D422" s="108" t="s">
        <v>94</v>
      </c>
      <c r="E422" s="82"/>
      <c r="F422" s="92">
        <f>SUMIFS('2.2-TSC Current Schedule'!E:E,'2.2-TSC Current Schedule'!H:H,'5. 2-W Bill Impacts'!$E404,'2.2-TSC Current Schedule'!G:G,'5. 2-W Bill Impacts'!D422)</f>
        <v>2.3999999999999998E-3</v>
      </c>
      <c r="G422" s="109">
        <f>IF($E407&gt;0, $E407, $E406)</f>
        <v>100</v>
      </c>
      <c r="H422" s="78">
        <f>G422*F422</f>
        <v>0.24</v>
      </c>
      <c r="I422" s="93">
        <f>SUMIFS('4.2-TS Tariff Schedule'!E:E,'4.2-TS Tariff Schedule'!H:H,'5. 2-W Bill Impacts'!$E404,'4.2-TS Tariff Schedule'!G:G,'5. 2-W Bill Impacts'!D422)</f>
        <v>2.0000000000000001E-4</v>
      </c>
      <c r="J422" s="109">
        <f>IF($E407&gt;0, $E407, $E406)</f>
        <v>100</v>
      </c>
      <c r="K422" s="78">
        <f>J422*I422</f>
        <v>0.02</v>
      </c>
      <c r="L422" s="78">
        <f t="shared" si="56"/>
        <v>-0.22</v>
      </c>
      <c r="M422" s="77">
        <f>IF(ISERROR(L422/H422), "", L422/H422)</f>
        <v>-0.91666666666666674</v>
      </c>
    </row>
    <row r="423" spans="1:13" x14ac:dyDescent="0.25">
      <c r="A423" s="40" t="str">
        <f t="shared" si="57"/>
        <v>UNMETERED SCATTERED LOAD SERVICE CLASSIFICATION</v>
      </c>
      <c r="C423" s="50"/>
      <c r="D423" s="108" t="s">
        <v>116</v>
      </c>
      <c r="E423" s="82"/>
      <c r="F423" s="92">
        <f>SUMIFS('2.2-TSC Current Schedule'!E:E,'2.2-TSC Current Schedule'!H:H,'5. 2-W Bill Impacts'!$E404,'2.2-TSC Current Schedule'!G:G,'5. 2-W Bill Impacts'!D423)</f>
        <v>0</v>
      </c>
      <c r="G423" s="94">
        <v>1</v>
      </c>
      <c r="H423" s="78">
        <f>G423*F423</f>
        <v>0</v>
      </c>
      <c r="I423" s="93">
        <f>SUMIFS('4.2-TS Tariff Schedule'!E:E,'4.2-TS Tariff Schedule'!H:H,'5. 2-W Bill Impacts'!$E404,'4.2-TS Tariff Schedule'!G:G,'5. 2-W Bill Impacts'!D423)</f>
        <v>0</v>
      </c>
      <c r="J423" s="94">
        <v>1</v>
      </c>
      <c r="K423" s="78">
        <f>J423*I423</f>
        <v>0</v>
      </c>
      <c r="L423" s="78">
        <f t="shared" si="56"/>
        <v>0</v>
      </c>
      <c r="M423" s="77" t="str">
        <f>IF(ISERROR(L423/H423), "", L423/H423)</f>
        <v/>
      </c>
    </row>
    <row r="424" spans="1:13" x14ac:dyDescent="0.25">
      <c r="A424" s="40" t="str">
        <f t="shared" si="57"/>
        <v>UNMETERED SCATTERED LOAD SERVICE CLASSIFICATION</v>
      </c>
      <c r="B424" s="76" t="s">
        <v>203</v>
      </c>
      <c r="C424" s="50">
        <f>$B$36</f>
        <v>7</v>
      </c>
      <c r="D424" s="103" t="s">
        <v>202</v>
      </c>
      <c r="E424" s="107"/>
      <c r="F424" s="101"/>
      <c r="G424" s="100"/>
      <c r="H424" s="97">
        <f>SUM(H418:H423)-H421</f>
        <v>4.3866920000000018</v>
      </c>
      <c r="I424" s="99"/>
      <c r="J424" s="106"/>
      <c r="K424" s="97">
        <f>SUM(K418:K423)-K421</f>
        <v>7.3228910258835578</v>
      </c>
      <c r="L424" s="97">
        <f t="shared" si="56"/>
        <v>2.936199025883556</v>
      </c>
      <c r="M424" s="96">
        <f>IF((H424)=0,"",(L424/H424))</f>
        <v>0.66934241699293107</v>
      </c>
    </row>
    <row r="425" spans="1:13" x14ac:dyDescent="0.25">
      <c r="A425" s="40" t="str">
        <f t="shared" si="57"/>
        <v>UNMETERED SCATTERED LOAD SERVICE CLASSIFICATION</v>
      </c>
      <c r="C425" s="50"/>
      <c r="D425" s="105" t="s">
        <v>88</v>
      </c>
      <c r="E425" s="82"/>
      <c r="F425" s="92">
        <f>SUMIFS('2.2-TSC Current Schedule'!E:E,'2.2-TSC Current Schedule'!H:H,'5. 2-W Bill Impacts'!$E404,'2.2-TSC Current Schedule'!G:G,'5. 2-W Bill Impacts'!D425)</f>
        <v>5.5999999999999999E-3</v>
      </c>
      <c r="G425" s="91">
        <f>IF($E407&gt;0, $E407, $E406*$E408)</f>
        <v>104.95000000000002</v>
      </c>
      <c r="H425" s="78">
        <f>G425*F425</f>
        <v>0.58772000000000013</v>
      </c>
      <c r="I425" s="93">
        <f>SUMIFS('4.2-TS Tariff Schedule'!E:E,'4.2-TS Tariff Schedule'!H:H,'5. 2-W Bill Impacts'!$E404,'4.2-TS Tariff Schedule'!G:G,'5. 2-W Bill Impacts'!D425)</f>
        <v>5.037675350701403E-3</v>
      </c>
      <c r="J425" s="91">
        <f>IF($E407&gt;0, $E407, $E406*$E409)</f>
        <v>103.0684649944027</v>
      </c>
      <c r="K425" s="78">
        <f>J425*I425</f>
        <v>0.51922546553693294</v>
      </c>
      <c r="L425" s="78">
        <f t="shared" si="56"/>
        <v>-6.8494534463067192E-2</v>
      </c>
      <c r="M425" s="77">
        <f>IF(ISERROR(L425/H425), "", L425/H425)</f>
        <v>-0.11654280008008436</v>
      </c>
    </row>
    <row r="426" spans="1:13" x14ac:dyDescent="0.25">
      <c r="A426" s="40" t="str">
        <f t="shared" si="57"/>
        <v>UNMETERED SCATTERED LOAD SERVICE CLASSIFICATION</v>
      </c>
      <c r="C426" s="50"/>
      <c r="D426" s="104" t="s">
        <v>86</v>
      </c>
      <c r="E426" s="82"/>
      <c r="F426" s="92">
        <f>SUMIFS('2.2-TSC Current Schedule'!E:E,'2.2-TSC Current Schedule'!H:H,'5. 2-W Bill Impacts'!$E404,'2.2-TSC Current Schedule'!G:G,'5. 2-W Bill Impacts'!D426)</f>
        <v>2.8E-3</v>
      </c>
      <c r="G426" s="91">
        <f>IF($E407&gt;0, $E407, $E406*$E408)</f>
        <v>104.95000000000002</v>
      </c>
      <c r="H426" s="78">
        <f>G426*F426</f>
        <v>0.29386000000000007</v>
      </c>
      <c r="I426" s="93">
        <f>SUMIFS('4.2-TS Tariff Schedule'!E:E,'4.2-TS Tariff Schedule'!H:H,'5. 2-W Bill Impacts'!$E404,'4.2-TS Tariff Schedule'!G:G,'5. 2-W Bill Impacts'!D426)</f>
        <v>3.9058116232464934E-3</v>
      </c>
      <c r="J426" s="91">
        <f>IF($E407&gt;0, $E407, $E406*$E409)</f>
        <v>103.0684649944027</v>
      </c>
      <c r="K426" s="78">
        <f>J426*I426</f>
        <v>0.40256600856531238</v>
      </c>
      <c r="L426" s="78">
        <f t="shared" si="56"/>
        <v>0.10870600856531232</v>
      </c>
      <c r="M426" s="77">
        <f>IF(ISERROR(L426/H426), "", L426/H426)</f>
        <v>0.36992448296914276</v>
      </c>
    </row>
    <row r="427" spans="1:13" x14ac:dyDescent="0.25">
      <c r="A427" s="40" t="str">
        <f t="shared" si="57"/>
        <v>UNMETERED SCATTERED LOAD SERVICE CLASSIFICATION</v>
      </c>
      <c r="B427" s="76" t="s">
        <v>201</v>
      </c>
      <c r="C427" s="50">
        <f>$B$36</f>
        <v>7</v>
      </c>
      <c r="D427" s="103" t="s">
        <v>200</v>
      </c>
      <c r="E427" s="102"/>
      <c r="F427" s="101"/>
      <c r="G427" s="100"/>
      <c r="H427" s="97">
        <f>SUM(H424:H426)</f>
        <v>5.2682720000000023</v>
      </c>
      <c r="I427" s="99"/>
      <c r="J427" s="98"/>
      <c r="K427" s="97">
        <f>SUM(K424:K426)</f>
        <v>8.244682499985803</v>
      </c>
      <c r="L427" s="97">
        <f t="shared" si="56"/>
        <v>2.9764104999858008</v>
      </c>
      <c r="M427" s="96">
        <f>IF((H427)=0,"",(L427/H427))</f>
        <v>0.56496902589422104</v>
      </c>
    </row>
    <row r="428" spans="1:13" x14ac:dyDescent="0.25">
      <c r="A428" s="40" t="str">
        <f t="shared" si="57"/>
        <v>UNMETERED SCATTERED LOAD SERVICE CLASSIFICATION</v>
      </c>
      <c r="C428" s="50"/>
      <c r="D428" s="95" t="s">
        <v>83</v>
      </c>
      <c r="E428" s="82"/>
      <c r="F428" s="92">
        <f>SUMIFS('2.2-TSC Current Schedule'!E:E,'2.2-TSC Current Schedule'!H:H,'5. 2-W Bill Impacts'!$E404,'2.2-TSC Current Schedule'!G:G,'5. 2-W Bill Impacts'!D428)</f>
        <v>3.2000000000000002E-3</v>
      </c>
      <c r="G428" s="91">
        <f>E406*E408</f>
        <v>104.95000000000002</v>
      </c>
      <c r="H428" s="78">
        <f t="shared" ref="H428:H435" si="58">G428*F428</f>
        <v>0.33584000000000008</v>
      </c>
      <c r="I428" s="93">
        <f>SUMIFS('4.2-TS Tariff Schedule'!E:E,'4.2-TS Tariff Schedule'!H:H,'5. 2-W Bill Impacts'!$E404,'4.2-TS Tariff Schedule'!G:G,'5. 2-W Bill Impacts'!D428)</f>
        <v>3.2000000000000002E-3</v>
      </c>
      <c r="J428" s="91">
        <f>E406*E409</f>
        <v>103.0684649944027</v>
      </c>
      <c r="K428" s="78">
        <f t="shared" ref="K428:K435" si="59">J428*I428</f>
        <v>0.32981908798208864</v>
      </c>
      <c r="L428" s="78">
        <f t="shared" si="56"/>
        <v>-6.0209120179114395E-3</v>
      </c>
      <c r="M428" s="77">
        <f t="shared" ref="M428:M435" si="60">IF(ISERROR(L428/H428), "", L428/H428)</f>
        <v>-1.7927918109550495E-2</v>
      </c>
    </row>
    <row r="429" spans="1:13" x14ac:dyDescent="0.25">
      <c r="A429" s="40" t="str">
        <f t="shared" si="57"/>
        <v>UNMETERED SCATTERED LOAD SERVICE CLASSIFICATION</v>
      </c>
      <c r="C429" s="50"/>
      <c r="D429" s="95" t="s">
        <v>81</v>
      </c>
      <c r="E429" s="82"/>
      <c r="F429" s="92">
        <f>SUMIFS('2.2-TSC Current Schedule'!E:E,'2.2-TSC Current Schedule'!H:H,'5. 2-W Bill Impacts'!$E404,'2.2-TSC Current Schedule'!G:G,'5. 2-W Bill Impacts'!D429)</f>
        <v>4.0000000000000002E-4</v>
      </c>
      <c r="G429" s="91">
        <f>E406*E408</f>
        <v>104.95000000000002</v>
      </c>
      <c r="H429" s="78">
        <f t="shared" si="58"/>
        <v>4.198000000000001E-2</v>
      </c>
      <c r="I429" s="93">
        <f>SUMIFS('4.2-TS Tariff Schedule'!E:E,'4.2-TS Tariff Schedule'!H:H,'5. 2-W Bill Impacts'!$E404,'4.2-TS Tariff Schedule'!G:G,'5. 2-W Bill Impacts'!D429)</f>
        <v>4.0000000000000002E-4</v>
      </c>
      <c r="J429" s="91">
        <f>E406*E409</f>
        <v>103.0684649944027</v>
      </c>
      <c r="K429" s="78">
        <f t="shared" si="59"/>
        <v>4.122738599776108E-2</v>
      </c>
      <c r="L429" s="78">
        <f t="shared" si="56"/>
        <v>-7.5261400223892994E-4</v>
      </c>
      <c r="M429" s="77">
        <f t="shared" si="60"/>
        <v>-1.7927918109550495E-2</v>
      </c>
    </row>
    <row r="430" spans="1:13" x14ac:dyDescent="0.25">
      <c r="A430" s="40" t="str">
        <f t="shared" si="57"/>
        <v>UNMETERED SCATTERED LOAD SERVICE CLASSIFICATION</v>
      </c>
      <c r="C430" s="50"/>
      <c r="D430" s="95" t="s">
        <v>78</v>
      </c>
      <c r="E430" s="82"/>
      <c r="F430" s="92">
        <f>SUMIFS('2.2-TSC Current Schedule'!E:E,'2.2-TSC Current Schedule'!H:H,'5. 2-W Bill Impacts'!$E404,'2.2-TSC Current Schedule'!G:G,'5. 2-W Bill Impacts'!D430)</f>
        <v>2.9999999999999997E-4</v>
      </c>
      <c r="G430" s="91">
        <f>E406*E408</f>
        <v>104.95000000000002</v>
      </c>
      <c r="H430" s="78">
        <f t="shared" si="58"/>
        <v>3.1484999999999999E-2</v>
      </c>
      <c r="I430" s="93">
        <f>SUMIFS('4.2-TS Tariff Schedule'!E:E,'4.2-TS Tariff Schedule'!H:H,'5. 2-W Bill Impacts'!$E404,'4.2-TS Tariff Schedule'!G:G,'5. 2-W Bill Impacts'!D430)</f>
        <v>2.9999999999999997E-4</v>
      </c>
      <c r="J430" s="91">
        <f>E406*E409</f>
        <v>103.0684649944027</v>
      </c>
      <c r="K430" s="78">
        <f t="shared" si="59"/>
        <v>3.0920539498320809E-2</v>
      </c>
      <c r="L430" s="78">
        <f t="shared" si="56"/>
        <v>-5.6446050167919051E-4</v>
      </c>
      <c r="M430" s="77">
        <f t="shared" si="60"/>
        <v>-1.792791810955028E-2</v>
      </c>
    </row>
    <row r="431" spans="1:13" x14ac:dyDescent="0.25">
      <c r="A431" s="40" t="str">
        <f t="shared" si="57"/>
        <v>UNMETERED SCATTERED LOAD SERVICE CLASSIFICATION</v>
      </c>
      <c r="C431" s="50"/>
      <c r="D431" s="63" t="s">
        <v>76</v>
      </c>
      <c r="E431" s="82"/>
      <c r="F431" s="92">
        <f>SUMIFS('2.2-TSC Current Schedule'!E:E,'2.2-TSC Current Schedule'!H:H,'5. 2-W Bill Impacts'!$E404,'2.2-TSC Current Schedule'!G:G,'5. 2-W Bill Impacts'!D431)</f>
        <v>0.25</v>
      </c>
      <c r="G431" s="94">
        <v>1</v>
      </c>
      <c r="H431" s="78">
        <f t="shared" si="58"/>
        <v>0.25</v>
      </c>
      <c r="I431" s="93">
        <f>SUMIFS('4.2-TS Tariff Schedule'!E:E,'4.2-TS Tariff Schedule'!H:H,'5. 2-W Bill Impacts'!$E404,'4.2-TS Tariff Schedule'!G:G,'5. 2-W Bill Impacts'!D431)</f>
        <v>0.25</v>
      </c>
      <c r="J431" s="78">
        <v>1</v>
      </c>
      <c r="K431" s="78">
        <f t="shared" si="59"/>
        <v>0.25</v>
      </c>
      <c r="L431" s="78">
        <f t="shared" si="56"/>
        <v>0</v>
      </c>
      <c r="M431" s="77">
        <f t="shared" si="60"/>
        <v>0</v>
      </c>
    </row>
    <row r="432" spans="1:13" x14ac:dyDescent="0.25">
      <c r="A432" s="40" t="str">
        <f t="shared" si="57"/>
        <v>UNMETERED SCATTERED LOAD SERVICE CLASSIFICATION</v>
      </c>
      <c r="C432" s="50"/>
      <c r="D432" s="63" t="s">
        <v>132</v>
      </c>
      <c r="E432" s="82"/>
      <c r="F432" s="92">
        <v>7.0000000000000001E-3</v>
      </c>
      <c r="G432" s="91">
        <f>E406</f>
        <v>100</v>
      </c>
      <c r="H432" s="78">
        <f t="shared" si="58"/>
        <v>0.70000000000000007</v>
      </c>
      <c r="I432" s="92">
        <v>7.0000000000000001E-3</v>
      </c>
      <c r="J432" s="91">
        <f>E406</f>
        <v>100</v>
      </c>
      <c r="K432" s="78">
        <f t="shared" si="59"/>
        <v>0.70000000000000007</v>
      </c>
      <c r="L432" s="78">
        <f t="shared" si="56"/>
        <v>0</v>
      </c>
      <c r="M432" s="77">
        <f t="shared" si="60"/>
        <v>0</v>
      </c>
    </row>
    <row r="433" spans="1:20" x14ac:dyDescent="0.25">
      <c r="A433" s="40" t="str">
        <f t="shared" si="57"/>
        <v>UNMETERED SCATTERED LOAD SERVICE CLASSIFICATION</v>
      </c>
      <c r="B433" s="76" t="s">
        <v>197</v>
      </c>
      <c r="C433" s="50"/>
      <c r="D433" s="83" t="s">
        <v>199</v>
      </c>
      <c r="E433" s="82"/>
      <c r="F433" s="138">
        <v>6.5000000000000002E-2</v>
      </c>
      <c r="G433" s="136">
        <f>IF($E$405="RPP",0.65*$E$406,0)</f>
        <v>65</v>
      </c>
      <c r="H433" s="79">
        <f t="shared" si="58"/>
        <v>4.2250000000000005</v>
      </c>
      <c r="I433" s="137">
        <v>6.5000000000000002E-2</v>
      </c>
      <c r="J433" s="136">
        <f>IF($E$405="RPP",0.65*$E$406,0)</f>
        <v>65</v>
      </c>
      <c r="K433" s="79">
        <f t="shared" si="59"/>
        <v>4.2250000000000005</v>
      </c>
      <c r="L433" s="78">
        <f t="shared" si="56"/>
        <v>0</v>
      </c>
      <c r="M433" s="77">
        <f t="shared" si="60"/>
        <v>0</v>
      </c>
    </row>
    <row r="434" spans="1:20" x14ac:dyDescent="0.25">
      <c r="A434" s="40" t="str">
        <f t="shared" si="57"/>
        <v>UNMETERED SCATTERED LOAD SERVICE CLASSIFICATION</v>
      </c>
      <c r="B434" s="76" t="s">
        <v>197</v>
      </c>
      <c r="C434" s="50"/>
      <c r="D434" s="83" t="s">
        <v>198</v>
      </c>
      <c r="E434" s="82"/>
      <c r="F434" s="138">
        <v>9.5000000000000001E-2</v>
      </c>
      <c r="G434" s="136">
        <f>IF($E$405="RPP",0.17*$E$406,0)</f>
        <v>17</v>
      </c>
      <c r="H434" s="79">
        <f t="shared" si="58"/>
        <v>1.615</v>
      </c>
      <c r="I434" s="137">
        <v>9.5000000000000001E-2</v>
      </c>
      <c r="J434" s="136">
        <f>IF($E$405="RPP",0.17*$E$406,0)</f>
        <v>17</v>
      </c>
      <c r="K434" s="79">
        <f t="shared" si="59"/>
        <v>1.615</v>
      </c>
      <c r="L434" s="78">
        <f t="shared" si="56"/>
        <v>0</v>
      </c>
      <c r="M434" s="77">
        <f t="shared" si="60"/>
        <v>0</v>
      </c>
    </row>
    <row r="435" spans="1:20" x14ac:dyDescent="0.25">
      <c r="A435" s="40" t="str">
        <f t="shared" si="57"/>
        <v>UNMETERED SCATTERED LOAD SERVICE CLASSIFICATION</v>
      </c>
      <c r="B435" s="76" t="s">
        <v>197</v>
      </c>
      <c r="C435" s="50"/>
      <c r="D435" s="76" t="s">
        <v>196</v>
      </c>
      <c r="E435" s="82"/>
      <c r="F435" s="138">
        <v>0.13200000000000001</v>
      </c>
      <c r="G435" s="136">
        <f>IF($E$405="RPP",0.18*$E$406,0)</f>
        <v>18</v>
      </c>
      <c r="H435" s="79">
        <f t="shared" si="58"/>
        <v>2.3760000000000003</v>
      </c>
      <c r="I435" s="137">
        <v>0.13200000000000001</v>
      </c>
      <c r="J435" s="136">
        <f>IF($E$405="RPP",0.18*$E$406,0)</f>
        <v>18</v>
      </c>
      <c r="K435" s="79">
        <f t="shared" si="59"/>
        <v>2.3760000000000003</v>
      </c>
      <c r="L435" s="78">
        <f t="shared" si="56"/>
        <v>0</v>
      </c>
      <c r="M435" s="77">
        <f t="shared" si="60"/>
        <v>0</v>
      </c>
    </row>
    <row r="436" spans="1:20" x14ac:dyDescent="0.25">
      <c r="A436" s="40" t="str">
        <f t="shared" si="57"/>
        <v>UNMETERED SCATTERED LOAD SERVICE CLASSIFICATION</v>
      </c>
      <c r="B436" s="40" t="s">
        <v>195</v>
      </c>
      <c r="C436" s="50"/>
      <c r="D436" s="83" t="s">
        <v>194</v>
      </c>
      <c r="E436" s="82"/>
      <c r="F436" s="81"/>
      <c r="G436" s="80"/>
      <c r="H436" s="79"/>
      <c r="I436" s="81"/>
      <c r="J436" s="80"/>
      <c r="K436" s="79"/>
      <c r="L436" s="78"/>
      <c r="M436" s="77"/>
    </row>
    <row r="437" spans="1:20" ht="13.8" thickBot="1" x14ac:dyDescent="0.3">
      <c r="A437" s="40" t="str">
        <f t="shared" si="57"/>
        <v>UNMETERED SCATTERED LOAD SERVICE CLASSIFICATION</v>
      </c>
      <c r="B437" s="40" t="s">
        <v>188</v>
      </c>
      <c r="C437" s="50"/>
      <c r="D437" s="83" t="s">
        <v>193</v>
      </c>
      <c r="E437" s="82"/>
      <c r="F437" s="81"/>
      <c r="G437" s="80"/>
      <c r="H437" s="79"/>
      <c r="I437" s="81"/>
      <c r="J437" s="80"/>
      <c r="K437" s="79"/>
      <c r="L437" s="78"/>
      <c r="M437" s="77"/>
    </row>
    <row r="438" spans="1:20" ht="13.8" thickBot="1" x14ac:dyDescent="0.3">
      <c r="A438" s="40" t="str">
        <f t="shared" si="57"/>
        <v>UNMETERED SCATTERED LOAD SERVICE CLASSIFICATION</v>
      </c>
      <c r="B438" s="76"/>
      <c r="C438" s="50"/>
      <c r="D438" s="49"/>
      <c r="E438" s="48"/>
      <c r="F438" s="74"/>
      <c r="G438" s="75"/>
      <c r="H438" s="72"/>
      <c r="I438" s="74"/>
      <c r="J438" s="73"/>
      <c r="K438" s="72"/>
      <c r="L438" s="71"/>
      <c r="M438" s="70"/>
    </row>
    <row r="439" spans="1:20" x14ac:dyDescent="0.25">
      <c r="A439" s="40" t="str">
        <f t="shared" si="57"/>
        <v>UNMETERED SCATTERED LOAD SERVICE CLASSIFICATION</v>
      </c>
      <c r="B439" s="40" t="s">
        <v>188</v>
      </c>
      <c r="C439" s="50"/>
      <c r="D439" s="69" t="s">
        <v>225</v>
      </c>
      <c r="E439" s="63"/>
      <c r="F439" s="61"/>
      <c r="G439" s="62"/>
      <c r="H439" s="67">
        <f>SUM(H427:H438)</f>
        <v>14.843577000000003</v>
      </c>
      <c r="I439" s="68"/>
      <c r="J439" s="68"/>
      <c r="K439" s="67">
        <f>SUM(K427:K438)</f>
        <v>17.812649513463974</v>
      </c>
      <c r="L439" s="66">
        <f>K439-H439</f>
        <v>2.9690725134639706</v>
      </c>
      <c r="M439" s="65">
        <f>IF((H439)=0,"",(L439/H439))</f>
        <v>0.2000240584505992</v>
      </c>
    </row>
    <row r="440" spans="1:20" x14ac:dyDescent="0.25">
      <c r="A440" s="40" t="str">
        <f t="shared" si="57"/>
        <v>UNMETERED SCATTERED LOAD SERVICE CLASSIFICATION</v>
      </c>
      <c r="B440" s="40" t="s">
        <v>188</v>
      </c>
      <c r="C440" s="50"/>
      <c r="D440" s="64" t="s">
        <v>192</v>
      </c>
      <c r="E440" s="63"/>
      <c r="F440" s="61">
        <v>0.13</v>
      </c>
      <c r="G440" s="62"/>
      <c r="H440" s="59">
        <f>H439*F440</f>
        <v>1.9296650100000006</v>
      </c>
      <c r="I440" s="61">
        <v>0.13</v>
      </c>
      <c r="J440" s="60"/>
      <c r="K440" s="59">
        <f>K439*I440</f>
        <v>2.3156444367503166</v>
      </c>
      <c r="L440" s="58">
        <f>K440-H440</f>
        <v>0.38597942675031605</v>
      </c>
      <c r="M440" s="57">
        <f>IF((H440)=0,"",(L440/H440))</f>
        <v>0.20002405845059912</v>
      </c>
    </row>
    <row r="441" spans="1:20" x14ac:dyDescent="0.25">
      <c r="A441" s="40" t="str">
        <f t="shared" si="57"/>
        <v>UNMETERED SCATTERED LOAD SERVICE CLASSIFICATION</v>
      </c>
      <c r="B441" s="40" t="s">
        <v>188</v>
      </c>
      <c r="C441" s="50"/>
      <c r="D441" s="64" t="s">
        <v>191</v>
      </c>
      <c r="E441" s="63"/>
      <c r="F441" s="61">
        <v>0.08</v>
      </c>
      <c r="G441" s="62"/>
      <c r="H441" s="59">
        <v>0</v>
      </c>
      <c r="I441" s="61">
        <v>0.08</v>
      </c>
      <c r="J441" s="60"/>
      <c r="K441" s="59">
        <v>0</v>
      </c>
      <c r="L441" s="58"/>
      <c r="M441" s="57"/>
    </row>
    <row r="442" spans="1:20" ht="13.8" thickBot="1" x14ac:dyDescent="0.3">
      <c r="A442" s="40" t="str">
        <f t="shared" si="57"/>
        <v>UNMETERED SCATTERED LOAD SERVICE CLASSIFICATION</v>
      </c>
      <c r="B442" s="40" t="s">
        <v>190</v>
      </c>
      <c r="C442" s="50">
        <f>$B$36</f>
        <v>7</v>
      </c>
      <c r="D442" s="264" t="s">
        <v>224</v>
      </c>
      <c r="E442" s="264"/>
      <c r="F442" s="56"/>
      <c r="G442" s="55"/>
      <c r="H442" s="53">
        <f>H439+H440+H441</f>
        <v>16.773242010000004</v>
      </c>
      <c r="I442" s="54"/>
      <c r="J442" s="54"/>
      <c r="K442" s="53">
        <f>K439+K440+K441</f>
        <v>20.128293950214292</v>
      </c>
      <c r="L442" s="52">
        <f>K442-H442</f>
        <v>3.3550519402142882</v>
      </c>
      <c r="M442" s="51">
        <f>IF((H442)=0,"",(L442/H442))</f>
        <v>0.20002405845059928</v>
      </c>
    </row>
    <row r="443" spans="1:20" ht="13.8" thickBot="1" x14ac:dyDescent="0.3">
      <c r="A443" s="40" t="str">
        <f t="shared" si="57"/>
        <v>UNMETERED SCATTERED LOAD SERVICE CLASSIFICATION</v>
      </c>
      <c r="B443" s="40" t="s">
        <v>188</v>
      </c>
      <c r="C443" s="50"/>
      <c r="D443" s="49"/>
      <c r="E443" s="48"/>
      <c r="F443" s="46"/>
      <c r="G443" s="47"/>
      <c r="H443" s="44"/>
      <c r="I443" s="46"/>
      <c r="J443" s="45"/>
      <c r="K443" s="44"/>
      <c r="L443" s="43"/>
      <c r="M443" s="42"/>
    </row>
    <row r="448" spans="1:20" x14ac:dyDescent="0.25">
      <c r="D448" s="128" t="s">
        <v>223</v>
      </c>
      <c r="E448" s="265" t="str">
        <f>D37</f>
        <v>STREET LIGHTING SERVICE CLASSIFICATION</v>
      </c>
      <c r="F448" s="265"/>
      <c r="G448" s="265"/>
      <c r="H448" s="265"/>
      <c r="I448" s="265"/>
      <c r="J448" s="265"/>
      <c r="K448" s="40" t="str">
        <f>IF(N123="DEMAND - INTERVAL","RTSR - INTERVAL METERED","")</f>
        <v/>
      </c>
      <c r="T448" s="40" t="s">
        <v>222</v>
      </c>
    </row>
    <row r="449" spans="1:13" x14ac:dyDescent="0.25">
      <c r="D449" s="128" t="s">
        <v>221</v>
      </c>
      <c r="E449" s="266" t="str">
        <f>H37</f>
        <v>Non-RPP (Other)</v>
      </c>
      <c r="F449" s="266"/>
      <c r="G449" s="266"/>
      <c r="H449" s="135"/>
      <c r="I449" s="135"/>
    </row>
    <row r="450" spans="1:13" ht="15.6" x14ac:dyDescent="0.25">
      <c r="D450" s="128" t="s">
        <v>220</v>
      </c>
      <c r="E450" s="132">
        <f>K37</f>
        <v>600000</v>
      </c>
      <c r="F450" s="134" t="s">
        <v>219</v>
      </c>
      <c r="G450" s="76"/>
      <c r="J450" s="133"/>
      <c r="K450" s="133"/>
      <c r="L450" s="133"/>
      <c r="M450" s="133"/>
    </row>
    <row r="451" spans="1:13" ht="15.6" x14ac:dyDescent="0.3">
      <c r="D451" s="128" t="s">
        <v>218</v>
      </c>
      <c r="E451" s="132">
        <f>L37</f>
        <v>176</v>
      </c>
      <c r="F451" s="131" t="s">
        <v>217</v>
      </c>
      <c r="G451" s="130"/>
      <c r="H451" s="129"/>
      <c r="I451" s="129"/>
      <c r="J451" s="129"/>
    </row>
    <row r="452" spans="1:13" x14ac:dyDescent="0.25">
      <c r="D452" s="128" t="s">
        <v>216</v>
      </c>
      <c r="E452" s="127">
        <f>I37</f>
        <v>1.0495000000000001</v>
      </c>
    </row>
    <row r="453" spans="1:13" x14ac:dyDescent="0.25">
      <c r="D453" s="128" t="s">
        <v>215</v>
      </c>
      <c r="E453" s="127">
        <f>J37</f>
        <v>1.030684649944027</v>
      </c>
    </row>
    <row r="454" spans="1:13" x14ac:dyDescent="0.25">
      <c r="D454" s="76"/>
    </row>
    <row r="455" spans="1:13" x14ac:dyDescent="0.25">
      <c r="D455" s="76"/>
      <c r="E455" s="126"/>
      <c r="F455" s="267" t="s">
        <v>214</v>
      </c>
      <c r="G455" s="268"/>
      <c r="H455" s="269"/>
      <c r="I455" s="267" t="s">
        <v>139</v>
      </c>
      <c r="J455" s="268"/>
      <c r="K455" s="269"/>
      <c r="L455" s="267" t="s">
        <v>213</v>
      </c>
      <c r="M455" s="269"/>
    </row>
    <row r="456" spans="1:13" x14ac:dyDescent="0.25">
      <c r="D456" s="76"/>
      <c r="E456" s="270"/>
      <c r="F456" s="125" t="s">
        <v>212</v>
      </c>
      <c r="G456" s="125" t="s">
        <v>211</v>
      </c>
      <c r="H456" s="123" t="s">
        <v>210</v>
      </c>
      <c r="I456" s="125" t="s">
        <v>212</v>
      </c>
      <c r="J456" s="124" t="s">
        <v>211</v>
      </c>
      <c r="K456" s="123" t="s">
        <v>210</v>
      </c>
      <c r="L456" s="272" t="s">
        <v>209</v>
      </c>
      <c r="M456" s="274" t="s">
        <v>208</v>
      </c>
    </row>
    <row r="457" spans="1:13" x14ac:dyDescent="0.25">
      <c r="D457" s="76"/>
      <c r="E457" s="271"/>
      <c r="F457" s="122" t="s">
        <v>207</v>
      </c>
      <c r="G457" s="122"/>
      <c r="H457" s="121" t="s">
        <v>207</v>
      </c>
      <c r="I457" s="122" t="s">
        <v>207</v>
      </c>
      <c r="J457" s="121"/>
      <c r="K457" s="121" t="s">
        <v>207</v>
      </c>
      <c r="L457" s="273"/>
      <c r="M457" s="275"/>
    </row>
    <row r="458" spans="1:13" x14ac:dyDescent="0.25">
      <c r="A458" s="40" t="str">
        <f>$E448</f>
        <v>STREET LIGHTING SERVICE CLASSIFICATION</v>
      </c>
      <c r="C458" s="50"/>
      <c r="D458" s="120" t="s">
        <v>97</v>
      </c>
      <c r="E458" s="82"/>
      <c r="F458" s="117">
        <f>SUMIFS('2.2-TSC Current Schedule'!E:E,'2.2-TSC Current Schedule'!H:H,'5. 2-W Bill Impacts'!$E448,'2.2-TSC Current Schedule'!G:G,'5. 2-W Bill Impacts'!D458)</f>
        <v>1.53</v>
      </c>
      <c r="G458" s="94">
        <v>2923</v>
      </c>
      <c r="H458" s="78">
        <f>G458*F458</f>
        <v>4472.1900000000005</v>
      </c>
      <c r="I458" s="117">
        <f>SUMIFS('4.2-TS Tariff Schedule'!E:E,'4.2-TS Tariff Schedule'!H:H,'5. 2-W Bill Impacts'!$E448,'4.2-TS Tariff Schedule'!G:G,'5. 2-W Bill Impacts'!D458)</f>
        <v>1.9007000000000001</v>
      </c>
      <c r="J458" s="115">
        <f>G458</f>
        <v>2923</v>
      </c>
      <c r="K458" s="78">
        <f>J458*I458</f>
        <v>5555.7461000000003</v>
      </c>
      <c r="L458" s="78">
        <f t="shared" ref="L458:L476" si="61">K458-H458</f>
        <v>1083.5560999999998</v>
      </c>
      <c r="M458" s="77">
        <f>IF(ISERROR(L458/H458), "", L458/H458)</f>
        <v>0.24228758169934633</v>
      </c>
    </row>
    <row r="459" spans="1:13" x14ac:dyDescent="0.25">
      <c r="A459" s="40" t="str">
        <f t="shared" ref="A459:A487" si="62">A458</f>
        <v>STREET LIGHTING SERVICE CLASSIFICATION</v>
      </c>
      <c r="C459" s="50"/>
      <c r="D459" s="120" t="s">
        <v>96</v>
      </c>
      <c r="E459" s="82"/>
      <c r="F459" s="92">
        <f>SUMIFS('2.2-TSC Current Schedule'!E:E,'2.2-TSC Current Schedule'!H:H,'5. 2-W Bill Impacts'!$E448,'2.2-TSC Current Schedule'!G:G,'5. 2-W Bill Impacts'!D459)</f>
        <v>44.8917</v>
      </c>
      <c r="G459" s="94">
        <f>IF($E451&gt;0, $E451, $E450)</f>
        <v>176</v>
      </c>
      <c r="H459" s="78">
        <f>G459*F459</f>
        <v>7900.9391999999998</v>
      </c>
      <c r="I459" s="93">
        <f>SUMIFS('4.2-TS Tariff Schedule'!E:E,'4.2-TS Tariff Schedule'!H:H,'5. 2-W Bill Impacts'!$E448,'4.2-TS Tariff Schedule'!G:G,'5. 2-W Bill Impacts'!D459)</f>
        <v>15.306900000000001</v>
      </c>
      <c r="J459" s="115">
        <f>IF($E451&gt;0, $E451, $E450)</f>
        <v>176</v>
      </c>
      <c r="K459" s="78">
        <f>J459*I459</f>
        <v>2694.0144</v>
      </c>
      <c r="L459" s="78">
        <f t="shared" si="61"/>
        <v>-5206.9247999999998</v>
      </c>
      <c r="M459" s="77">
        <f>IF(ISERROR(L459/H459), "", L459/H459)</f>
        <v>-0.65902605604153996</v>
      </c>
    </row>
    <row r="460" spans="1:13" x14ac:dyDescent="0.25">
      <c r="A460" s="40" t="str">
        <f t="shared" si="62"/>
        <v>STREET LIGHTING SERVICE CLASSIFICATION</v>
      </c>
      <c r="C460" s="50"/>
      <c r="D460" s="119" t="s">
        <v>118</v>
      </c>
      <c r="E460" s="82"/>
      <c r="F460" s="118">
        <f>SUMIFS('2.2-TSC Current Schedule'!E:E,'2.2-TSC Current Schedule'!H:H,'5. 2-W Bill Impacts'!$E448,'2.2-TSC Current Schedule'!G:G,'5. 2-W Bill Impacts'!D460)</f>
        <v>0</v>
      </c>
      <c r="G460" s="94">
        <v>1</v>
      </c>
      <c r="H460" s="78">
        <f>G460*F460</f>
        <v>0</v>
      </c>
      <c r="I460" s="117">
        <f>SUMIFS('4.2-TS Tariff Schedule'!E:E,'4.2-TS Tariff Schedule'!H:H,'5. 2-W Bill Impacts'!$E448,'4.2-TS Tariff Schedule'!G:G,'5. 2-W Bill Impacts'!D460)</f>
        <v>0</v>
      </c>
      <c r="J460" s="115">
        <f>G460</f>
        <v>1</v>
      </c>
      <c r="K460" s="78">
        <f>J460*I460</f>
        <v>0</v>
      </c>
      <c r="L460" s="78">
        <f t="shared" si="61"/>
        <v>0</v>
      </c>
      <c r="M460" s="77" t="str">
        <f>IF(ISERROR(L460/H460), "", L460/H460)</f>
        <v/>
      </c>
    </row>
    <row r="461" spans="1:13" x14ac:dyDescent="0.25">
      <c r="A461" s="40" t="str">
        <f t="shared" si="62"/>
        <v>STREET LIGHTING SERVICE CLASSIFICATION</v>
      </c>
      <c r="C461" s="50"/>
      <c r="D461" s="116" t="s">
        <v>152</v>
      </c>
      <c r="E461" s="82"/>
      <c r="F461" s="92">
        <f>SUMIFS('2.2-TSC Current Schedule'!E:E,'2.2-TSC Current Schedule'!H:H,'5. 2-W Bill Impacts'!$E448,'2.2-TSC Current Schedule'!G:G,'5. 2-W Bill Impacts'!D461)</f>
        <v>0</v>
      </c>
      <c r="G461" s="94">
        <f>IF($E451&gt;0, $E451, $E450)</f>
        <v>176</v>
      </c>
      <c r="H461" s="78">
        <f>G461*F461</f>
        <v>0</v>
      </c>
      <c r="I461" s="93">
        <f>SUMIFS('4.2-TS Tariff Schedule'!E:E,'4.2-TS Tariff Schedule'!H:H,'5. 2-W Bill Impacts'!$E448,'4.2-TS Tariff Schedule'!G:G,'5. 2-W Bill Impacts'!D461)</f>
        <v>8.5024036074577367</v>
      </c>
      <c r="J461" s="115">
        <f>IF($E451&gt;0, $E451, $E450)</f>
        <v>176</v>
      </c>
      <c r="K461" s="78">
        <f>J461*I461</f>
        <v>1496.4230349125617</v>
      </c>
      <c r="L461" s="78">
        <f t="shared" si="61"/>
        <v>1496.4230349125617</v>
      </c>
      <c r="M461" s="77" t="str">
        <f>IF(ISERROR(L461/H461), "", L461/H461)</f>
        <v/>
      </c>
    </row>
    <row r="462" spans="1:13" x14ac:dyDescent="0.25">
      <c r="A462" s="40" t="str">
        <f t="shared" si="62"/>
        <v>STREET LIGHTING SERVICE CLASSIFICATION</v>
      </c>
      <c r="B462" s="114" t="s">
        <v>206</v>
      </c>
      <c r="C462" s="50">
        <f>$B$37</f>
        <v>8</v>
      </c>
      <c r="D462" s="113" t="s">
        <v>205</v>
      </c>
      <c r="E462" s="102"/>
      <c r="F462" s="112"/>
      <c r="G462" s="100"/>
      <c r="H462" s="97">
        <f>SUM(H458:H461)</f>
        <v>12373.129199999999</v>
      </c>
      <c r="I462" s="111"/>
      <c r="J462" s="106"/>
      <c r="K462" s="97">
        <f>SUM(K458:K461)</f>
        <v>9746.1835349125613</v>
      </c>
      <c r="L462" s="97">
        <f t="shared" si="61"/>
        <v>-2626.9456650874381</v>
      </c>
      <c r="M462" s="96">
        <f>IF((H462)=0,"",(L462/H462))</f>
        <v>-0.21231053378861009</v>
      </c>
    </row>
    <row r="463" spans="1:13" x14ac:dyDescent="0.25">
      <c r="A463" s="40" t="str">
        <f t="shared" si="62"/>
        <v>STREET LIGHTING SERVICE CLASSIFICATION</v>
      </c>
      <c r="C463" s="50"/>
      <c r="D463" s="110" t="s">
        <v>204</v>
      </c>
      <c r="E463" s="82"/>
      <c r="F463" s="93">
        <f>IF((E450*12&gt;=150000), 0, IF(E449="RPP",(F477*0.65+F478*0.17+F479*0.18),IF(E449="Non-RPP (Retailer)",F480,F481)))</f>
        <v>0</v>
      </c>
      <c r="G463" s="91">
        <f>IF(F463=0, 0, $E450*E452-E450)</f>
        <v>0</v>
      </c>
      <c r="H463" s="78">
        <f>G463*F463</f>
        <v>0</v>
      </c>
      <c r="I463" s="93">
        <f>IF((E450*12&gt;=150000), 0, IF(E449="RPP",(I477*0.65+I478*0.17+I479*0.18),IF(E449="Non-RPP (Retailer)",I480,I481)))</f>
        <v>0</v>
      </c>
      <c r="J463" s="91">
        <f>IF(I463=0, 0, E450*E453-E450)</f>
        <v>0</v>
      </c>
      <c r="K463" s="78">
        <f>J463*I463</f>
        <v>0</v>
      </c>
      <c r="L463" s="78">
        <f t="shared" si="61"/>
        <v>0</v>
      </c>
      <c r="M463" s="77" t="str">
        <f>IF(ISERROR(L463/H463), "", L463/H463)</f>
        <v/>
      </c>
    </row>
    <row r="464" spans="1:13" x14ac:dyDescent="0.25">
      <c r="A464" s="40" t="str">
        <f t="shared" si="62"/>
        <v>STREET LIGHTING SERVICE CLASSIFICATION</v>
      </c>
      <c r="C464" s="50"/>
      <c r="D464" s="110" t="s">
        <v>90</v>
      </c>
      <c r="E464" s="82"/>
      <c r="F464" s="92">
        <f>SUMIFS('2.2-TSC Current Schedule'!E:E,'2.2-TSC Current Schedule'!H:H,'5. 2-W Bill Impacts'!$E448,'2.2-TSC Current Schedule'!G:G,'5. 2-W Bill Impacts'!D464)</f>
        <v>-2.1186153084440291</v>
      </c>
      <c r="G464" s="109">
        <f>IF($E451&gt;0, $E451, $E450)</f>
        <v>176</v>
      </c>
      <c r="H464" s="78">
        <f>G464*F464</f>
        <v>-372.87629428614912</v>
      </c>
      <c r="I464" s="93">
        <f>SUMIFS('4.2-TS Tariff Schedule'!E:E,'4.2-TS Tariff Schedule'!H:H,'5. 2-W Bill Impacts'!$E448,'4.2-TS Tariff Schedule'!G:G,'5. 2-W Bill Impacts'!D464)</f>
        <v>-0.48078026670192014</v>
      </c>
      <c r="J464" s="109">
        <f>IF($E451&gt;0, $E451, $E450)</f>
        <v>176</v>
      </c>
      <c r="K464" s="78">
        <f>J464*I464</f>
        <v>-84.617326939537946</v>
      </c>
      <c r="L464" s="78">
        <f t="shared" si="61"/>
        <v>288.25896734661114</v>
      </c>
      <c r="M464" s="77">
        <f>IF(ISERROR(L464/H464), "", L464/H464)</f>
        <v>-0.77306863365628231</v>
      </c>
    </row>
    <row r="465" spans="1:13" x14ac:dyDescent="0.25">
      <c r="A465" s="40" t="str">
        <f t="shared" si="62"/>
        <v>STREET LIGHTING SERVICE CLASSIFICATION</v>
      </c>
      <c r="C465" s="50"/>
      <c r="D465" s="110" t="s">
        <v>92</v>
      </c>
      <c r="E465" s="82"/>
      <c r="F465" s="92">
        <f>SUMIFS('2.2-TSC Current Schedule'!E:E,'2.2-TSC Current Schedule'!H:H,'5. 2-W Bill Impacts'!$E448,'2.2-TSC Current Schedule'!G:G,'5. 2-W Bill Impacts'!D465)</f>
        <v>1.4200000000000001E-2</v>
      </c>
      <c r="G465" s="109">
        <f>E450</f>
        <v>600000</v>
      </c>
      <c r="H465" s="78">
        <f>G465*F465</f>
        <v>8520</v>
      </c>
      <c r="I465" s="93">
        <f>SUMIFS('4.2-TS Tariff Schedule'!E:E,'4.2-TS Tariff Schedule'!H:H,'5. 2-W Bill Impacts'!$E448,'4.2-TS Tariff Schedule'!G:G,'5. 2-W Bill Impacts'!D465)</f>
        <v>3.8237144354832221E-4</v>
      </c>
      <c r="J465" s="109">
        <f>E450</f>
        <v>600000</v>
      </c>
      <c r="K465" s="78">
        <f>J465*I465</f>
        <v>229.42286612899332</v>
      </c>
      <c r="L465" s="78">
        <f t="shared" si="61"/>
        <v>-8290.5771338710074</v>
      </c>
      <c r="M465" s="77">
        <f>IF(ISERROR(L465/H465), "", L465/H465)</f>
        <v>-0.97307243355293516</v>
      </c>
    </row>
    <row r="466" spans="1:13" x14ac:dyDescent="0.25">
      <c r="A466" s="40" t="str">
        <f t="shared" si="62"/>
        <v>STREET LIGHTING SERVICE CLASSIFICATION</v>
      </c>
      <c r="C466" s="50"/>
      <c r="D466" s="108" t="s">
        <v>94</v>
      </c>
      <c r="E466" s="82"/>
      <c r="F466" s="92">
        <f>SUMIFS('2.2-TSC Current Schedule'!E:E,'2.2-TSC Current Schedule'!H:H,'5. 2-W Bill Impacts'!$E448,'2.2-TSC Current Schedule'!G:G,'5. 2-W Bill Impacts'!D466)</f>
        <v>0.84060000000000001</v>
      </c>
      <c r="G466" s="109">
        <f>IF($E451&gt;0, $E451, $E450)</f>
        <v>176</v>
      </c>
      <c r="H466" s="78">
        <f>G466*F466</f>
        <v>147.94560000000001</v>
      </c>
      <c r="I466" s="93">
        <f>SUMIFS('4.2-TS Tariff Schedule'!E:E,'4.2-TS Tariff Schedule'!H:H,'5. 2-W Bill Impacts'!$E448,'4.2-TS Tariff Schedule'!G:G,'5. 2-W Bill Impacts'!D466)</f>
        <v>7.3800000000000004E-2</v>
      </c>
      <c r="J466" s="109">
        <f>IF($E451&gt;0, $E451, $E450)</f>
        <v>176</v>
      </c>
      <c r="K466" s="78">
        <f>J466*I466</f>
        <v>12.988800000000001</v>
      </c>
      <c r="L466" s="78">
        <f t="shared" si="61"/>
        <v>-134.95680000000002</v>
      </c>
      <c r="M466" s="77">
        <f>IF(ISERROR(L466/H466), "", L466/H466)</f>
        <v>-0.91220556745182013</v>
      </c>
    </row>
    <row r="467" spans="1:13" x14ac:dyDescent="0.25">
      <c r="A467" s="40" t="str">
        <f t="shared" si="62"/>
        <v>STREET LIGHTING SERVICE CLASSIFICATION</v>
      </c>
      <c r="C467" s="50"/>
      <c r="D467" s="108" t="s">
        <v>116</v>
      </c>
      <c r="E467" s="82"/>
      <c r="F467" s="92">
        <f>SUMIFS('2.2-TSC Current Schedule'!E:E,'2.2-TSC Current Schedule'!H:H,'5. 2-W Bill Impacts'!$E448,'2.2-TSC Current Schedule'!G:G,'5. 2-W Bill Impacts'!D467)</f>
        <v>0</v>
      </c>
      <c r="G467" s="94">
        <v>1</v>
      </c>
      <c r="H467" s="78">
        <f>G467*F467</f>
        <v>0</v>
      </c>
      <c r="I467" s="93">
        <f>SUMIFS('4.2-TS Tariff Schedule'!E:E,'4.2-TS Tariff Schedule'!H:H,'5. 2-W Bill Impacts'!$E448,'4.2-TS Tariff Schedule'!G:G,'5. 2-W Bill Impacts'!D467)</f>
        <v>0</v>
      </c>
      <c r="J467" s="94">
        <v>1</v>
      </c>
      <c r="K467" s="78">
        <f>J467*I467</f>
        <v>0</v>
      </c>
      <c r="L467" s="78">
        <f t="shared" si="61"/>
        <v>0</v>
      </c>
      <c r="M467" s="77" t="str">
        <f>IF(ISERROR(L467/H467), "", L467/H467)</f>
        <v/>
      </c>
    </row>
    <row r="468" spans="1:13" x14ac:dyDescent="0.25">
      <c r="A468" s="40" t="str">
        <f t="shared" si="62"/>
        <v>STREET LIGHTING SERVICE CLASSIFICATION</v>
      </c>
      <c r="B468" s="76" t="s">
        <v>203</v>
      </c>
      <c r="C468" s="50">
        <f>$B$37</f>
        <v>8</v>
      </c>
      <c r="D468" s="103" t="s">
        <v>202</v>
      </c>
      <c r="E468" s="107"/>
      <c r="F468" s="101"/>
      <c r="G468" s="100"/>
      <c r="H468" s="97">
        <f>SUM(H462:H467)</f>
        <v>20668.198505713852</v>
      </c>
      <c r="I468" s="99"/>
      <c r="J468" s="106"/>
      <c r="K468" s="97">
        <f>SUM(K462:K467)</f>
        <v>9903.9778741020145</v>
      </c>
      <c r="L468" s="97">
        <f t="shared" si="61"/>
        <v>-10764.220631611837</v>
      </c>
      <c r="M468" s="96">
        <f>IF((H468)=0,"",(L468/H468))</f>
        <v>-0.52081078225738942</v>
      </c>
    </row>
    <row r="469" spans="1:13" x14ac:dyDescent="0.25">
      <c r="A469" s="40" t="str">
        <f t="shared" si="62"/>
        <v>STREET LIGHTING SERVICE CLASSIFICATION</v>
      </c>
      <c r="C469" s="50"/>
      <c r="D469" s="105" t="s">
        <v>88</v>
      </c>
      <c r="E469" s="82"/>
      <c r="F469" s="92">
        <f>SUMIFS('2.2-TSC Current Schedule'!E:E,'2.2-TSC Current Schedule'!H:H,'5. 2-W Bill Impacts'!$E448,'2.2-TSC Current Schedule'!G:G,'5. 2-W Bill Impacts'!D469)</f>
        <v>1.6793</v>
      </c>
      <c r="G469" s="91">
        <f>IF($E451&gt;0, $E451, $E450*$E452)</f>
        <v>176</v>
      </c>
      <c r="H469" s="78">
        <f>G469*F469</f>
        <v>295.55680000000001</v>
      </c>
      <c r="I469" s="93">
        <f>SUMIFS('4.2-TS Tariff Schedule'!E:E,'4.2-TS Tariff Schedule'!H:H,'5. 2-W Bill Impacts'!$E448,'4.2-TS Tariff Schedule'!G:G,'5. 2-W Bill Impacts'!D469)</f>
        <v>1.6085766854262999</v>
      </c>
      <c r="J469" s="91">
        <f>IF($E451&gt;0, $E451, $E450*$E453)</f>
        <v>176</v>
      </c>
      <c r="K469" s="78">
        <f>J469*I469</f>
        <v>283.10949663502879</v>
      </c>
      <c r="L469" s="78">
        <f t="shared" si="61"/>
        <v>-12.447303364971219</v>
      </c>
      <c r="M469" s="77">
        <f>IF(ISERROR(L469/H469), "", L469/H469)</f>
        <v>-4.2114758871970526E-2</v>
      </c>
    </row>
    <row r="470" spans="1:13" x14ac:dyDescent="0.25">
      <c r="A470" s="40" t="str">
        <f t="shared" si="62"/>
        <v>STREET LIGHTING SERVICE CLASSIFICATION</v>
      </c>
      <c r="C470" s="50"/>
      <c r="D470" s="104" t="s">
        <v>86</v>
      </c>
      <c r="E470" s="82"/>
      <c r="F470" s="92">
        <f>SUMIFS('2.2-TSC Current Schedule'!E:E,'2.2-TSC Current Schedule'!H:H,'5. 2-W Bill Impacts'!$E448,'2.2-TSC Current Schedule'!G:G,'5. 2-W Bill Impacts'!D470)</f>
        <v>0.91300000000000003</v>
      </c>
      <c r="G470" s="91">
        <f>IF($E451&gt;0, $E451, $E450*$E452)</f>
        <v>176</v>
      </c>
      <c r="H470" s="78">
        <f>G470*F470</f>
        <v>160.68800000000002</v>
      </c>
      <c r="I470" s="93">
        <f>SUMIFS('4.2-TS Tariff Schedule'!E:E,'4.2-TS Tariff Schedule'!H:H,'5. 2-W Bill Impacts'!$E448,'4.2-TS Tariff Schedule'!G:G,'5. 2-W Bill Impacts'!D470)</f>
        <v>1.2081464437186153</v>
      </c>
      <c r="J470" s="91">
        <f>IF($E451&gt;0, $E451, $E450*$E453)</f>
        <v>176</v>
      </c>
      <c r="K470" s="78">
        <f>J470*I470</f>
        <v>212.63377409447631</v>
      </c>
      <c r="L470" s="78">
        <f t="shared" si="61"/>
        <v>51.945774094476292</v>
      </c>
      <c r="M470" s="77">
        <f>IF(ISERROR(L470/H470), "", L470/H470)</f>
        <v>0.32327102269289731</v>
      </c>
    </row>
    <row r="471" spans="1:13" x14ac:dyDescent="0.25">
      <c r="A471" s="40" t="str">
        <f t="shared" si="62"/>
        <v>STREET LIGHTING SERVICE CLASSIFICATION</v>
      </c>
      <c r="B471" s="76" t="s">
        <v>201</v>
      </c>
      <c r="C471" s="50">
        <f>$B$37</f>
        <v>8</v>
      </c>
      <c r="D471" s="103" t="s">
        <v>200</v>
      </c>
      <c r="E471" s="102"/>
      <c r="F471" s="101"/>
      <c r="G471" s="100"/>
      <c r="H471" s="97">
        <f>SUM(H468:H470)</f>
        <v>21124.443305713849</v>
      </c>
      <c r="I471" s="99"/>
      <c r="J471" s="98"/>
      <c r="K471" s="97">
        <f>SUM(K468:K470)</f>
        <v>10399.721144831519</v>
      </c>
      <c r="L471" s="97">
        <f t="shared" si="61"/>
        <v>-10724.722160882329</v>
      </c>
      <c r="M471" s="96">
        <f>IF((H471)=0,"",(L471/H471))</f>
        <v>-0.50769253445753293</v>
      </c>
    </row>
    <row r="472" spans="1:13" x14ac:dyDescent="0.25">
      <c r="A472" s="40" t="str">
        <f t="shared" si="62"/>
        <v>STREET LIGHTING SERVICE CLASSIFICATION</v>
      </c>
      <c r="C472" s="50"/>
      <c r="D472" s="95" t="s">
        <v>83</v>
      </c>
      <c r="E472" s="82"/>
      <c r="F472" s="92">
        <f>SUMIFS('2.2-TSC Current Schedule'!E:E,'2.2-TSC Current Schedule'!H:H,'5. 2-W Bill Impacts'!$E448,'2.2-TSC Current Schedule'!G:G,'5. 2-W Bill Impacts'!D472)</f>
        <v>3.2000000000000002E-3</v>
      </c>
      <c r="G472" s="91">
        <f>E450*E452</f>
        <v>629700.00000000012</v>
      </c>
      <c r="H472" s="78">
        <f>G472*F472</f>
        <v>2015.0400000000004</v>
      </c>
      <c r="I472" s="93">
        <f>SUMIFS('4.2-TS Tariff Schedule'!E:E,'4.2-TS Tariff Schedule'!H:H,'5. 2-W Bill Impacts'!$E448,'4.2-TS Tariff Schedule'!G:G,'5. 2-W Bill Impacts'!D472)</f>
        <v>3.2000000000000002E-3</v>
      </c>
      <c r="J472" s="91">
        <f>E450*E453</f>
        <v>618410.7899664162</v>
      </c>
      <c r="K472" s="78">
        <f>J472*I472</f>
        <v>1978.9145278925319</v>
      </c>
      <c r="L472" s="78">
        <f t="shared" si="61"/>
        <v>-36.125472107468568</v>
      </c>
      <c r="M472" s="77">
        <f>IF(ISERROR(L472/H472), "", L472/H472)</f>
        <v>-1.792791810955046E-2</v>
      </c>
    </row>
    <row r="473" spans="1:13" x14ac:dyDescent="0.25">
      <c r="A473" s="40" t="str">
        <f t="shared" si="62"/>
        <v>STREET LIGHTING SERVICE CLASSIFICATION</v>
      </c>
      <c r="C473" s="50"/>
      <c r="D473" s="95" t="s">
        <v>81</v>
      </c>
      <c r="E473" s="82"/>
      <c r="F473" s="92">
        <f>SUMIFS('2.2-TSC Current Schedule'!E:E,'2.2-TSC Current Schedule'!H:H,'5. 2-W Bill Impacts'!$E448,'2.2-TSC Current Schedule'!G:G,'5. 2-W Bill Impacts'!D473)</f>
        <v>4.0000000000000002E-4</v>
      </c>
      <c r="G473" s="91">
        <f>E450*E452</f>
        <v>629700.00000000012</v>
      </c>
      <c r="H473" s="78">
        <f>G473*F473</f>
        <v>251.88000000000005</v>
      </c>
      <c r="I473" s="93">
        <f>SUMIFS('4.2-TS Tariff Schedule'!E:E,'4.2-TS Tariff Schedule'!H:H,'5. 2-W Bill Impacts'!$E448,'4.2-TS Tariff Schedule'!G:G,'5. 2-W Bill Impacts'!D473)</f>
        <v>4.0000000000000002E-4</v>
      </c>
      <c r="J473" s="91">
        <f>E450*E453</f>
        <v>618410.7899664162</v>
      </c>
      <c r="K473" s="78">
        <f>J473*I473</f>
        <v>247.36431598656648</v>
      </c>
      <c r="L473" s="78">
        <f t="shared" si="61"/>
        <v>-4.515684013433571</v>
      </c>
      <c r="M473" s="77">
        <f>IF(ISERROR(L473/H473), "", L473/H473)</f>
        <v>-1.792791810955046E-2</v>
      </c>
    </row>
    <row r="474" spans="1:13" x14ac:dyDescent="0.25">
      <c r="A474" s="40" t="str">
        <f t="shared" si="62"/>
        <v>STREET LIGHTING SERVICE CLASSIFICATION</v>
      </c>
      <c r="C474" s="50"/>
      <c r="D474" s="95" t="s">
        <v>78</v>
      </c>
      <c r="E474" s="82"/>
      <c r="F474" s="92">
        <f>SUMIFS('2.2-TSC Current Schedule'!E:E,'2.2-TSC Current Schedule'!H:H,'5. 2-W Bill Impacts'!$E448,'2.2-TSC Current Schedule'!G:G,'5. 2-W Bill Impacts'!D474)</f>
        <v>2.9999999999999997E-4</v>
      </c>
      <c r="G474" s="91">
        <f>E450*E452</f>
        <v>629700.00000000012</v>
      </c>
      <c r="H474" s="78">
        <f>G474*F474</f>
        <v>188.91000000000003</v>
      </c>
      <c r="I474" s="93">
        <f>SUMIFS('4.2-TS Tariff Schedule'!E:E,'4.2-TS Tariff Schedule'!H:H,'5. 2-W Bill Impacts'!$E448,'4.2-TS Tariff Schedule'!G:G,'5. 2-W Bill Impacts'!D474)</f>
        <v>2.9999999999999997E-4</v>
      </c>
      <c r="J474" s="91">
        <f>E450*E453</f>
        <v>618410.7899664162</v>
      </c>
      <c r="K474" s="78">
        <f>J474*I474</f>
        <v>185.52323698992484</v>
      </c>
      <c r="L474" s="78">
        <f t="shared" si="61"/>
        <v>-3.3867630100751853</v>
      </c>
      <c r="M474" s="77">
        <f>IF(ISERROR(L474/H474), "", L474/H474)</f>
        <v>-1.7927918109550498E-2</v>
      </c>
    </row>
    <row r="475" spans="1:13" x14ac:dyDescent="0.25">
      <c r="A475" s="40" t="str">
        <f t="shared" si="62"/>
        <v>STREET LIGHTING SERVICE CLASSIFICATION</v>
      </c>
      <c r="C475" s="50"/>
      <c r="D475" s="63" t="s">
        <v>76</v>
      </c>
      <c r="E475" s="82"/>
      <c r="F475" s="92">
        <f>SUMIFS('2.2-TSC Current Schedule'!E:E,'2.2-TSC Current Schedule'!H:H,'5. 2-W Bill Impacts'!$E448,'2.2-TSC Current Schedule'!G:G,'5. 2-W Bill Impacts'!D475)</f>
        <v>0.25</v>
      </c>
      <c r="G475" s="94">
        <v>1</v>
      </c>
      <c r="H475" s="78">
        <f>G475*F475</f>
        <v>0.25</v>
      </c>
      <c r="I475" s="93">
        <f>SUMIFS('4.2-TS Tariff Schedule'!E:E,'4.2-TS Tariff Schedule'!H:H,'5. 2-W Bill Impacts'!$E448,'4.2-TS Tariff Schedule'!G:G,'5. 2-W Bill Impacts'!D475)</f>
        <v>0.25</v>
      </c>
      <c r="J475" s="78">
        <v>1</v>
      </c>
      <c r="K475" s="78">
        <f>J475*I475</f>
        <v>0.25</v>
      </c>
      <c r="L475" s="78">
        <f t="shared" si="61"/>
        <v>0</v>
      </c>
      <c r="M475" s="77">
        <f>IF(ISERROR(L475/H475), "", L475/H475)</f>
        <v>0</v>
      </c>
    </row>
    <row r="476" spans="1:13" x14ac:dyDescent="0.25">
      <c r="A476" s="40" t="str">
        <f t="shared" si="62"/>
        <v>STREET LIGHTING SERVICE CLASSIFICATION</v>
      </c>
      <c r="C476" s="50"/>
      <c r="D476" s="63" t="s">
        <v>132</v>
      </c>
      <c r="E476" s="82"/>
      <c r="F476" s="92">
        <v>7.0000000000000001E-3</v>
      </c>
      <c r="G476" s="91">
        <f>E450</f>
        <v>600000</v>
      </c>
      <c r="H476" s="78">
        <f>G476*F476</f>
        <v>4200</v>
      </c>
      <c r="I476" s="92">
        <v>7.0000000000000001E-3</v>
      </c>
      <c r="J476" s="91">
        <f>E450</f>
        <v>600000</v>
      </c>
      <c r="K476" s="78">
        <f>J476*I476</f>
        <v>4200</v>
      </c>
      <c r="L476" s="78">
        <f t="shared" si="61"/>
        <v>0</v>
      </c>
      <c r="M476" s="77">
        <f>IF(ISERROR(L476/H476), "", L476/H476)</f>
        <v>0</v>
      </c>
    </row>
    <row r="477" spans="1:13" x14ac:dyDescent="0.25">
      <c r="A477" s="40" t="str">
        <f t="shared" si="62"/>
        <v>STREET LIGHTING SERVICE CLASSIFICATION</v>
      </c>
      <c r="B477" s="76" t="s">
        <v>197</v>
      </c>
      <c r="C477" s="50"/>
      <c r="D477" s="83" t="s">
        <v>199</v>
      </c>
      <c r="E477" s="82"/>
      <c r="F477" s="90"/>
      <c r="G477" s="89"/>
      <c r="H477" s="86"/>
      <c r="I477" s="88"/>
      <c r="J477" s="87"/>
      <c r="K477" s="86"/>
      <c r="L477" s="85"/>
      <c r="M477" s="84"/>
    </row>
    <row r="478" spans="1:13" x14ac:dyDescent="0.25">
      <c r="A478" s="40" t="str">
        <f t="shared" si="62"/>
        <v>STREET LIGHTING SERVICE CLASSIFICATION</v>
      </c>
      <c r="B478" s="76" t="s">
        <v>197</v>
      </c>
      <c r="C478" s="50"/>
      <c r="D478" s="83" t="s">
        <v>198</v>
      </c>
      <c r="E478" s="82"/>
      <c r="F478" s="90"/>
      <c r="G478" s="89"/>
      <c r="H478" s="86"/>
      <c r="I478" s="88"/>
      <c r="J478" s="87"/>
      <c r="K478" s="86"/>
      <c r="L478" s="85"/>
      <c r="M478" s="84"/>
    </row>
    <row r="479" spans="1:13" x14ac:dyDescent="0.25">
      <c r="A479" s="40" t="str">
        <f t="shared" si="62"/>
        <v>STREET LIGHTING SERVICE CLASSIFICATION</v>
      </c>
      <c r="B479" s="76" t="s">
        <v>197</v>
      </c>
      <c r="C479" s="50"/>
      <c r="D479" s="76" t="s">
        <v>196</v>
      </c>
      <c r="E479" s="82"/>
      <c r="F479" s="90"/>
      <c r="G479" s="89"/>
      <c r="H479" s="86"/>
      <c r="I479" s="88"/>
      <c r="J479" s="87"/>
      <c r="K479" s="86"/>
      <c r="L479" s="85"/>
      <c r="M479" s="84"/>
    </row>
    <row r="480" spans="1:13" x14ac:dyDescent="0.25">
      <c r="A480" s="40" t="str">
        <f t="shared" si="62"/>
        <v>STREET LIGHTING SERVICE CLASSIFICATION</v>
      </c>
      <c r="B480" s="40" t="s">
        <v>195</v>
      </c>
      <c r="C480" s="50"/>
      <c r="D480" s="83" t="s">
        <v>194</v>
      </c>
      <c r="E480" s="82"/>
      <c r="F480" s="81">
        <v>1.8855833333333332E-2</v>
      </c>
      <c r="G480" s="80">
        <f>IF(AND(E450*12&gt;=150000),E450*E452,E450)</f>
        <v>629700.00000000012</v>
      </c>
      <c r="H480" s="79">
        <f>G480*F480</f>
        <v>11873.518250000001</v>
      </c>
      <c r="I480" s="81">
        <v>1.8855833333333332E-2</v>
      </c>
      <c r="J480" s="80">
        <f>IF(AND(E450*12&gt;=150000),E450*E453,E450)</f>
        <v>618410.7899664162</v>
      </c>
      <c r="K480" s="79">
        <f>J480*I480</f>
        <v>11660.650787141749</v>
      </c>
      <c r="L480" s="78">
        <f>K480-H480</f>
        <v>-212.86746285825211</v>
      </c>
      <c r="M480" s="77">
        <f>IF(ISERROR(L480/H480), "", L480/H480)</f>
        <v>-1.7927918109550394E-2</v>
      </c>
    </row>
    <row r="481" spans="1:20" ht="13.8" thickBot="1" x14ac:dyDescent="0.3">
      <c r="A481" s="40" t="str">
        <f t="shared" si="62"/>
        <v>STREET LIGHTING SERVICE CLASSIFICATION</v>
      </c>
      <c r="B481" s="40" t="s">
        <v>188</v>
      </c>
      <c r="C481" s="50"/>
      <c r="D481" s="83" t="s">
        <v>193</v>
      </c>
      <c r="E481" s="82"/>
      <c r="F481" s="81">
        <v>0.10303000000000001</v>
      </c>
      <c r="G481" s="80">
        <f>IF(AND(E450*12&gt;=150000),E450*E452,E450)</f>
        <v>629700.00000000012</v>
      </c>
      <c r="H481" s="79">
        <f>G481*F481</f>
        <v>64877.991000000016</v>
      </c>
      <c r="I481" s="81">
        <v>0.10303000000000001</v>
      </c>
      <c r="J481" s="80">
        <f>IF(AND(E450*12&gt;=150000),E450*E453,E450)</f>
        <v>618410.7899664162</v>
      </c>
      <c r="K481" s="79">
        <f>J481*I481</f>
        <v>63714.863690239865</v>
      </c>
      <c r="L481" s="78">
        <f>K481-H481</f>
        <v>-1163.1273097601515</v>
      </c>
      <c r="M481" s="77">
        <f>IF(ISERROR(L481/H481), "", L481/H481)</f>
        <v>-1.7927918109550453E-2</v>
      </c>
    </row>
    <row r="482" spans="1:20" ht="13.8" thickBot="1" x14ac:dyDescent="0.3">
      <c r="A482" s="40" t="str">
        <f t="shared" si="62"/>
        <v>STREET LIGHTING SERVICE CLASSIFICATION</v>
      </c>
      <c r="B482" s="76"/>
      <c r="C482" s="50"/>
      <c r="D482" s="49"/>
      <c r="E482" s="48"/>
      <c r="F482" s="74"/>
      <c r="G482" s="75"/>
      <c r="H482" s="72"/>
      <c r="I482" s="74"/>
      <c r="J482" s="73"/>
      <c r="K482" s="72"/>
      <c r="L482" s="71"/>
      <c r="M482" s="70"/>
    </row>
    <row r="483" spans="1:20" x14ac:dyDescent="0.25">
      <c r="A483" s="40" t="str">
        <f t="shared" si="62"/>
        <v>STREET LIGHTING SERVICE CLASSIFICATION</v>
      </c>
      <c r="B483" s="40" t="s">
        <v>188</v>
      </c>
      <c r="C483" s="50"/>
      <c r="D483" s="69" t="s">
        <v>189</v>
      </c>
      <c r="E483" s="63"/>
      <c r="F483" s="61"/>
      <c r="G483" s="62"/>
      <c r="H483" s="67">
        <f>SUM(H471:H482)</f>
        <v>104532.03255571387</v>
      </c>
      <c r="I483" s="68"/>
      <c r="J483" s="68"/>
      <c r="K483" s="67">
        <f>SUM(K471:K482)</f>
        <v>92387.287703082155</v>
      </c>
      <c r="L483" s="66">
        <f>K483-H483</f>
        <v>-12144.744852631717</v>
      </c>
      <c r="M483" s="65">
        <f>IF((H483)=0,"",(L483/H483))</f>
        <v>-0.11618204062145988</v>
      </c>
    </row>
    <row r="484" spans="1:20" x14ac:dyDescent="0.25">
      <c r="A484" s="40" t="str">
        <f t="shared" si="62"/>
        <v>STREET LIGHTING SERVICE CLASSIFICATION</v>
      </c>
      <c r="B484" s="40" t="s">
        <v>188</v>
      </c>
      <c r="C484" s="50"/>
      <c r="D484" s="64" t="s">
        <v>192</v>
      </c>
      <c r="E484" s="63"/>
      <c r="F484" s="61">
        <v>0.13</v>
      </c>
      <c r="G484" s="62"/>
      <c r="H484" s="59">
        <f>H483*F484</f>
        <v>13589.164232242803</v>
      </c>
      <c r="I484" s="61">
        <v>0.13</v>
      </c>
      <c r="J484" s="60"/>
      <c r="K484" s="59">
        <f>K483*I484</f>
        <v>12010.347401400681</v>
      </c>
      <c r="L484" s="58">
        <f>K484-H484</f>
        <v>-1578.8168308421227</v>
      </c>
      <c r="M484" s="57">
        <f>IF((H484)=0,"",(L484/H484))</f>
        <v>-0.11618204062145986</v>
      </c>
    </row>
    <row r="485" spans="1:20" x14ac:dyDescent="0.25">
      <c r="A485" s="40" t="str">
        <f t="shared" si="62"/>
        <v>STREET LIGHTING SERVICE CLASSIFICATION</v>
      </c>
      <c r="B485" s="40" t="s">
        <v>188</v>
      </c>
      <c r="C485" s="50"/>
      <c r="D485" s="64" t="s">
        <v>191</v>
      </c>
      <c r="E485" s="63"/>
      <c r="F485" s="61">
        <v>0.08</v>
      </c>
      <c r="G485" s="62"/>
      <c r="H485" s="59">
        <v>0</v>
      </c>
      <c r="I485" s="61">
        <v>0.08</v>
      </c>
      <c r="J485" s="60"/>
      <c r="K485" s="59">
        <v>0</v>
      </c>
      <c r="L485" s="58"/>
      <c r="M485" s="57"/>
    </row>
    <row r="486" spans="1:20" ht="13.8" thickBot="1" x14ac:dyDescent="0.3">
      <c r="A486" s="40" t="str">
        <f t="shared" si="62"/>
        <v>STREET LIGHTING SERVICE CLASSIFICATION</v>
      </c>
      <c r="B486" s="40" t="s">
        <v>190</v>
      </c>
      <c r="C486" s="50">
        <f>$B$37</f>
        <v>8</v>
      </c>
      <c r="D486" s="264" t="s">
        <v>189</v>
      </c>
      <c r="E486" s="264"/>
      <c r="F486" s="56"/>
      <c r="G486" s="55"/>
      <c r="H486" s="53">
        <f>H483+H484+H485</f>
        <v>118121.19678795668</v>
      </c>
      <c r="I486" s="54"/>
      <c r="J486" s="54"/>
      <c r="K486" s="53">
        <f>K483+K484+K485</f>
        <v>104397.63510448283</v>
      </c>
      <c r="L486" s="52">
        <f>K486-H486</f>
        <v>-13723.561683473847</v>
      </c>
      <c r="M486" s="51">
        <f>IF((H486)=0,"",(L486/H486))</f>
        <v>-0.11618204062145994</v>
      </c>
    </row>
    <row r="487" spans="1:20" ht="13.8" thickBot="1" x14ac:dyDescent="0.3">
      <c r="A487" s="40" t="str">
        <f t="shared" si="62"/>
        <v>STREET LIGHTING SERVICE CLASSIFICATION</v>
      </c>
      <c r="B487" s="40" t="s">
        <v>188</v>
      </c>
      <c r="C487" s="50"/>
      <c r="D487" s="49"/>
      <c r="E487" s="48"/>
      <c r="F487" s="46"/>
      <c r="G487" s="47"/>
      <c r="H487" s="44"/>
      <c r="I487" s="46"/>
      <c r="J487" s="45"/>
      <c r="K487" s="44"/>
      <c r="L487" s="43"/>
      <c r="M487" s="42"/>
    </row>
    <row r="492" spans="1:20" x14ac:dyDescent="0.25">
      <c r="D492" s="128" t="s">
        <v>223</v>
      </c>
      <c r="E492" s="265" t="str">
        <f>D38</f>
        <v>SENTINEL LIGHTING</v>
      </c>
      <c r="F492" s="265"/>
      <c r="G492" s="265"/>
      <c r="H492" s="265"/>
      <c r="I492" s="265"/>
      <c r="J492" s="265"/>
      <c r="K492" s="40" t="str">
        <f>IF(N167="DEMAND - INTERVAL","RTSR - INTERVAL METERED","")</f>
        <v/>
      </c>
      <c r="T492" s="40" t="s">
        <v>222</v>
      </c>
    </row>
    <row r="493" spans="1:20" x14ac:dyDescent="0.25">
      <c r="D493" s="128" t="s">
        <v>221</v>
      </c>
      <c r="E493" s="266" t="str">
        <f>H38</f>
        <v>Non-RPP (Other)</v>
      </c>
      <c r="F493" s="266"/>
      <c r="G493" s="266"/>
      <c r="H493" s="135"/>
      <c r="I493" s="135"/>
    </row>
    <row r="494" spans="1:20" ht="15.6" x14ac:dyDescent="0.25">
      <c r="D494" s="128" t="s">
        <v>220</v>
      </c>
      <c r="E494" s="132">
        <f>K38</f>
        <v>10000</v>
      </c>
      <c r="F494" s="134" t="s">
        <v>219</v>
      </c>
      <c r="G494" s="76"/>
      <c r="J494" s="133"/>
      <c r="K494" s="133"/>
      <c r="L494" s="133"/>
      <c r="M494" s="133"/>
    </row>
    <row r="495" spans="1:20" ht="15.6" x14ac:dyDescent="0.3">
      <c r="D495" s="128" t="s">
        <v>218</v>
      </c>
      <c r="E495" s="132">
        <f>L38</f>
        <v>29</v>
      </c>
      <c r="F495" s="131" t="s">
        <v>217</v>
      </c>
      <c r="G495" s="130"/>
      <c r="H495" s="129"/>
      <c r="I495" s="129"/>
      <c r="J495" s="129"/>
    </row>
    <row r="496" spans="1:20" x14ac:dyDescent="0.25">
      <c r="D496" s="128" t="s">
        <v>216</v>
      </c>
      <c r="E496" s="127">
        <f>I38</f>
        <v>1.0495000000000001</v>
      </c>
    </row>
    <row r="497" spans="1:13" x14ac:dyDescent="0.25">
      <c r="D497" s="128" t="s">
        <v>215</v>
      </c>
      <c r="E497" s="127">
        <f>J38</f>
        <v>1.030684649944027</v>
      </c>
    </row>
    <row r="498" spans="1:13" x14ac:dyDescent="0.25">
      <c r="D498" s="76"/>
    </row>
    <row r="499" spans="1:13" x14ac:dyDescent="0.25">
      <c r="D499" s="76"/>
      <c r="E499" s="126"/>
      <c r="F499" s="267" t="s">
        <v>214</v>
      </c>
      <c r="G499" s="268"/>
      <c r="H499" s="269"/>
      <c r="I499" s="267" t="s">
        <v>139</v>
      </c>
      <c r="J499" s="268"/>
      <c r="K499" s="269"/>
      <c r="L499" s="267" t="s">
        <v>213</v>
      </c>
      <c r="M499" s="269"/>
    </row>
    <row r="500" spans="1:13" x14ac:dyDescent="0.25">
      <c r="D500" s="76"/>
      <c r="E500" s="270"/>
      <c r="F500" s="125" t="s">
        <v>212</v>
      </c>
      <c r="G500" s="125" t="s">
        <v>211</v>
      </c>
      <c r="H500" s="123" t="s">
        <v>210</v>
      </c>
      <c r="I500" s="125" t="s">
        <v>212</v>
      </c>
      <c r="J500" s="124" t="s">
        <v>211</v>
      </c>
      <c r="K500" s="123" t="s">
        <v>210</v>
      </c>
      <c r="L500" s="272" t="s">
        <v>209</v>
      </c>
      <c r="M500" s="274" t="s">
        <v>208</v>
      </c>
    </row>
    <row r="501" spans="1:13" x14ac:dyDescent="0.25">
      <c r="D501" s="76"/>
      <c r="E501" s="271"/>
      <c r="F501" s="122" t="s">
        <v>207</v>
      </c>
      <c r="G501" s="122"/>
      <c r="H501" s="121" t="s">
        <v>207</v>
      </c>
      <c r="I501" s="122" t="s">
        <v>207</v>
      </c>
      <c r="J501" s="121"/>
      <c r="K501" s="121" t="s">
        <v>207</v>
      </c>
      <c r="L501" s="273"/>
      <c r="M501" s="275"/>
    </row>
    <row r="502" spans="1:13" x14ac:dyDescent="0.25">
      <c r="A502" s="40" t="str">
        <f>$E492</f>
        <v>SENTINEL LIGHTING</v>
      </c>
      <c r="C502" s="50"/>
      <c r="D502" s="120" t="s">
        <v>97</v>
      </c>
      <c r="E502" s="82"/>
      <c r="F502" s="92">
        <f>SUMIFS('2.2-TSC Current Schedule'!E:E,'2.2-TSC Current Schedule'!H:H,'5. 2-W Bill Impacts'!$E492,'2.2-TSC Current Schedule'!G:G,'5. 2-W Bill Impacts'!D502)</f>
        <v>2.04</v>
      </c>
      <c r="G502" s="94">
        <v>168</v>
      </c>
      <c r="H502" s="78">
        <f>G502*F502</f>
        <v>342.72</v>
      </c>
      <c r="I502" s="93">
        <f>SUMIFS('4.2-TS Tariff Schedule'!E:E,'4.2-TS Tariff Schedule'!H:H,'5. 2-W Bill Impacts'!$E492,'4.2-TS Tariff Schedule'!G:G,'5. 2-W Bill Impacts'!D502)</f>
        <v>2.8260999999999998</v>
      </c>
      <c r="J502" s="115">
        <f>G502</f>
        <v>168</v>
      </c>
      <c r="K502" s="78">
        <f>J502*I502</f>
        <v>474.78479999999996</v>
      </c>
      <c r="L502" s="78">
        <f t="shared" ref="L502:L523" si="63">K502-H502</f>
        <v>132.06479999999993</v>
      </c>
      <c r="M502" s="77">
        <f>IF(ISERROR(L502/H502), "", L502/H502)</f>
        <v>0.38534313725490171</v>
      </c>
    </row>
    <row r="503" spans="1:13" x14ac:dyDescent="0.25">
      <c r="A503" s="40" t="str">
        <f t="shared" ref="A503:A531" si="64">A502</f>
        <v>SENTINEL LIGHTING</v>
      </c>
      <c r="C503" s="50"/>
      <c r="D503" s="120" t="s">
        <v>96</v>
      </c>
      <c r="E503" s="82"/>
      <c r="F503" s="92">
        <f>SUMIFS('2.2-TSC Current Schedule'!E:E,'2.2-TSC Current Schedule'!H:H,'5. 2-W Bill Impacts'!$E492,'2.2-TSC Current Schedule'!G:G,'5. 2-W Bill Impacts'!D503)</f>
        <v>30.502800000000001</v>
      </c>
      <c r="G503" s="94">
        <f>IF($E495&gt;0, $E495, $E494)</f>
        <v>29</v>
      </c>
      <c r="H503" s="78">
        <f>G503*F503</f>
        <v>884.58119999999997</v>
      </c>
      <c r="I503" s="93">
        <f>SUMIFS('4.2-TS Tariff Schedule'!E:E,'4.2-TS Tariff Schedule'!H:H,'5. 2-W Bill Impacts'!$E492,'4.2-TS Tariff Schedule'!G:G,'5. 2-W Bill Impacts'!D503)</f>
        <v>42.256900000000002</v>
      </c>
      <c r="J503" s="115">
        <f>IF($E495&gt;0, $E495, $E494)</f>
        <v>29</v>
      </c>
      <c r="K503" s="78">
        <f>J503*I503</f>
        <v>1225.4501</v>
      </c>
      <c r="L503" s="78">
        <f t="shared" si="63"/>
        <v>340.86890000000005</v>
      </c>
      <c r="M503" s="77">
        <f>IF(ISERROR(L503/H503), "", L503/H503)</f>
        <v>0.3853449519388385</v>
      </c>
    </row>
    <row r="504" spans="1:13" x14ac:dyDescent="0.25">
      <c r="A504" s="40" t="str">
        <f t="shared" si="64"/>
        <v>SENTINEL LIGHTING</v>
      </c>
      <c r="C504" s="50"/>
      <c r="D504" s="119" t="s">
        <v>118</v>
      </c>
      <c r="E504" s="82"/>
      <c r="F504" s="118">
        <f>SUMIFS('2.2-TSC Current Schedule'!E:E,'2.2-TSC Current Schedule'!H:H,'5. 2-W Bill Impacts'!$E492,'2.2-TSC Current Schedule'!G:G,'5. 2-W Bill Impacts'!D504)</f>
        <v>0</v>
      </c>
      <c r="G504" s="94">
        <v>1</v>
      </c>
      <c r="H504" s="78">
        <f>G504*F504</f>
        <v>0</v>
      </c>
      <c r="I504" s="117">
        <f>SUMIFS('4.2-TS Tariff Schedule'!E:E,'4.2-TS Tariff Schedule'!H:H,'5. 2-W Bill Impacts'!$E492,'4.2-TS Tariff Schedule'!G:G,'5. 2-W Bill Impacts'!D504)</f>
        <v>0</v>
      </c>
      <c r="J504" s="115">
        <f>G504</f>
        <v>1</v>
      </c>
      <c r="K504" s="78">
        <f>J504*I504</f>
        <v>0</v>
      </c>
      <c r="L504" s="78">
        <f t="shared" si="63"/>
        <v>0</v>
      </c>
      <c r="M504" s="77" t="str">
        <f>IF(ISERROR(L504/H504), "", L504/H504)</f>
        <v/>
      </c>
    </row>
    <row r="505" spans="1:13" x14ac:dyDescent="0.25">
      <c r="A505" s="40" t="str">
        <f t="shared" si="64"/>
        <v>SENTINEL LIGHTING</v>
      </c>
      <c r="C505" s="50"/>
      <c r="D505" s="116" t="s">
        <v>152</v>
      </c>
      <c r="E505" s="82"/>
      <c r="F505" s="92">
        <f>SUMIFS('2.2-TSC Current Schedule'!E:E,'2.2-TSC Current Schedule'!H:H,'5. 2-W Bill Impacts'!$E492,'2.2-TSC Current Schedule'!G:G,'5. 2-W Bill Impacts'!D505)</f>
        <v>0</v>
      </c>
      <c r="G505" s="94">
        <f>IF($E495&gt;0, $E495, $E494)</f>
        <v>29</v>
      </c>
      <c r="H505" s="78">
        <f>G505*F505</f>
        <v>0</v>
      </c>
      <c r="I505" s="93">
        <f>SUMIFS('4.2-TS Tariff Schedule'!E:E,'4.2-TS Tariff Schedule'!H:H,'5. 2-W Bill Impacts'!$E492,'4.2-TS Tariff Schedule'!G:G,'5. 2-W Bill Impacts'!D505)</f>
        <v>1.8120885699315707</v>
      </c>
      <c r="J505" s="115">
        <f>IF($E495&gt;0, $E495, $E494)</f>
        <v>29</v>
      </c>
      <c r="K505" s="78">
        <f>J505*I505</f>
        <v>52.550568528015553</v>
      </c>
      <c r="L505" s="78">
        <f t="shared" si="63"/>
        <v>52.550568528015553</v>
      </c>
      <c r="M505" s="77" t="str">
        <f>IF(ISERROR(L505/H505), "", L505/H505)</f>
        <v/>
      </c>
    </row>
    <row r="506" spans="1:13" x14ac:dyDescent="0.25">
      <c r="A506" s="40" t="str">
        <f t="shared" si="64"/>
        <v>SENTINEL LIGHTING</v>
      </c>
      <c r="B506" s="114" t="s">
        <v>206</v>
      </c>
      <c r="C506" s="50">
        <f>$B$38</f>
        <v>9</v>
      </c>
      <c r="D506" s="113" t="s">
        <v>205</v>
      </c>
      <c r="E506" s="102"/>
      <c r="F506" s="112"/>
      <c r="G506" s="100"/>
      <c r="H506" s="97">
        <f>SUM(H502:H505)</f>
        <v>1227.3011999999999</v>
      </c>
      <c r="I506" s="111"/>
      <c r="J506" s="106"/>
      <c r="K506" s="97">
        <f>SUM(K502:K505)</f>
        <v>1752.7854685280154</v>
      </c>
      <c r="L506" s="97">
        <f t="shared" si="63"/>
        <v>525.48426852801549</v>
      </c>
      <c r="M506" s="96">
        <f>IF((H506)=0,"",(L506/H506))</f>
        <v>0.42816243358029432</v>
      </c>
    </row>
    <row r="507" spans="1:13" x14ac:dyDescent="0.25">
      <c r="A507" s="40" t="str">
        <f t="shared" si="64"/>
        <v>SENTINEL LIGHTING</v>
      </c>
      <c r="C507" s="50"/>
      <c r="D507" s="110" t="s">
        <v>204</v>
      </c>
      <c r="E507" s="82"/>
      <c r="F507" s="93">
        <f>IF((E494*12&gt;=150000), 0, IF(E493="RPP",(F521*0.65+F522*0.17+F523*0.18),IF(E493="Non-RPP (Retailer)",F524,F525)))</f>
        <v>0</v>
      </c>
      <c r="G507" s="91">
        <f>IF(F507=0, 0, $E494*E496-E494)</f>
        <v>0</v>
      </c>
      <c r="H507" s="78">
        <f>G507*F507</f>
        <v>0</v>
      </c>
      <c r="I507" s="93">
        <f>IF((E494*12&gt;=150000), 0, IF(E493="RPP",(I521*0.65+I522*0.17+I523*0.18),IF(E493="Non-RPP (Retailer)",I524,I525)))</f>
        <v>0</v>
      </c>
      <c r="J507" s="91">
        <f>IF(I507=0, 0, E494*E497-E494)</f>
        <v>0</v>
      </c>
      <c r="K507" s="78">
        <f>J507*I507</f>
        <v>0</v>
      </c>
      <c r="L507" s="78">
        <f t="shared" si="63"/>
        <v>0</v>
      </c>
      <c r="M507" s="77" t="str">
        <f>IF(ISERROR(L507/H507), "", L507/H507)</f>
        <v/>
      </c>
    </row>
    <row r="508" spans="1:13" x14ac:dyDescent="0.25">
      <c r="A508" s="40" t="str">
        <f t="shared" si="64"/>
        <v>SENTINEL LIGHTING</v>
      </c>
      <c r="C508" s="50"/>
      <c r="D508" s="110" t="s">
        <v>90</v>
      </c>
      <c r="E508" s="82"/>
      <c r="F508" s="92">
        <f>SUMIFS('2.2-TSC Current Schedule'!E:E,'2.2-TSC Current Schedule'!H:H,'5. 2-W Bill Impacts'!$E492,'2.2-TSC Current Schedule'!G:G,'5. 2-W Bill Impacts'!D508)</f>
        <v>0</v>
      </c>
      <c r="G508" s="109">
        <f>IF($E495&gt;0, $E495, $E494)</f>
        <v>29</v>
      </c>
      <c r="H508" s="78">
        <f>G508*F508</f>
        <v>0</v>
      </c>
      <c r="I508" s="93">
        <f>SUMIFS('4.2-TS Tariff Schedule'!E:E,'4.2-TS Tariff Schedule'!H:H,'5. 2-W Bill Impacts'!$E492,'4.2-TS Tariff Schedule'!G:G,'5. 2-W Bill Impacts'!D508)</f>
        <v>-0.51305863323206469</v>
      </c>
      <c r="J508" s="109">
        <f>IF($E495&gt;0, $E495, $E494)</f>
        <v>29</v>
      </c>
      <c r="K508" s="78">
        <f>J508*I508</f>
        <v>-14.878700363729877</v>
      </c>
      <c r="L508" s="78">
        <f t="shared" si="63"/>
        <v>-14.878700363729877</v>
      </c>
      <c r="M508" s="77" t="str">
        <f>IF(ISERROR(L508/H508), "", L508/H508)</f>
        <v/>
      </c>
    </row>
    <row r="509" spans="1:13" x14ac:dyDescent="0.25">
      <c r="A509" s="40" t="str">
        <f t="shared" si="64"/>
        <v>SENTINEL LIGHTING</v>
      </c>
      <c r="C509" s="50"/>
      <c r="D509" s="110" t="s">
        <v>92</v>
      </c>
      <c r="E509" s="82"/>
      <c r="F509" s="92">
        <f>SUMIFS('2.2-TSC Current Schedule'!E:E,'2.2-TSC Current Schedule'!H:H,'5. 2-W Bill Impacts'!$E492,'2.2-TSC Current Schedule'!G:G,'5. 2-W Bill Impacts'!D509)</f>
        <v>1.4200000000000001E-2</v>
      </c>
      <c r="G509" s="109">
        <f>E494</f>
        <v>10000</v>
      </c>
      <c r="H509" s="78">
        <f>G509*F509</f>
        <v>142</v>
      </c>
      <c r="I509" s="93">
        <f>SUMIFS('4.2-TS Tariff Schedule'!E:E,'4.2-TS Tariff Schedule'!H:H,'5. 2-W Bill Impacts'!$E492,'4.2-TS Tariff Schedule'!G:G,'5. 2-W Bill Impacts'!D509)</f>
        <v>3.8237144354832221E-4</v>
      </c>
      <c r="J509" s="109">
        <f>E494</f>
        <v>10000</v>
      </c>
      <c r="K509" s="78">
        <f>J509*I509</f>
        <v>3.8237144354832222</v>
      </c>
      <c r="L509" s="78">
        <f t="shared" si="63"/>
        <v>-138.17628556451677</v>
      </c>
      <c r="M509" s="77">
        <f>IF(ISERROR(L509/H509), "", L509/H509)</f>
        <v>-0.97307243355293505</v>
      </c>
    </row>
    <row r="510" spans="1:13" x14ac:dyDescent="0.25">
      <c r="A510" s="40" t="str">
        <f t="shared" si="64"/>
        <v>SENTINEL LIGHTING</v>
      </c>
      <c r="C510" s="50"/>
      <c r="D510" s="108" t="s">
        <v>94</v>
      </c>
      <c r="E510" s="82"/>
      <c r="F510" s="92">
        <f>SUMIFS('2.2-TSC Current Schedule'!E:E,'2.2-TSC Current Schedule'!H:H,'5. 2-W Bill Impacts'!$E492,'2.2-TSC Current Schedule'!G:G,'5. 2-W Bill Impacts'!D510)</f>
        <v>0.71919999999999995</v>
      </c>
      <c r="G510" s="109">
        <f>IF($E495&gt;0, $E495, $E494)</f>
        <v>29</v>
      </c>
      <c r="H510" s="78">
        <f>G510*F510</f>
        <v>20.8568</v>
      </c>
      <c r="I510" s="93">
        <f>SUMIFS('4.2-TS Tariff Schedule'!E:E,'4.2-TS Tariff Schedule'!H:H,'5. 2-W Bill Impacts'!$E492,'4.2-TS Tariff Schedule'!G:G,'5. 2-W Bill Impacts'!D510)</f>
        <v>5.21E-2</v>
      </c>
      <c r="J510" s="109">
        <f>IF($E495&gt;0, $E495, $E494)</f>
        <v>29</v>
      </c>
      <c r="K510" s="78">
        <f>J510*I510</f>
        <v>1.5108999999999999</v>
      </c>
      <c r="L510" s="78">
        <f t="shared" si="63"/>
        <v>-19.3459</v>
      </c>
      <c r="M510" s="77">
        <f>IF(ISERROR(L510/H510), "", L510/H510)</f>
        <v>-0.92755839822024477</v>
      </c>
    </row>
    <row r="511" spans="1:13" x14ac:dyDescent="0.25">
      <c r="A511" s="40" t="str">
        <f t="shared" si="64"/>
        <v>SENTINEL LIGHTING</v>
      </c>
      <c r="C511" s="50"/>
      <c r="D511" s="108" t="s">
        <v>116</v>
      </c>
      <c r="E511" s="82"/>
      <c r="F511" s="92">
        <f>SUMIFS('2.2-TSC Current Schedule'!E:E,'2.2-TSC Current Schedule'!H:H,'5. 2-W Bill Impacts'!$E492,'2.2-TSC Current Schedule'!G:G,'5. 2-W Bill Impacts'!D511)</f>
        <v>0</v>
      </c>
      <c r="G511" s="94">
        <v>1</v>
      </c>
      <c r="H511" s="78">
        <f>G511*F511</f>
        <v>0</v>
      </c>
      <c r="I511" s="93">
        <f>SUMIFS('4.2-TS Tariff Schedule'!E:E,'4.2-TS Tariff Schedule'!H:H,'5. 2-W Bill Impacts'!$E492,'4.2-TS Tariff Schedule'!G:G,'5. 2-W Bill Impacts'!D511)</f>
        <v>0</v>
      </c>
      <c r="J511" s="94">
        <v>1</v>
      </c>
      <c r="K511" s="78">
        <f>J511*I511</f>
        <v>0</v>
      </c>
      <c r="L511" s="78">
        <f t="shared" si="63"/>
        <v>0</v>
      </c>
      <c r="M511" s="77" t="str">
        <f>IF(ISERROR(L511/H511), "", L511/H511)</f>
        <v/>
      </c>
    </row>
    <row r="512" spans="1:13" x14ac:dyDescent="0.25">
      <c r="A512" s="40" t="str">
        <f t="shared" si="64"/>
        <v>SENTINEL LIGHTING</v>
      </c>
      <c r="B512" s="76" t="s">
        <v>203</v>
      </c>
      <c r="C512" s="50">
        <f>$B$38</f>
        <v>9</v>
      </c>
      <c r="D512" s="103" t="s">
        <v>202</v>
      </c>
      <c r="E512" s="107"/>
      <c r="F512" s="101"/>
      <c r="G512" s="100"/>
      <c r="H512" s="97">
        <f>SUM(H506:H511)</f>
        <v>1390.1579999999999</v>
      </c>
      <c r="I512" s="99"/>
      <c r="J512" s="106"/>
      <c r="K512" s="97">
        <f>SUM(K506:K511)</f>
        <v>1743.2413825997687</v>
      </c>
      <c r="L512" s="97">
        <f t="shared" si="63"/>
        <v>353.08338259976881</v>
      </c>
      <c r="M512" s="96">
        <f>IF((H512)=0,"",(L512/H512))</f>
        <v>0.25398795144132452</v>
      </c>
    </row>
    <row r="513" spans="1:13" x14ac:dyDescent="0.25">
      <c r="A513" s="40" t="str">
        <f t="shared" si="64"/>
        <v>SENTINEL LIGHTING</v>
      </c>
      <c r="C513" s="50"/>
      <c r="D513" s="105" t="s">
        <v>88</v>
      </c>
      <c r="E513" s="82"/>
      <c r="F513" s="92">
        <f>SUMIFS('2.2-TSC Current Schedule'!E:E,'2.2-TSC Current Schedule'!H:H,'5. 2-W Bill Impacts'!$E492,'2.2-TSC Current Schedule'!G:G,'5. 2-W Bill Impacts'!D513)</f>
        <v>-0.43759999999999999</v>
      </c>
      <c r="G513" s="91">
        <f>IF($E495&gt;0, $E495, $E494*$E496)</f>
        <v>29</v>
      </c>
      <c r="H513" s="78">
        <f>G513*F513</f>
        <v>-12.6904</v>
      </c>
      <c r="I513" s="93">
        <f>SUMIFS('4.2-TS Tariff Schedule'!E:E,'4.2-TS Tariff Schedule'!H:H,'5. 2-W Bill Impacts'!$E492,'4.2-TS Tariff Schedule'!G:G,'5. 2-W Bill Impacts'!D513)</f>
        <v>1.5727</v>
      </c>
      <c r="J513" s="91">
        <f>IF($E495&gt;0, $E495, $E494*$E497)</f>
        <v>29</v>
      </c>
      <c r="K513" s="78">
        <f>J513*I513</f>
        <v>45.6083</v>
      </c>
      <c r="L513" s="78">
        <f t="shared" si="63"/>
        <v>58.298699999999997</v>
      </c>
      <c r="M513" s="77">
        <f>IF(ISERROR(L513/H513), "", L513/H513)</f>
        <v>-4.5939213893967086</v>
      </c>
    </row>
    <row r="514" spans="1:13" x14ac:dyDescent="0.25">
      <c r="A514" s="40" t="str">
        <f t="shared" si="64"/>
        <v>SENTINEL LIGHTING</v>
      </c>
      <c r="C514" s="50"/>
      <c r="D514" s="104" t="s">
        <v>86</v>
      </c>
      <c r="E514" s="82"/>
      <c r="F514" s="92">
        <f>SUMIFS('2.2-TSC Current Schedule'!E:E,'2.2-TSC Current Schedule'!H:H,'5. 2-W Bill Impacts'!$E492,'2.2-TSC Current Schedule'!G:G,'5. 2-W Bill Impacts'!D514)</f>
        <v>0.95440000000000003</v>
      </c>
      <c r="G514" s="91">
        <f>IF($E495&gt;0, $E495, $E494*$E496)</f>
        <v>29</v>
      </c>
      <c r="H514" s="78">
        <f>G514*F514</f>
        <v>27.677600000000002</v>
      </c>
      <c r="I514" s="93">
        <f>SUMIFS('4.2-TS Tariff Schedule'!E:E,'4.2-TS Tariff Schedule'!H:H,'5. 2-W Bill Impacts'!$E492,'4.2-TS Tariff Schedule'!G:G,'5. 2-W Bill Impacts'!D514)</f>
        <v>1.0356000000000001</v>
      </c>
      <c r="J514" s="91">
        <f>IF($E495&gt;0, $E495, $E494*$E497)</f>
        <v>29</v>
      </c>
      <c r="K514" s="78">
        <f>J514*I514</f>
        <v>30.032400000000003</v>
      </c>
      <c r="L514" s="78">
        <f t="shared" si="63"/>
        <v>2.3548000000000009</v>
      </c>
      <c r="M514" s="77">
        <f>IF(ISERROR(L514/H514), "", L514/H514)</f>
        <v>8.5079631181894405E-2</v>
      </c>
    </row>
    <row r="515" spans="1:13" x14ac:dyDescent="0.25">
      <c r="A515" s="40" t="str">
        <f t="shared" si="64"/>
        <v>SENTINEL LIGHTING</v>
      </c>
      <c r="B515" s="76" t="s">
        <v>201</v>
      </c>
      <c r="C515" s="50">
        <f>$B$38</f>
        <v>9</v>
      </c>
      <c r="D515" s="103" t="s">
        <v>200</v>
      </c>
      <c r="E515" s="102"/>
      <c r="F515" s="101"/>
      <c r="G515" s="100"/>
      <c r="H515" s="97">
        <f>SUM(H512:H514)</f>
        <v>1405.1451999999999</v>
      </c>
      <c r="I515" s="99"/>
      <c r="J515" s="98"/>
      <c r="K515" s="97">
        <f>SUM(K512:K514)</f>
        <v>1818.8820825997689</v>
      </c>
      <c r="L515" s="97">
        <f t="shared" si="63"/>
        <v>413.73688259976893</v>
      </c>
      <c r="M515" s="96">
        <f>IF((H515)=0,"",(L515/H515))</f>
        <v>0.29444422014164012</v>
      </c>
    </row>
    <row r="516" spans="1:13" x14ac:dyDescent="0.25">
      <c r="A516" s="40" t="str">
        <f t="shared" si="64"/>
        <v>SENTINEL LIGHTING</v>
      </c>
      <c r="C516" s="50"/>
      <c r="D516" s="95" t="s">
        <v>83</v>
      </c>
      <c r="E516" s="82"/>
      <c r="F516" s="92">
        <f>SUMIFS('2.2-TSC Current Schedule'!E:E,'2.2-TSC Current Schedule'!H:H,'5. 2-W Bill Impacts'!$E492,'2.2-TSC Current Schedule'!G:G,'5. 2-W Bill Impacts'!D516)</f>
        <v>3.2000000000000002E-3</v>
      </c>
      <c r="G516" s="91">
        <f>E494*E496</f>
        <v>10495.000000000002</v>
      </c>
      <c r="H516" s="78">
        <f t="shared" ref="H516:H523" si="65">G516*F516</f>
        <v>33.58400000000001</v>
      </c>
      <c r="I516" s="93">
        <f>SUMIFS('4.2-TS Tariff Schedule'!E:E,'4.2-TS Tariff Schedule'!H:H,'5. 2-W Bill Impacts'!$E492,'4.2-TS Tariff Schedule'!G:G,'5. 2-W Bill Impacts'!D516)</f>
        <v>3.2000000000000002E-3</v>
      </c>
      <c r="J516" s="91">
        <f>E494*E497</f>
        <v>10306.846499440269</v>
      </c>
      <c r="K516" s="78">
        <f t="shared" ref="K516:K523" si="66">J516*I516</f>
        <v>32.981908798208863</v>
      </c>
      <c r="L516" s="78">
        <f t="shared" si="63"/>
        <v>-0.60209120179114706</v>
      </c>
      <c r="M516" s="77">
        <f t="shared" ref="M516:M523" si="67">IF(ISERROR(L516/H516), "", L516/H516)</f>
        <v>-1.7927918109550585E-2</v>
      </c>
    </row>
    <row r="517" spans="1:13" x14ac:dyDescent="0.25">
      <c r="A517" s="40" t="str">
        <f t="shared" si="64"/>
        <v>SENTINEL LIGHTING</v>
      </c>
      <c r="C517" s="50"/>
      <c r="D517" s="95" t="s">
        <v>81</v>
      </c>
      <c r="E517" s="82"/>
      <c r="F517" s="92">
        <f>SUMIFS('2.2-TSC Current Schedule'!E:E,'2.2-TSC Current Schedule'!H:H,'5. 2-W Bill Impacts'!$E492,'2.2-TSC Current Schedule'!G:G,'5. 2-W Bill Impacts'!D517)</f>
        <v>4.0000000000000002E-4</v>
      </c>
      <c r="G517" s="91">
        <f>E494*E496</f>
        <v>10495.000000000002</v>
      </c>
      <c r="H517" s="78">
        <f t="shared" si="65"/>
        <v>4.1980000000000013</v>
      </c>
      <c r="I517" s="93">
        <f>SUMIFS('4.2-TS Tariff Schedule'!E:E,'4.2-TS Tariff Schedule'!H:H,'5. 2-W Bill Impacts'!$E492,'4.2-TS Tariff Schedule'!G:G,'5. 2-W Bill Impacts'!D517)</f>
        <v>4.0000000000000002E-4</v>
      </c>
      <c r="J517" s="91">
        <f>E494*E497</f>
        <v>10306.846499440269</v>
      </c>
      <c r="K517" s="78">
        <f t="shared" si="66"/>
        <v>4.1227385997761079</v>
      </c>
      <c r="L517" s="78">
        <f t="shared" si="63"/>
        <v>-7.5261400223893382E-2</v>
      </c>
      <c r="M517" s="77">
        <f t="shared" si="67"/>
        <v>-1.7927918109550585E-2</v>
      </c>
    </row>
    <row r="518" spans="1:13" x14ac:dyDescent="0.25">
      <c r="A518" s="40" t="str">
        <f t="shared" si="64"/>
        <v>SENTINEL LIGHTING</v>
      </c>
      <c r="C518" s="50"/>
      <c r="D518" s="95" t="s">
        <v>78</v>
      </c>
      <c r="E518" s="82"/>
      <c r="F518" s="92">
        <f>SUMIFS('2.2-TSC Current Schedule'!E:E,'2.2-TSC Current Schedule'!H:H,'5. 2-W Bill Impacts'!$E492,'2.2-TSC Current Schedule'!G:G,'5. 2-W Bill Impacts'!D518)</f>
        <v>2.9999999999999997E-4</v>
      </c>
      <c r="G518" s="91">
        <f>E494*E496</f>
        <v>10495.000000000002</v>
      </c>
      <c r="H518" s="78">
        <f t="shared" si="65"/>
        <v>3.1485000000000003</v>
      </c>
      <c r="I518" s="93">
        <f>SUMIFS('4.2-TS Tariff Schedule'!E:E,'4.2-TS Tariff Schedule'!H:H,'5. 2-W Bill Impacts'!$E492,'4.2-TS Tariff Schedule'!G:G,'5. 2-W Bill Impacts'!D518)</f>
        <v>2.9999999999999997E-4</v>
      </c>
      <c r="J518" s="91">
        <f>E494*E497</f>
        <v>10306.846499440269</v>
      </c>
      <c r="K518" s="78">
        <f t="shared" si="66"/>
        <v>3.0920539498320805</v>
      </c>
      <c r="L518" s="78">
        <f t="shared" si="63"/>
        <v>-5.6446050167919815E-2</v>
      </c>
      <c r="M518" s="77">
        <f t="shared" si="67"/>
        <v>-1.7927918109550519E-2</v>
      </c>
    </row>
    <row r="519" spans="1:13" x14ac:dyDescent="0.25">
      <c r="A519" s="40" t="str">
        <f t="shared" si="64"/>
        <v>SENTINEL LIGHTING</v>
      </c>
      <c r="C519" s="50"/>
      <c r="D519" s="63" t="s">
        <v>76</v>
      </c>
      <c r="E519" s="82"/>
      <c r="F519" s="92">
        <f>SUMIFS('2.2-TSC Current Schedule'!E:E,'2.2-TSC Current Schedule'!H:H,'5. 2-W Bill Impacts'!$E492,'2.2-TSC Current Schedule'!G:G,'5. 2-W Bill Impacts'!D519)</f>
        <v>0.25</v>
      </c>
      <c r="G519" s="94">
        <v>1</v>
      </c>
      <c r="H519" s="78">
        <f t="shared" si="65"/>
        <v>0.25</v>
      </c>
      <c r="I519" s="93">
        <f>SUMIFS('4.2-TS Tariff Schedule'!E:E,'4.2-TS Tariff Schedule'!H:H,'5. 2-W Bill Impacts'!$E492,'4.2-TS Tariff Schedule'!G:G,'5. 2-W Bill Impacts'!D519)</f>
        <v>0.25</v>
      </c>
      <c r="J519" s="78">
        <v>1</v>
      </c>
      <c r="K519" s="78">
        <f t="shared" si="66"/>
        <v>0.25</v>
      </c>
      <c r="L519" s="78">
        <f t="shared" si="63"/>
        <v>0</v>
      </c>
      <c r="M519" s="77">
        <f t="shared" si="67"/>
        <v>0</v>
      </c>
    </row>
    <row r="520" spans="1:13" x14ac:dyDescent="0.25">
      <c r="A520" s="40" t="str">
        <f t="shared" si="64"/>
        <v>SENTINEL LIGHTING</v>
      </c>
      <c r="C520" s="50"/>
      <c r="D520" s="63" t="s">
        <v>132</v>
      </c>
      <c r="E520" s="82"/>
      <c r="F520" s="92">
        <v>7.0000000000000001E-3</v>
      </c>
      <c r="G520" s="91">
        <f>E494</f>
        <v>10000</v>
      </c>
      <c r="H520" s="78">
        <f t="shared" si="65"/>
        <v>70</v>
      </c>
      <c r="I520" s="92">
        <v>7.0000000000000001E-3</v>
      </c>
      <c r="J520" s="91">
        <f>E494</f>
        <v>10000</v>
      </c>
      <c r="K520" s="78">
        <f t="shared" si="66"/>
        <v>70</v>
      </c>
      <c r="L520" s="78">
        <f t="shared" si="63"/>
        <v>0</v>
      </c>
      <c r="M520" s="77">
        <f t="shared" si="67"/>
        <v>0</v>
      </c>
    </row>
    <row r="521" spans="1:13" x14ac:dyDescent="0.25">
      <c r="A521" s="40" t="str">
        <f t="shared" si="64"/>
        <v>SENTINEL LIGHTING</v>
      </c>
      <c r="B521" s="76" t="s">
        <v>197</v>
      </c>
      <c r="C521" s="50"/>
      <c r="D521" s="83" t="s">
        <v>199</v>
      </c>
      <c r="E521" s="82"/>
      <c r="F521" s="138">
        <v>6.5000000000000002E-2</v>
      </c>
      <c r="G521" s="136">
        <f>IF($E$405="RPP",0.65*$E$494*$E$496,0)</f>
        <v>6821.7500000000009</v>
      </c>
      <c r="H521" s="79">
        <f t="shared" si="65"/>
        <v>443.41375000000005</v>
      </c>
      <c r="I521" s="137">
        <v>6.5000000000000002E-2</v>
      </c>
      <c r="J521" s="136">
        <f>IF($E$405="RPP",0.65*$E$494*E497,0)</f>
        <v>6699.4502246361753</v>
      </c>
      <c r="K521" s="79">
        <f t="shared" si="66"/>
        <v>435.46426460135143</v>
      </c>
      <c r="L521" s="78">
        <f t="shared" si="63"/>
        <v>-7.9494853986486191</v>
      </c>
      <c r="M521" s="77">
        <f t="shared" si="67"/>
        <v>-1.7927918109550321E-2</v>
      </c>
    </row>
    <row r="522" spans="1:13" x14ac:dyDescent="0.25">
      <c r="A522" s="40" t="str">
        <f t="shared" si="64"/>
        <v>SENTINEL LIGHTING</v>
      </c>
      <c r="B522" s="76" t="s">
        <v>197</v>
      </c>
      <c r="C522" s="50"/>
      <c r="D522" s="83" t="s">
        <v>198</v>
      </c>
      <c r="E522" s="82"/>
      <c r="F522" s="138">
        <v>9.5000000000000001E-2</v>
      </c>
      <c r="G522" s="136">
        <f>IF($E$405="RPP",0.17*$E$494*E496,0)</f>
        <v>1784.1500000000003</v>
      </c>
      <c r="H522" s="79">
        <f t="shared" si="65"/>
        <v>169.49425000000002</v>
      </c>
      <c r="I522" s="137">
        <v>9.5000000000000001E-2</v>
      </c>
      <c r="J522" s="136">
        <f>IF($E$405="RPP",0.17*$E$494*E497,0)</f>
        <v>1752.163904904846</v>
      </c>
      <c r="K522" s="79">
        <f t="shared" si="66"/>
        <v>166.45557096596039</v>
      </c>
      <c r="L522" s="78">
        <f t="shared" si="63"/>
        <v>-3.0386790340396317</v>
      </c>
      <c r="M522" s="77">
        <f t="shared" si="67"/>
        <v>-1.7927918109550214E-2</v>
      </c>
    </row>
    <row r="523" spans="1:13" x14ac:dyDescent="0.25">
      <c r="A523" s="40" t="str">
        <f t="shared" si="64"/>
        <v>SENTINEL LIGHTING</v>
      </c>
      <c r="B523" s="76" t="s">
        <v>197</v>
      </c>
      <c r="C523" s="50"/>
      <c r="D523" s="76" t="s">
        <v>196</v>
      </c>
      <c r="E523" s="82"/>
      <c r="F523" s="138">
        <v>0.13200000000000001</v>
      </c>
      <c r="G523" s="136">
        <f>IF($E$405="RPP",0.18*$E$494*E496,0)</f>
        <v>1889.1000000000001</v>
      </c>
      <c r="H523" s="79">
        <f t="shared" si="65"/>
        <v>249.36120000000003</v>
      </c>
      <c r="I523" s="137">
        <v>0.13200000000000001</v>
      </c>
      <c r="J523" s="136">
        <f>IF($E$405="RPP",0.18*$E$494*E497,0)</f>
        <v>1855.2323698992486</v>
      </c>
      <c r="K523" s="79">
        <f t="shared" si="66"/>
        <v>244.89067282670084</v>
      </c>
      <c r="L523" s="78">
        <f t="shared" si="63"/>
        <v>-4.4705271732991889</v>
      </c>
      <c r="M523" s="77">
        <f t="shared" si="67"/>
        <v>-1.7927918109550276E-2</v>
      </c>
    </row>
    <row r="524" spans="1:13" x14ac:dyDescent="0.25">
      <c r="A524" s="40" t="str">
        <f t="shared" si="64"/>
        <v>SENTINEL LIGHTING</v>
      </c>
      <c r="B524" s="40" t="s">
        <v>195</v>
      </c>
      <c r="C524" s="50"/>
      <c r="D524" s="83" t="s">
        <v>194</v>
      </c>
      <c r="E524" s="82"/>
      <c r="F524" s="81"/>
      <c r="G524" s="80"/>
      <c r="H524" s="79"/>
      <c r="I524" s="81"/>
      <c r="J524" s="80"/>
      <c r="K524" s="79"/>
      <c r="L524" s="78"/>
      <c r="M524" s="77"/>
    </row>
    <row r="525" spans="1:13" ht="13.8" thickBot="1" x14ac:dyDescent="0.3">
      <c r="A525" s="40" t="str">
        <f t="shared" si="64"/>
        <v>SENTINEL LIGHTING</v>
      </c>
      <c r="B525" s="40" t="s">
        <v>188</v>
      </c>
      <c r="C525" s="50"/>
      <c r="D525" s="83" t="s">
        <v>193</v>
      </c>
      <c r="E525" s="82"/>
      <c r="F525" s="81"/>
      <c r="G525" s="80"/>
      <c r="H525" s="79"/>
      <c r="I525" s="81"/>
      <c r="J525" s="80"/>
      <c r="K525" s="79"/>
      <c r="L525" s="78"/>
      <c r="M525" s="77"/>
    </row>
    <row r="526" spans="1:13" ht="13.8" thickBot="1" x14ac:dyDescent="0.3">
      <c r="A526" s="40" t="str">
        <f t="shared" si="64"/>
        <v>SENTINEL LIGHTING</v>
      </c>
      <c r="B526" s="76"/>
      <c r="C526" s="50"/>
      <c r="D526" s="49"/>
      <c r="E526" s="48"/>
      <c r="F526" s="74"/>
      <c r="G526" s="75"/>
      <c r="H526" s="72"/>
      <c r="I526" s="74"/>
      <c r="J526" s="73"/>
      <c r="K526" s="72"/>
      <c r="L526" s="71"/>
      <c r="M526" s="70"/>
    </row>
    <row r="527" spans="1:13" x14ac:dyDescent="0.25">
      <c r="A527" s="40" t="str">
        <f t="shared" si="64"/>
        <v>SENTINEL LIGHTING</v>
      </c>
      <c r="B527" s="40" t="s">
        <v>188</v>
      </c>
      <c r="C527" s="50"/>
      <c r="D527" s="69" t="s">
        <v>225</v>
      </c>
      <c r="E527" s="63"/>
      <c r="F527" s="61"/>
      <c r="G527" s="62"/>
      <c r="H527" s="67">
        <f>SUM(H515:H526)</f>
        <v>2378.5949000000001</v>
      </c>
      <c r="I527" s="68"/>
      <c r="J527" s="68"/>
      <c r="K527" s="67">
        <f>SUM(K515:K526)</f>
        <v>2776.1392923415983</v>
      </c>
      <c r="L527" s="66">
        <f>K527-H527</f>
        <v>397.54439234159827</v>
      </c>
      <c r="M527" s="65">
        <f>IF((H527)=0,"",(L527/H527))</f>
        <v>0.16713413130651136</v>
      </c>
    </row>
    <row r="528" spans="1:13" x14ac:dyDescent="0.25">
      <c r="A528" s="40" t="str">
        <f t="shared" si="64"/>
        <v>SENTINEL LIGHTING</v>
      </c>
      <c r="B528" s="40" t="s">
        <v>188</v>
      </c>
      <c r="C528" s="50"/>
      <c r="D528" s="64" t="s">
        <v>192</v>
      </c>
      <c r="E528" s="63"/>
      <c r="F528" s="61">
        <v>0.13</v>
      </c>
      <c r="G528" s="62"/>
      <c r="H528" s="59">
        <f>H527*F528</f>
        <v>309.21733700000004</v>
      </c>
      <c r="I528" s="61">
        <v>0.13</v>
      </c>
      <c r="J528" s="60"/>
      <c r="K528" s="59">
        <f>K527*I528</f>
        <v>360.89810800440779</v>
      </c>
      <c r="L528" s="58">
        <f>K528-H528</f>
        <v>51.680771004407745</v>
      </c>
      <c r="M528" s="57">
        <f>IF((H528)=0,"",(L528/H528))</f>
        <v>0.16713413130651125</v>
      </c>
    </row>
    <row r="529" spans="1:20" x14ac:dyDescent="0.25">
      <c r="A529" s="40" t="str">
        <f t="shared" si="64"/>
        <v>SENTINEL LIGHTING</v>
      </c>
      <c r="B529" s="40" t="s">
        <v>188</v>
      </c>
      <c r="C529" s="50"/>
      <c r="D529" s="64" t="s">
        <v>191</v>
      </c>
      <c r="E529" s="63"/>
      <c r="F529" s="61">
        <v>0.08</v>
      </c>
      <c r="G529" s="62"/>
      <c r="H529" s="59">
        <v>0</v>
      </c>
      <c r="I529" s="61">
        <v>0.08</v>
      </c>
      <c r="J529" s="60"/>
      <c r="K529" s="59">
        <v>0</v>
      </c>
      <c r="L529" s="58"/>
      <c r="M529" s="57"/>
    </row>
    <row r="530" spans="1:20" ht="13.8" thickBot="1" x14ac:dyDescent="0.3">
      <c r="A530" s="40" t="str">
        <f t="shared" si="64"/>
        <v>SENTINEL LIGHTING</v>
      </c>
      <c r="B530" s="40" t="s">
        <v>190</v>
      </c>
      <c r="C530" s="50">
        <f>$B$38</f>
        <v>9</v>
      </c>
      <c r="D530" s="264" t="s">
        <v>224</v>
      </c>
      <c r="E530" s="264"/>
      <c r="F530" s="56"/>
      <c r="G530" s="55"/>
      <c r="H530" s="53">
        <f>H527+H528+H529</f>
        <v>2687.8122370000001</v>
      </c>
      <c r="I530" s="54"/>
      <c r="J530" s="54"/>
      <c r="K530" s="53">
        <f>K527+K528+K529</f>
        <v>3137.0374003460061</v>
      </c>
      <c r="L530" s="52">
        <f>K530-H530</f>
        <v>449.22516334600596</v>
      </c>
      <c r="M530" s="51">
        <f>IF((H530)=0,"",(L530/H530))</f>
        <v>0.16713413130651134</v>
      </c>
    </row>
    <row r="531" spans="1:20" ht="13.8" thickBot="1" x14ac:dyDescent="0.3">
      <c r="A531" s="40" t="str">
        <f t="shared" si="64"/>
        <v>SENTINEL LIGHTING</v>
      </c>
      <c r="B531" s="40" t="s">
        <v>188</v>
      </c>
      <c r="C531" s="50"/>
      <c r="D531" s="49"/>
      <c r="E531" s="48"/>
      <c r="F531" s="46"/>
      <c r="G531" s="47"/>
      <c r="H531" s="44"/>
      <c r="I531" s="46"/>
      <c r="J531" s="45"/>
      <c r="K531" s="44"/>
      <c r="L531" s="43"/>
      <c r="M531" s="42"/>
    </row>
    <row r="536" spans="1:20" x14ac:dyDescent="0.25">
      <c r="D536" s="128" t="s">
        <v>223</v>
      </c>
      <c r="E536" s="265" t="str">
        <f>D39</f>
        <v>EMBEDDED DISTRIBUTOR - BPI</v>
      </c>
      <c r="F536" s="265"/>
      <c r="G536" s="265"/>
      <c r="H536" s="265"/>
      <c r="I536" s="265"/>
      <c r="J536" s="265"/>
      <c r="K536" s="40" t="str">
        <f>IF(N211="DEMAND - INTERVAL","RTSR - INTERVAL METERED","")</f>
        <v/>
      </c>
      <c r="T536" s="40" t="s">
        <v>222</v>
      </c>
    </row>
    <row r="537" spans="1:20" x14ac:dyDescent="0.25">
      <c r="D537" s="128" t="s">
        <v>221</v>
      </c>
      <c r="E537" s="266" t="str">
        <f>H39</f>
        <v>Non-RPP (Other)</v>
      </c>
      <c r="F537" s="266"/>
      <c r="G537" s="266"/>
      <c r="H537" s="135"/>
      <c r="I537" s="135"/>
    </row>
    <row r="538" spans="1:20" ht="15.6" x14ac:dyDescent="0.25">
      <c r="D538" s="128" t="s">
        <v>220</v>
      </c>
      <c r="E538" s="132">
        <f>K39</f>
        <v>50000</v>
      </c>
      <c r="F538" s="134" t="s">
        <v>219</v>
      </c>
      <c r="G538" s="76"/>
      <c r="J538" s="133"/>
      <c r="K538" s="133"/>
      <c r="L538" s="133"/>
      <c r="M538" s="133"/>
    </row>
    <row r="539" spans="1:20" ht="15.6" x14ac:dyDescent="0.3">
      <c r="D539" s="128" t="s">
        <v>218</v>
      </c>
      <c r="E539" s="132">
        <f>L39</f>
        <v>27</v>
      </c>
      <c r="F539" s="131" t="s">
        <v>217</v>
      </c>
      <c r="G539" s="130"/>
      <c r="H539" s="129"/>
      <c r="I539" s="129"/>
      <c r="J539" s="129"/>
    </row>
    <row r="540" spans="1:20" x14ac:dyDescent="0.25">
      <c r="D540" s="128" t="s">
        <v>216</v>
      </c>
      <c r="E540" s="127">
        <f>I39</f>
        <v>1.0389999999999899</v>
      </c>
    </row>
    <row r="541" spans="1:20" x14ac:dyDescent="0.25">
      <c r="D541" s="128" t="s">
        <v>215</v>
      </c>
      <c r="E541" s="127">
        <f>J39</f>
        <v>1.0203778034445801</v>
      </c>
    </row>
    <row r="542" spans="1:20" x14ac:dyDescent="0.25">
      <c r="D542" s="76"/>
    </row>
    <row r="543" spans="1:20" x14ac:dyDescent="0.25">
      <c r="D543" s="76"/>
      <c r="E543" s="126"/>
      <c r="F543" s="267" t="s">
        <v>214</v>
      </c>
      <c r="G543" s="268"/>
      <c r="H543" s="269"/>
      <c r="I543" s="267" t="s">
        <v>139</v>
      </c>
      <c r="J543" s="268"/>
      <c r="K543" s="269"/>
      <c r="L543" s="267" t="s">
        <v>213</v>
      </c>
      <c r="M543" s="269"/>
    </row>
    <row r="544" spans="1:20" x14ac:dyDescent="0.25">
      <c r="D544" s="76"/>
      <c r="E544" s="270"/>
      <c r="F544" s="125" t="s">
        <v>212</v>
      </c>
      <c r="G544" s="125" t="s">
        <v>211</v>
      </c>
      <c r="H544" s="123" t="s">
        <v>210</v>
      </c>
      <c r="I544" s="125" t="s">
        <v>212</v>
      </c>
      <c r="J544" s="124" t="s">
        <v>211</v>
      </c>
      <c r="K544" s="123" t="s">
        <v>210</v>
      </c>
      <c r="L544" s="272" t="s">
        <v>209</v>
      </c>
      <c r="M544" s="274" t="s">
        <v>208</v>
      </c>
    </row>
    <row r="545" spans="1:13" x14ac:dyDescent="0.25">
      <c r="D545" s="76"/>
      <c r="E545" s="271"/>
      <c r="F545" s="122" t="s">
        <v>207</v>
      </c>
      <c r="G545" s="122"/>
      <c r="H545" s="121" t="s">
        <v>207</v>
      </c>
      <c r="I545" s="122" t="s">
        <v>207</v>
      </c>
      <c r="J545" s="121"/>
      <c r="K545" s="121" t="s">
        <v>207</v>
      </c>
      <c r="L545" s="273"/>
      <c r="M545" s="275"/>
    </row>
    <row r="546" spans="1:13" x14ac:dyDescent="0.25">
      <c r="A546" s="40" t="str">
        <f>A370</f>
        <v>GENERAL SERVICE 50 TO 999 KW SERVICE CLASSIFICATION</v>
      </c>
      <c r="C546" s="50"/>
      <c r="D546" s="120" t="s">
        <v>97</v>
      </c>
      <c r="E546" s="82"/>
      <c r="F546" s="92">
        <f>SUMIFS('2.2-TSC Current Schedule'!E:E,'2.2-TSC Current Schedule'!H:H,'5. 2-W Bill Impacts'!$A546,'2.2-TSC Current Schedule'!G:G,'5. 2-W Bill Impacts'!D546)</f>
        <v>96.98</v>
      </c>
      <c r="G546" s="94">
        <v>1</v>
      </c>
      <c r="H546" s="78">
        <f>G546*F546</f>
        <v>96.98</v>
      </c>
      <c r="I546" s="93">
        <f>SUMIFS('4.2-TS Tariff Schedule'!E:E,'4.2-TS Tariff Schedule'!H:H,'5. 2-W Bill Impacts'!$E535,'4.2-TS Tariff Schedule'!G:G,'5. 2-W Bill Impacts'!D546)</f>
        <v>0</v>
      </c>
      <c r="J546" s="115">
        <f>G546</f>
        <v>1</v>
      </c>
      <c r="K546" s="78">
        <f>J546*I546</f>
        <v>0</v>
      </c>
      <c r="L546" s="78">
        <f t="shared" ref="L546:L564" si="68">K546-H546</f>
        <v>-96.98</v>
      </c>
      <c r="M546" s="77">
        <f>IF(ISERROR(L546/H546), "", L546/H546)</f>
        <v>-1</v>
      </c>
    </row>
    <row r="547" spans="1:13" x14ac:dyDescent="0.25">
      <c r="A547" s="40" t="str">
        <f>A546</f>
        <v>GENERAL SERVICE 50 TO 999 KW SERVICE CLASSIFICATION</v>
      </c>
      <c r="C547" s="50"/>
      <c r="D547" s="120" t="s">
        <v>96</v>
      </c>
      <c r="E547" s="82"/>
      <c r="F547" s="92">
        <f>SUMIFS('2.2-TSC Current Schedule'!E:E,'2.2-TSC Current Schedule'!H:H,'5. 2-W Bill Impacts'!$A547,'2.2-TSC Current Schedule'!G:G,'5. 2-W Bill Impacts'!D547)</f>
        <v>3.9297</v>
      </c>
      <c r="G547" s="94">
        <f>IF($E539&gt;0, $E539, $E538)</f>
        <v>27</v>
      </c>
      <c r="H547" s="78">
        <f>G547*F547</f>
        <v>106.1019</v>
      </c>
      <c r="I547" s="93">
        <f>SUMIFS('4.2-TS Tariff Schedule'!E:E,'4.2-TS Tariff Schedule'!H:H,'5. 2-W Bill Impacts'!$E536,'4.2-TS Tariff Schedule'!G:G,'5. 2-W Bill Impacts'!D547)</f>
        <v>11.7019</v>
      </c>
      <c r="J547" s="115">
        <f>IF($E539&gt;0, $E539, $E538)</f>
        <v>27</v>
      </c>
      <c r="K547" s="78">
        <f>J547*I547</f>
        <v>315.9513</v>
      </c>
      <c r="L547" s="78">
        <f t="shared" si="68"/>
        <v>209.8494</v>
      </c>
      <c r="M547" s="77">
        <f>IF(ISERROR(L547/H547), "", L547/H547)</f>
        <v>1.9778100109423111</v>
      </c>
    </row>
    <row r="548" spans="1:13" x14ac:dyDescent="0.25">
      <c r="A548" s="40" t="str">
        <f>A547</f>
        <v>GENERAL SERVICE 50 TO 999 KW SERVICE CLASSIFICATION</v>
      </c>
      <c r="C548" s="50"/>
      <c r="D548" s="119" t="s">
        <v>118</v>
      </c>
      <c r="E548" s="82"/>
      <c r="F548" s="118">
        <f>SUMIFS('2.2-TSC Current Schedule'!E:E,'2.2-TSC Current Schedule'!H:H,'5. 2-W Bill Impacts'!$A548,'2.2-TSC Current Schedule'!G:G,'5. 2-W Bill Impacts'!D548)</f>
        <v>0</v>
      </c>
      <c r="G548" s="94">
        <v>1</v>
      </c>
      <c r="H548" s="78">
        <f>G548*F548</f>
        <v>0</v>
      </c>
      <c r="I548" s="117">
        <f>SUMIFS('4.2-TS Tariff Schedule'!E:E,'4.2-TS Tariff Schedule'!H:H,'5. 2-W Bill Impacts'!$E536,'4.2-TS Tariff Schedule'!G:G,'5. 2-W Bill Impacts'!D548)</f>
        <v>0</v>
      </c>
      <c r="J548" s="115">
        <f>G548</f>
        <v>1</v>
      </c>
      <c r="K548" s="78">
        <f>J548*I548</f>
        <v>0</v>
      </c>
      <c r="L548" s="78">
        <f t="shared" si="68"/>
        <v>0</v>
      </c>
      <c r="M548" s="77" t="str">
        <f>IF(ISERROR(L548/H548), "", L548/H548)</f>
        <v/>
      </c>
    </row>
    <row r="549" spans="1:13" x14ac:dyDescent="0.25">
      <c r="A549" s="40" t="str">
        <f>A548</f>
        <v>GENERAL SERVICE 50 TO 999 KW SERVICE CLASSIFICATION</v>
      </c>
      <c r="C549" s="50"/>
      <c r="D549" s="116" t="s">
        <v>152</v>
      </c>
      <c r="E549" s="82"/>
      <c r="F549" s="92">
        <f>SUMIFS('2.2-TSC Current Schedule'!E:E,'2.2-TSC Current Schedule'!H:H,'5. 2-W Bill Impacts'!$A549,'2.2-TSC Current Schedule'!G:G,'5. 2-W Bill Impacts'!D549)</f>
        <v>0</v>
      </c>
      <c r="G549" s="94">
        <f>IF($E539&gt;0, $E539, $E538)</f>
        <v>27</v>
      </c>
      <c r="H549" s="78">
        <f>G549*F549</f>
        <v>0</v>
      </c>
      <c r="I549" s="93">
        <f>SUMIFS('4.2-TS Tariff Schedule'!E:E,'4.2-TS Tariff Schedule'!H:H,'5. 2-W Bill Impacts'!$E536,'4.2-TS Tariff Schedule'!G:G,'5. 2-W Bill Impacts'!D549)</f>
        <v>0.10685275859694122</v>
      </c>
      <c r="J549" s="115">
        <f>IF($E539&gt;0, $E539, $E538)</f>
        <v>27</v>
      </c>
      <c r="K549" s="78">
        <f>J549*I549</f>
        <v>2.8850244821174131</v>
      </c>
      <c r="L549" s="78">
        <f t="shared" si="68"/>
        <v>2.8850244821174131</v>
      </c>
      <c r="M549" s="77" t="str">
        <f>IF(ISERROR(L549/H549), "", L549/H549)</f>
        <v/>
      </c>
    </row>
    <row r="550" spans="1:13" x14ac:dyDescent="0.25">
      <c r="A550" s="40" t="str">
        <f>$E$536</f>
        <v>EMBEDDED DISTRIBUTOR - BPI</v>
      </c>
      <c r="B550" s="114" t="s">
        <v>206</v>
      </c>
      <c r="C550" s="50">
        <f>$B$39</f>
        <v>10</v>
      </c>
      <c r="D550" s="113" t="s">
        <v>205</v>
      </c>
      <c r="E550" s="102"/>
      <c r="F550" s="112"/>
      <c r="G550" s="100"/>
      <c r="H550" s="97">
        <f>SUM(H546:H549)</f>
        <v>203.08190000000002</v>
      </c>
      <c r="I550" s="111"/>
      <c r="J550" s="106"/>
      <c r="K550" s="97">
        <f>SUM(K546:K549)</f>
        <v>318.83632448211739</v>
      </c>
      <c r="L550" s="97">
        <f t="shared" si="68"/>
        <v>115.75442448211737</v>
      </c>
      <c r="M550" s="96">
        <f>IF((H550)=0,"",(L550/H550))</f>
        <v>0.56998887878298043</v>
      </c>
    </row>
    <row r="551" spans="1:13" x14ac:dyDescent="0.25">
      <c r="A551" s="40" t="str">
        <f>A549</f>
        <v>GENERAL SERVICE 50 TO 999 KW SERVICE CLASSIFICATION</v>
      </c>
      <c r="C551" s="50"/>
      <c r="D551" s="110" t="s">
        <v>204</v>
      </c>
      <c r="E551" s="82"/>
      <c r="F551" s="93">
        <f>SUMIFS('2.2-TSC Current Schedule'!E:E,'2.2-TSC Current Schedule'!H:H,'5. 2-W Bill Impacts'!$A551,'2.2-TSC Current Schedule'!G:G,'5. 2-W Bill Impacts'!D551)</f>
        <v>0</v>
      </c>
      <c r="G551" s="91">
        <f>IF(F551=0, 0, $E538*E540-E538)</f>
        <v>0</v>
      </c>
      <c r="H551" s="78">
        <f>G551*F551</f>
        <v>0</v>
      </c>
      <c r="I551" s="93">
        <f>IF((E538*12&gt;=150000), 0, IF(E537="RPP",(I565*0.65+I566*0.17+I567*0.18),IF(E537="Non-RPP (Retailer)",I568,I569)))</f>
        <v>0</v>
      </c>
      <c r="J551" s="91">
        <f>IF(I551=0, 0, E538*E541-E538)</f>
        <v>0</v>
      </c>
      <c r="K551" s="78">
        <f>J551*I551</f>
        <v>0</v>
      </c>
      <c r="L551" s="78">
        <f t="shared" si="68"/>
        <v>0</v>
      </c>
      <c r="M551" s="77" t="str">
        <f>IF(ISERROR(L551/H551), "", L551/H551)</f>
        <v/>
      </c>
    </row>
    <row r="552" spans="1:13" x14ac:dyDescent="0.25">
      <c r="A552" s="40" t="str">
        <f>A551</f>
        <v>GENERAL SERVICE 50 TO 999 KW SERVICE CLASSIFICATION</v>
      </c>
      <c r="C552" s="50"/>
      <c r="D552" s="110" t="s">
        <v>90</v>
      </c>
      <c r="E552" s="82"/>
      <c r="F552" s="92">
        <f>SUMIFS('2.2-TSC Current Schedule'!E:E,'2.2-TSC Current Schedule'!H:H,'5. 2-W Bill Impacts'!$A552,'2.2-TSC Current Schedule'!G:G,'5. 2-W Bill Impacts'!D552)</f>
        <v>-2.8760694640552322</v>
      </c>
      <c r="G552" s="109">
        <f>IF($E539&gt;0, $E539, $E538)</f>
        <v>27</v>
      </c>
      <c r="H552" s="78">
        <f>G552*F552</f>
        <v>-77.653875529491273</v>
      </c>
      <c r="I552" s="93">
        <f>SUMIFS('4.2-TS Tariff Schedule'!E:E,'4.2-TS Tariff Schedule'!H:H,'5. 2-W Bill Impacts'!$E536,'4.2-TS Tariff Schedule'!G:G,'5. 2-W Bill Impacts'!D552)</f>
        <v>-0.4482050853401246</v>
      </c>
      <c r="J552" s="109">
        <f>IF($E539&gt;0, $E539, $E538)</f>
        <v>27</v>
      </c>
      <c r="K552" s="78">
        <f>J552*I552</f>
        <v>-12.101537304183363</v>
      </c>
      <c r="L552" s="78">
        <f t="shared" si="68"/>
        <v>65.552338225307906</v>
      </c>
      <c r="M552" s="77">
        <f>IF(ISERROR(L552/H552), "", L552/H552)</f>
        <v>-0.84416054933938922</v>
      </c>
    </row>
    <row r="553" spans="1:13" x14ac:dyDescent="0.25">
      <c r="A553" s="40" t="str">
        <f>A552</f>
        <v>GENERAL SERVICE 50 TO 999 KW SERVICE CLASSIFICATION</v>
      </c>
      <c r="C553" s="50"/>
      <c r="D553" s="110" t="s">
        <v>92</v>
      </c>
      <c r="E553" s="82"/>
      <c r="F553" s="92">
        <f>SUMIFS('2.2-TSC Current Schedule'!E:E,'2.2-TSC Current Schedule'!H:H,'5. 2-W Bill Impacts'!$A553,'2.2-TSC Current Schedule'!G:G,'5. 2-W Bill Impacts'!D553)</f>
        <v>1.4200000000000001E-2</v>
      </c>
      <c r="G553" s="109">
        <f>E538</f>
        <v>50000</v>
      </c>
      <c r="H553" s="78">
        <f>G553*F553</f>
        <v>710</v>
      </c>
      <c r="I553" s="93">
        <f>SUMIFS('4.2-TS Tariff Schedule'!E:E,'4.2-TS Tariff Schedule'!H:H,'5. 2-W Bill Impacts'!$E536,'4.2-TS Tariff Schedule'!G:G,'5. 2-W Bill Impacts'!D553)</f>
        <v>3.8237144354832221E-4</v>
      </c>
      <c r="J553" s="109">
        <f>E538</f>
        <v>50000</v>
      </c>
      <c r="K553" s="78">
        <f>J553*I553</f>
        <v>19.118572177416109</v>
      </c>
      <c r="L553" s="78">
        <f t="shared" si="68"/>
        <v>-690.88142782258387</v>
      </c>
      <c r="M553" s="77">
        <f>IF(ISERROR(L553/H553), "", L553/H553)</f>
        <v>-0.97307243355293505</v>
      </c>
    </row>
    <row r="554" spans="1:13" x14ac:dyDescent="0.25">
      <c r="A554" s="40" t="str">
        <f>A553</f>
        <v>GENERAL SERVICE 50 TO 999 KW SERVICE CLASSIFICATION</v>
      </c>
      <c r="C554" s="50"/>
      <c r="D554" s="108" t="s">
        <v>94</v>
      </c>
      <c r="E554" s="82"/>
      <c r="F554" s="92">
        <f>SUMIFS('2.2-TSC Current Schedule'!E:E,'2.2-TSC Current Schedule'!H:H,'5. 2-W Bill Impacts'!$A554,'2.2-TSC Current Schedule'!G:G,'5. 2-W Bill Impacts'!D554)</f>
        <v>1.1222000000000001</v>
      </c>
      <c r="G554" s="109">
        <f>IF($E539&gt;0, $E539, $E538)</f>
        <v>27</v>
      </c>
      <c r="H554" s="78">
        <f>G554*F554</f>
        <v>30.299400000000002</v>
      </c>
      <c r="I554" s="93">
        <f>SUMIFS('4.2-TS Tariff Schedule'!E:E,'4.2-TS Tariff Schedule'!H:H,'5. 2-W Bill Impacts'!$E536,'4.2-TS Tariff Schedule'!G:G,'5. 2-W Bill Impacts'!D554)</f>
        <v>0</v>
      </c>
      <c r="J554" s="109">
        <f>IF($E539&gt;0, $E539, $E538)</f>
        <v>27</v>
      </c>
      <c r="K554" s="78">
        <f>J554*I554</f>
        <v>0</v>
      </c>
      <c r="L554" s="78">
        <f t="shared" si="68"/>
        <v>-30.299400000000002</v>
      </c>
      <c r="M554" s="77">
        <f>IF(ISERROR(L554/H554), "", L554/H554)</f>
        <v>-1</v>
      </c>
    </row>
    <row r="555" spans="1:13" x14ac:dyDescent="0.25">
      <c r="A555" s="40" t="str">
        <f>A554</f>
        <v>GENERAL SERVICE 50 TO 999 KW SERVICE CLASSIFICATION</v>
      </c>
      <c r="C555" s="50"/>
      <c r="D555" s="108" t="s">
        <v>116</v>
      </c>
      <c r="E555" s="82"/>
      <c r="F555" s="92">
        <f>SUMIFS('2.2-TSC Current Schedule'!E:E,'2.2-TSC Current Schedule'!H:H,'5. 2-W Bill Impacts'!$A555,'2.2-TSC Current Schedule'!G:G,'5. 2-W Bill Impacts'!D555)</f>
        <v>0</v>
      </c>
      <c r="G555" s="94">
        <v>1</v>
      </c>
      <c r="H555" s="78">
        <f>G555*F555</f>
        <v>0</v>
      </c>
      <c r="I555" s="93">
        <f>SUMIFS('4.2-TS Tariff Schedule'!E:E,'4.2-TS Tariff Schedule'!H:H,'5. 2-W Bill Impacts'!$E536,'4.2-TS Tariff Schedule'!G:G,'5. 2-W Bill Impacts'!D555)</f>
        <v>0</v>
      </c>
      <c r="J555" s="94">
        <v>1</v>
      </c>
      <c r="K555" s="78">
        <f>J555*I555</f>
        <v>0</v>
      </c>
      <c r="L555" s="78">
        <f t="shared" si="68"/>
        <v>0</v>
      </c>
      <c r="M555" s="77" t="str">
        <f>IF(ISERROR(L555/H555), "", L555/H555)</f>
        <v/>
      </c>
    </row>
    <row r="556" spans="1:13" x14ac:dyDescent="0.25">
      <c r="A556" s="40" t="str">
        <f>A550</f>
        <v>EMBEDDED DISTRIBUTOR - BPI</v>
      </c>
      <c r="B556" s="76" t="s">
        <v>203</v>
      </c>
      <c r="C556" s="50">
        <f>$B$39</f>
        <v>10</v>
      </c>
      <c r="D556" s="103" t="s">
        <v>202</v>
      </c>
      <c r="E556" s="107"/>
      <c r="F556" s="101"/>
      <c r="G556" s="100"/>
      <c r="H556" s="97">
        <f>SUM(H550:H555)</f>
        <v>865.72742447050871</v>
      </c>
      <c r="I556" s="99"/>
      <c r="J556" s="106"/>
      <c r="K556" s="97">
        <f>SUM(K550:K555)</f>
        <v>325.85335935535016</v>
      </c>
      <c r="L556" s="97">
        <f t="shared" si="68"/>
        <v>-539.8740651151586</v>
      </c>
      <c r="M556" s="96">
        <f>IF((H556)=0,"",(L556/H556))</f>
        <v>-0.62360744254504041</v>
      </c>
    </row>
    <row r="557" spans="1:13" x14ac:dyDescent="0.25">
      <c r="A557" s="40" t="s">
        <v>107</v>
      </c>
      <c r="C557" s="50"/>
      <c r="D557" s="105" t="s">
        <v>88</v>
      </c>
      <c r="E557" s="82"/>
      <c r="F557" s="92">
        <f>SUMIFS('2.2-TSC Current Schedule'!E:E,'2.2-TSC Current Schedule'!H:H,'5. 2-W Bill Impacts'!$A557,'2.2-TSC Current Schedule'!G:G,'5. 2-W Bill Impacts'!D557)</f>
        <v>2.3643999999999998</v>
      </c>
      <c r="G557" s="91">
        <f>IF($E539&gt;0, $E539, $E538*$E540)</f>
        <v>27</v>
      </c>
      <c r="H557" s="78">
        <f>G557*F557</f>
        <v>63.838799999999992</v>
      </c>
      <c r="I557" s="93">
        <f>SUMIFS('4.2-TS Tariff Schedule'!E:E,'4.2-TS Tariff Schedule'!H:H,'5. 2-W Bill Impacts'!$E536,'4.2-TS Tariff Schedule'!G:G,'5. 2-W Bill Impacts'!D557)</f>
        <v>2.2633000000000001</v>
      </c>
      <c r="J557" s="91">
        <f>IF($E539&gt;0, $E539, $E538*$E541)</f>
        <v>27</v>
      </c>
      <c r="K557" s="78">
        <f>J557*I557</f>
        <v>61.109100000000005</v>
      </c>
      <c r="L557" s="78">
        <f t="shared" si="68"/>
        <v>-2.7296999999999869</v>
      </c>
      <c r="M557" s="77">
        <f>IF(ISERROR(L557/H557), "", L557/H557)</f>
        <v>-4.2759262392150027E-2</v>
      </c>
    </row>
    <row r="558" spans="1:13" x14ac:dyDescent="0.25">
      <c r="A558" s="40" t="s">
        <v>107</v>
      </c>
      <c r="C558" s="50"/>
      <c r="D558" s="104" t="s">
        <v>86</v>
      </c>
      <c r="E558" s="82"/>
      <c r="F558" s="92">
        <f>SUMIFS('2.2-TSC Current Schedule'!E:E,'2.2-TSC Current Schedule'!H:H,'5. 2-W Bill Impacts'!$A558,'2.2-TSC Current Schedule'!G:G,'5. 2-W Bill Impacts'!D558)</f>
        <v>1.2948999999999999</v>
      </c>
      <c r="G558" s="91">
        <f>IF($E539&gt;0, $E539, $E538*$E540)</f>
        <v>27</v>
      </c>
      <c r="H558" s="78">
        <f>G558*F558</f>
        <v>34.962299999999999</v>
      </c>
      <c r="I558" s="93">
        <f>SUMIFS('4.2-TS Tariff Schedule'!E:E,'4.2-TS Tariff Schedule'!H:H,'5. 2-W Bill Impacts'!$E536,'4.2-TS Tariff Schedule'!G:G,'5. 2-W Bill Impacts'!D558)</f>
        <v>1.4162999999999999</v>
      </c>
      <c r="J558" s="91">
        <f>IF($E539&gt;0, $E539, $E538*$E541)</f>
        <v>27</v>
      </c>
      <c r="K558" s="78">
        <f>J558*I558</f>
        <v>38.240099999999998</v>
      </c>
      <c r="L558" s="78">
        <f t="shared" si="68"/>
        <v>3.2777999999999992</v>
      </c>
      <c r="M558" s="77">
        <f>IF(ISERROR(L558/H558), "", L558/H558)</f>
        <v>9.3752413313769378E-2</v>
      </c>
    </row>
    <row r="559" spans="1:13" x14ac:dyDescent="0.25">
      <c r="A559" s="40" t="str">
        <f>A556</f>
        <v>EMBEDDED DISTRIBUTOR - BPI</v>
      </c>
      <c r="B559" s="76" t="s">
        <v>201</v>
      </c>
      <c r="C559" s="50">
        <f>$B$39</f>
        <v>10</v>
      </c>
      <c r="D559" s="103" t="s">
        <v>200</v>
      </c>
      <c r="E559" s="102"/>
      <c r="F559" s="101"/>
      <c r="G559" s="100"/>
      <c r="H559" s="97">
        <f>SUM(H556:H558)</f>
        <v>964.52852447050873</v>
      </c>
      <c r="I559" s="99"/>
      <c r="J559" s="98"/>
      <c r="K559" s="97">
        <f>SUM(K556:K558)</f>
        <v>425.20255935535016</v>
      </c>
      <c r="L559" s="97">
        <f t="shared" si="68"/>
        <v>-539.32596511515862</v>
      </c>
      <c r="M559" s="96">
        <f>IF((H559)=0,"",(L559/H559))</f>
        <v>-0.55916020255723287</v>
      </c>
    </row>
    <row r="560" spans="1:13" x14ac:dyDescent="0.25">
      <c r="A560" s="40" t="str">
        <f>A554</f>
        <v>GENERAL SERVICE 50 TO 999 KW SERVICE CLASSIFICATION</v>
      </c>
      <c r="C560" s="50"/>
      <c r="D560" s="95" t="s">
        <v>83</v>
      </c>
      <c r="E560" s="82"/>
      <c r="F560" s="92">
        <f>SUMIFS('2.2-TSC Current Schedule'!E:E,'2.2-TSC Current Schedule'!H:H,'5. 2-W Bill Impacts'!$A560,'2.2-TSC Current Schedule'!G:G,'5. 2-W Bill Impacts'!D560)</f>
        <v>3.2000000000000002E-3</v>
      </c>
      <c r="G560" s="91">
        <f>E538*E540</f>
        <v>51949.999999999498</v>
      </c>
      <c r="H560" s="78">
        <f>G560*F560</f>
        <v>166.23999999999839</v>
      </c>
      <c r="I560" s="93">
        <f>SUMIFS('4.2-TS Tariff Schedule'!E:E,'4.2-TS Tariff Schedule'!H:H,'5. 2-W Bill Impacts'!$E536,'4.2-TS Tariff Schedule'!G:G,'5. 2-W Bill Impacts'!D560)</f>
        <v>3.2000000000000002E-3</v>
      </c>
      <c r="J560" s="91">
        <f>E538*E541</f>
        <v>51018.890172229003</v>
      </c>
      <c r="K560" s="78">
        <f>J560*I560</f>
        <v>163.26044855113281</v>
      </c>
      <c r="L560" s="78">
        <f t="shared" si="68"/>
        <v>-2.9795514488655783</v>
      </c>
      <c r="M560" s="77">
        <f>IF(ISERROR(L560/H560), "", L560/H560)</f>
        <v>-1.7923192064879735E-2</v>
      </c>
    </row>
    <row r="561" spans="1:13" x14ac:dyDescent="0.25">
      <c r="A561" s="40" t="str">
        <f t="shared" ref="A561:A569" si="69">A560</f>
        <v>GENERAL SERVICE 50 TO 999 KW SERVICE CLASSIFICATION</v>
      </c>
      <c r="C561" s="50"/>
      <c r="D561" s="95" t="s">
        <v>81</v>
      </c>
      <c r="E561" s="82"/>
      <c r="F561" s="92">
        <f>SUMIFS('2.2-TSC Current Schedule'!E:E,'2.2-TSC Current Schedule'!H:H,'5. 2-W Bill Impacts'!$A561,'2.2-TSC Current Schedule'!G:G,'5. 2-W Bill Impacts'!D561)</f>
        <v>4.0000000000000002E-4</v>
      </c>
      <c r="G561" s="91">
        <f>E538*E540</f>
        <v>51949.999999999498</v>
      </c>
      <c r="H561" s="78">
        <f>G561*F561</f>
        <v>20.779999999999799</v>
      </c>
      <c r="I561" s="93">
        <f>SUMIFS('4.2-TS Tariff Schedule'!E:E,'4.2-TS Tariff Schedule'!H:H,'5. 2-W Bill Impacts'!$E536,'4.2-TS Tariff Schedule'!G:G,'5. 2-W Bill Impacts'!D561)</f>
        <v>4.0000000000000002E-4</v>
      </c>
      <c r="J561" s="91">
        <f>E538*E541</f>
        <v>51018.890172229003</v>
      </c>
      <c r="K561" s="78">
        <f>J561*I561</f>
        <v>20.407556068891601</v>
      </c>
      <c r="L561" s="78">
        <f t="shared" si="68"/>
        <v>-0.37244393110819729</v>
      </c>
      <c r="M561" s="77">
        <f>IF(ISERROR(L561/H561), "", L561/H561)</f>
        <v>-1.7923192064879735E-2</v>
      </c>
    </row>
    <row r="562" spans="1:13" x14ac:dyDescent="0.25">
      <c r="A562" s="40" t="str">
        <f t="shared" si="69"/>
        <v>GENERAL SERVICE 50 TO 999 KW SERVICE CLASSIFICATION</v>
      </c>
      <c r="C562" s="50"/>
      <c r="D562" s="95" t="s">
        <v>78</v>
      </c>
      <c r="E562" s="82"/>
      <c r="F562" s="92">
        <f>SUMIFS('2.2-TSC Current Schedule'!E:E,'2.2-TSC Current Schedule'!H:H,'5. 2-W Bill Impacts'!$A562,'2.2-TSC Current Schedule'!G:G,'5. 2-W Bill Impacts'!D562)</f>
        <v>2.9999999999999997E-4</v>
      </c>
      <c r="G562" s="91">
        <f>E538*E540</f>
        <v>51949.999999999498</v>
      </c>
      <c r="H562" s="78">
        <f>G562*F562</f>
        <v>15.584999999999848</v>
      </c>
      <c r="I562" s="93">
        <f>SUMIFS('4.2-TS Tariff Schedule'!E:E,'4.2-TS Tariff Schedule'!H:H,'5. 2-W Bill Impacts'!$E536,'4.2-TS Tariff Schedule'!G:G,'5. 2-W Bill Impacts'!D562)</f>
        <v>2.9999999999999997E-4</v>
      </c>
      <c r="J562" s="91">
        <f>E538*E541</f>
        <v>51018.890172229003</v>
      </c>
      <c r="K562" s="78">
        <f>J562*I562</f>
        <v>15.305667051668699</v>
      </c>
      <c r="L562" s="78">
        <f t="shared" si="68"/>
        <v>-0.27933294833114886</v>
      </c>
      <c r="M562" s="77">
        <f>IF(ISERROR(L562/H562), "", L562/H562)</f>
        <v>-1.7923192064879793E-2</v>
      </c>
    </row>
    <row r="563" spans="1:13" x14ac:dyDescent="0.25">
      <c r="A563" s="40" t="str">
        <f t="shared" si="69"/>
        <v>GENERAL SERVICE 50 TO 999 KW SERVICE CLASSIFICATION</v>
      </c>
      <c r="C563" s="50"/>
      <c r="D563" s="63" t="s">
        <v>76</v>
      </c>
      <c r="E563" s="82"/>
      <c r="F563" s="92">
        <f>SUMIFS('2.2-TSC Current Schedule'!E:E,'2.2-TSC Current Schedule'!H:H,'5. 2-W Bill Impacts'!$A563,'2.2-TSC Current Schedule'!G:G,'5. 2-W Bill Impacts'!D563)</f>
        <v>0.25</v>
      </c>
      <c r="G563" s="94">
        <v>1</v>
      </c>
      <c r="H563" s="78">
        <f>G563*F563</f>
        <v>0.25</v>
      </c>
      <c r="I563" s="93">
        <f>SUMIFS('4.2-TS Tariff Schedule'!E:E,'4.2-TS Tariff Schedule'!H:H,'5. 2-W Bill Impacts'!$E536,'4.2-TS Tariff Schedule'!G:G,'5. 2-W Bill Impacts'!D563)</f>
        <v>0.25</v>
      </c>
      <c r="J563" s="78">
        <v>1</v>
      </c>
      <c r="K563" s="78">
        <f>J563*I563</f>
        <v>0.25</v>
      </c>
      <c r="L563" s="78">
        <f t="shared" si="68"/>
        <v>0</v>
      </c>
      <c r="M563" s="77">
        <f>IF(ISERROR(L563/H563), "", L563/H563)</f>
        <v>0</v>
      </c>
    </row>
    <row r="564" spans="1:13" x14ac:dyDescent="0.25">
      <c r="A564" s="40" t="str">
        <f t="shared" si="69"/>
        <v>GENERAL SERVICE 50 TO 999 KW SERVICE CLASSIFICATION</v>
      </c>
      <c r="C564" s="50"/>
      <c r="D564" s="63" t="s">
        <v>132</v>
      </c>
      <c r="E564" s="82"/>
      <c r="F564" s="92">
        <v>7.0000000000000001E-3</v>
      </c>
      <c r="G564" s="91">
        <f>E538</f>
        <v>50000</v>
      </c>
      <c r="H564" s="78">
        <f>G564*F564</f>
        <v>350</v>
      </c>
      <c r="I564" s="92">
        <v>7.0000000000000001E-3</v>
      </c>
      <c r="J564" s="91">
        <f>E538</f>
        <v>50000</v>
      </c>
      <c r="K564" s="78">
        <f>J564*I564</f>
        <v>350</v>
      </c>
      <c r="L564" s="78">
        <f t="shared" si="68"/>
        <v>0</v>
      </c>
      <c r="M564" s="77">
        <f>IF(ISERROR(L564/H564), "", L564/H564)</f>
        <v>0</v>
      </c>
    </row>
    <row r="565" spans="1:13" x14ac:dyDescent="0.25">
      <c r="A565" s="40" t="str">
        <f t="shared" si="69"/>
        <v>GENERAL SERVICE 50 TO 999 KW SERVICE CLASSIFICATION</v>
      </c>
      <c r="B565" s="76" t="s">
        <v>197</v>
      </c>
      <c r="C565" s="50"/>
      <c r="D565" s="83" t="s">
        <v>199</v>
      </c>
      <c r="E565" s="82"/>
      <c r="F565" s="90"/>
      <c r="G565" s="89"/>
      <c r="H565" s="86"/>
      <c r="I565" s="88"/>
      <c r="J565" s="87"/>
      <c r="K565" s="86"/>
      <c r="L565" s="85"/>
      <c r="M565" s="84"/>
    </row>
    <row r="566" spans="1:13" x14ac:dyDescent="0.25">
      <c r="A566" s="40" t="str">
        <f t="shared" si="69"/>
        <v>GENERAL SERVICE 50 TO 999 KW SERVICE CLASSIFICATION</v>
      </c>
      <c r="B566" s="76" t="s">
        <v>197</v>
      </c>
      <c r="C566" s="50"/>
      <c r="D566" s="83" t="s">
        <v>198</v>
      </c>
      <c r="E566" s="82"/>
      <c r="F566" s="90"/>
      <c r="G566" s="89"/>
      <c r="H566" s="86"/>
      <c r="I566" s="88"/>
      <c r="J566" s="87"/>
      <c r="K566" s="86"/>
      <c r="L566" s="85"/>
      <c r="M566" s="84"/>
    </row>
    <row r="567" spans="1:13" x14ac:dyDescent="0.25">
      <c r="A567" s="40" t="str">
        <f t="shared" si="69"/>
        <v>GENERAL SERVICE 50 TO 999 KW SERVICE CLASSIFICATION</v>
      </c>
      <c r="B567" s="76" t="s">
        <v>197</v>
      </c>
      <c r="C567" s="50"/>
      <c r="D567" s="76" t="s">
        <v>196</v>
      </c>
      <c r="E567" s="82"/>
      <c r="F567" s="90"/>
      <c r="G567" s="89"/>
      <c r="H567" s="86"/>
      <c r="I567" s="88"/>
      <c r="J567" s="87"/>
      <c r="K567" s="86"/>
      <c r="L567" s="85"/>
      <c r="M567" s="84"/>
    </row>
    <row r="568" spans="1:13" x14ac:dyDescent="0.25">
      <c r="A568" s="40" t="str">
        <f t="shared" si="69"/>
        <v>GENERAL SERVICE 50 TO 999 KW SERVICE CLASSIFICATION</v>
      </c>
      <c r="B568" s="40" t="s">
        <v>195</v>
      </c>
      <c r="C568" s="50"/>
      <c r="D568" s="83" t="s">
        <v>194</v>
      </c>
      <c r="E568" s="82"/>
      <c r="F568" s="81">
        <v>1.8855833333333332E-2</v>
      </c>
      <c r="G568" s="80">
        <f>IF(AND(E538*12&gt;=150000),E538*E540,E538)</f>
        <v>51949.999999999498</v>
      </c>
      <c r="H568" s="79">
        <f>G568*F568</f>
        <v>979.56054166665717</v>
      </c>
      <c r="I568" s="81">
        <v>1.8855833333333332E-2</v>
      </c>
      <c r="J568" s="80">
        <f>IF(AND(E538*12&gt;=150000),E538*E541,E538)</f>
        <v>51018.890172229003</v>
      </c>
      <c r="K568" s="79">
        <f>J568*I568</f>
        <v>962.00368993918801</v>
      </c>
      <c r="L568" s="78">
        <f>K568-H568</f>
        <v>-17.556851727469166</v>
      </c>
      <c r="M568" s="77">
        <f>IF(ISERROR(L568/H568), "", L568/H568)</f>
        <v>-1.7923192064879776E-2</v>
      </c>
    </row>
    <row r="569" spans="1:13" ht="13.8" thickBot="1" x14ac:dyDescent="0.3">
      <c r="A569" s="40" t="str">
        <f t="shared" si="69"/>
        <v>GENERAL SERVICE 50 TO 999 KW SERVICE CLASSIFICATION</v>
      </c>
      <c r="B569" s="40" t="s">
        <v>188</v>
      </c>
      <c r="C569" s="50"/>
      <c r="D569" s="83" t="s">
        <v>193</v>
      </c>
      <c r="E569" s="82"/>
      <c r="F569" s="81">
        <v>0.10303000000000001</v>
      </c>
      <c r="G569" s="80">
        <f>IF(AND(E538*12&gt;=150000),E538*E540,E538)</f>
        <v>51949.999999999498</v>
      </c>
      <c r="H569" s="79">
        <f>G569*F569</f>
        <v>5352.4084999999486</v>
      </c>
      <c r="I569" s="81">
        <v>0.10303000000000001</v>
      </c>
      <c r="J569" s="80">
        <f>IF(AND(E538*12&gt;=150000),E538*E541,E538)</f>
        <v>51018.890172229003</v>
      </c>
      <c r="K569" s="79">
        <f>J569*I569</f>
        <v>5256.4762544447549</v>
      </c>
      <c r="L569" s="78">
        <f>K569-H569</f>
        <v>-95.932245555193731</v>
      </c>
      <c r="M569" s="77">
        <f>IF(ISERROR(L569/H569), "", L569/H569)</f>
        <v>-1.79231920648797E-2</v>
      </c>
    </row>
    <row r="570" spans="1:13" ht="13.8" thickBot="1" x14ac:dyDescent="0.3">
      <c r="A570" s="40" t="str">
        <f>A559</f>
        <v>EMBEDDED DISTRIBUTOR - BPI</v>
      </c>
      <c r="B570" s="76"/>
      <c r="C570" s="50"/>
      <c r="D570" s="49"/>
      <c r="E570" s="48"/>
      <c r="F570" s="74"/>
      <c r="G570" s="75"/>
      <c r="H570" s="72"/>
      <c r="I570" s="74"/>
      <c r="J570" s="73"/>
      <c r="K570" s="72"/>
      <c r="L570" s="71"/>
      <c r="M570" s="70"/>
    </row>
    <row r="571" spans="1:13" x14ac:dyDescent="0.25">
      <c r="A571" s="40" t="str">
        <f>A570</f>
        <v>EMBEDDED DISTRIBUTOR - BPI</v>
      </c>
      <c r="B571" s="40" t="s">
        <v>188</v>
      </c>
      <c r="C571" s="50"/>
      <c r="D571" s="69" t="s">
        <v>189</v>
      </c>
      <c r="E571" s="63"/>
      <c r="F571" s="61"/>
      <c r="G571" s="62"/>
      <c r="H571" s="67">
        <f>SUM(H559:H570)</f>
        <v>7849.3525661371123</v>
      </c>
      <c r="I571" s="68"/>
      <c r="J571" s="68"/>
      <c r="K571" s="67">
        <f>SUM(K559:K570)</f>
        <v>7192.9061754109862</v>
      </c>
      <c r="L571" s="66">
        <f>K571-H571</f>
        <v>-656.44639072612608</v>
      </c>
      <c r="M571" s="65">
        <f>IF((H571)=0,"",(L571/H571))</f>
        <v>-8.3630641533175759E-2</v>
      </c>
    </row>
    <row r="572" spans="1:13" x14ac:dyDescent="0.25">
      <c r="A572" s="40" t="str">
        <f>A571</f>
        <v>EMBEDDED DISTRIBUTOR - BPI</v>
      </c>
      <c r="B572" s="40" t="s">
        <v>188</v>
      </c>
      <c r="C572" s="50"/>
      <c r="D572" s="64" t="s">
        <v>192</v>
      </c>
      <c r="E572" s="63"/>
      <c r="F572" s="61">
        <v>0.13</v>
      </c>
      <c r="G572" s="62"/>
      <c r="H572" s="59">
        <f>H571*F572</f>
        <v>1020.4158335978246</v>
      </c>
      <c r="I572" s="61">
        <v>0.13</v>
      </c>
      <c r="J572" s="60"/>
      <c r="K572" s="59">
        <f>K571*I572</f>
        <v>935.0778028034282</v>
      </c>
      <c r="L572" s="58">
        <f>K572-H572</f>
        <v>-85.338030794396445</v>
      </c>
      <c r="M572" s="57">
        <f>IF((H572)=0,"",(L572/H572))</f>
        <v>-8.3630641533175801E-2</v>
      </c>
    </row>
    <row r="573" spans="1:13" x14ac:dyDescent="0.25">
      <c r="A573" s="40" t="str">
        <f>A572</f>
        <v>EMBEDDED DISTRIBUTOR - BPI</v>
      </c>
      <c r="B573" s="40" t="s">
        <v>188</v>
      </c>
      <c r="C573" s="50"/>
      <c r="D573" s="64" t="s">
        <v>191</v>
      </c>
      <c r="E573" s="63"/>
      <c r="F573" s="61">
        <v>0.08</v>
      </c>
      <c r="G573" s="62"/>
      <c r="H573" s="59">
        <v>0</v>
      </c>
      <c r="I573" s="61">
        <v>0.08</v>
      </c>
      <c r="J573" s="60"/>
      <c r="K573" s="59">
        <v>0</v>
      </c>
      <c r="L573" s="58"/>
      <c r="M573" s="57"/>
    </row>
    <row r="574" spans="1:13" ht="13.8" thickBot="1" x14ac:dyDescent="0.3">
      <c r="A574" s="40" t="str">
        <f>A573</f>
        <v>EMBEDDED DISTRIBUTOR - BPI</v>
      </c>
      <c r="B574" s="40" t="s">
        <v>190</v>
      </c>
      <c r="C574" s="50">
        <f>$B$39</f>
        <v>10</v>
      </c>
      <c r="D574" s="264" t="s">
        <v>189</v>
      </c>
      <c r="E574" s="264"/>
      <c r="F574" s="56"/>
      <c r="G574" s="55"/>
      <c r="H574" s="53">
        <f>H571+H572+H573</f>
        <v>8869.7683997349377</v>
      </c>
      <c r="I574" s="54"/>
      <c r="J574" s="54"/>
      <c r="K574" s="53">
        <f>K571+K572+K573</f>
        <v>8127.9839782144145</v>
      </c>
      <c r="L574" s="52">
        <f>K574-H574</f>
        <v>-741.78442152052321</v>
      </c>
      <c r="M574" s="51">
        <f>IF((H574)=0,"",(L574/H574))</f>
        <v>-8.3630641533175828E-2</v>
      </c>
    </row>
    <row r="575" spans="1:13" ht="13.8" thickBot="1" x14ac:dyDescent="0.3">
      <c r="A575" s="40" t="str">
        <f>A574</f>
        <v>EMBEDDED DISTRIBUTOR - BPI</v>
      </c>
      <c r="B575" s="40" t="s">
        <v>188</v>
      </c>
      <c r="C575" s="50"/>
      <c r="D575" s="49"/>
      <c r="E575" s="48"/>
      <c r="F575" s="46"/>
      <c r="G575" s="47"/>
      <c r="H575" s="44"/>
      <c r="I575" s="46"/>
      <c r="J575" s="45"/>
      <c r="K575" s="44"/>
      <c r="L575" s="43"/>
      <c r="M575" s="42"/>
    </row>
    <row r="580" spans="1:20" x14ac:dyDescent="0.25">
      <c r="D580" s="128" t="s">
        <v>223</v>
      </c>
      <c r="E580" s="265" t="str">
        <f>D40</f>
        <v>EMBEDDED DISTRIBUTOR - HONI #1</v>
      </c>
      <c r="F580" s="265"/>
      <c r="G580" s="265"/>
      <c r="H580" s="265"/>
      <c r="I580" s="265"/>
      <c r="J580" s="265"/>
      <c r="K580" s="40" t="str">
        <f>IF(N255="DEMAND - INTERVAL","RTSR - INTERVAL METERED","")</f>
        <v/>
      </c>
      <c r="T580" s="40" t="s">
        <v>222</v>
      </c>
    </row>
    <row r="581" spans="1:20" x14ac:dyDescent="0.25">
      <c r="D581" s="128" t="s">
        <v>221</v>
      </c>
      <c r="E581" s="266" t="str">
        <f>H40</f>
        <v>Non-RPP (Other)</v>
      </c>
      <c r="F581" s="266"/>
      <c r="G581" s="266"/>
      <c r="H581" s="135"/>
      <c r="I581" s="135"/>
    </row>
    <row r="582" spans="1:20" ht="15.6" x14ac:dyDescent="0.25">
      <c r="D582" s="128" t="s">
        <v>220</v>
      </c>
      <c r="E582" s="132">
        <f>K40</f>
        <v>1300000</v>
      </c>
      <c r="F582" s="134" t="s">
        <v>219</v>
      </c>
      <c r="G582" s="76"/>
      <c r="J582" s="133"/>
      <c r="K582" s="133"/>
      <c r="L582" s="133"/>
      <c r="M582" s="133"/>
    </row>
    <row r="583" spans="1:20" ht="15.6" x14ac:dyDescent="0.3">
      <c r="D583" s="128" t="s">
        <v>218</v>
      </c>
      <c r="E583" s="132">
        <f>L40</f>
        <v>2340</v>
      </c>
      <c r="F583" s="131" t="s">
        <v>217</v>
      </c>
      <c r="G583" s="130"/>
      <c r="H583" s="129"/>
      <c r="I583" s="129"/>
      <c r="J583" s="129"/>
    </row>
    <row r="584" spans="1:20" x14ac:dyDescent="0.25">
      <c r="D584" s="128" t="s">
        <v>216</v>
      </c>
      <c r="E584" s="127">
        <f>I40</f>
        <v>1.0495000000000001</v>
      </c>
    </row>
    <row r="585" spans="1:20" x14ac:dyDescent="0.25">
      <c r="D585" s="128" t="s">
        <v>215</v>
      </c>
      <c r="E585" s="127">
        <f>J40</f>
        <v>1.0203778034445801</v>
      </c>
    </row>
    <row r="586" spans="1:20" x14ac:dyDescent="0.25">
      <c r="D586" s="76"/>
    </row>
    <row r="587" spans="1:20" x14ac:dyDescent="0.25">
      <c r="D587" s="76"/>
      <c r="E587" s="126"/>
      <c r="F587" s="267" t="s">
        <v>214</v>
      </c>
      <c r="G587" s="268"/>
      <c r="H587" s="269"/>
      <c r="I587" s="267" t="s">
        <v>139</v>
      </c>
      <c r="J587" s="268"/>
      <c r="K587" s="269"/>
      <c r="L587" s="267" t="s">
        <v>213</v>
      </c>
      <c r="M587" s="269"/>
    </row>
    <row r="588" spans="1:20" x14ac:dyDescent="0.25">
      <c r="D588" s="76"/>
      <c r="E588" s="270"/>
      <c r="F588" s="125" t="s">
        <v>212</v>
      </c>
      <c r="G588" s="125" t="s">
        <v>211</v>
      </c>
      <c r="H588" s="123" t="s">
        <v>210</v>
      </c>
      <c r="I588" s="125" t="s">
        <v>212</v>
      </c>
      <c r="J588" s="124" t="s">
        <v>211</v>
      </c>
      <c r="K588" s="123" t="s">
        <v>210</v>
      </c>
      <c r="L588" s="272" t="s">
        <v>209</v>
      </c>
      <c r="M588" s="274" t="s">
        <v>208</v>
      </c>
    </row>
    <row r="589" spans="1:20" x14ac:dyDescent="0.25">
      <c r="D589" s="76"/>
      <c r="E589" s="271"/>
      <c r="F589" s="122" t="s">
        <v>207</v>
      </c>
      <c r="G589" s="122"/>
      <c r="H589" s="121" t="s">
        <v>207</v>
      </c>
      <c r="I589" s="122" t="s">
        <v>207</v>
      </c>
      <c r="J589" s="121"/>
      <c r="K589" s="121" t="s">
        <v>207</v>
      </c>
      <c r="L589" s="273"/>
      <c r="M589" s="275"/>
    </row>
    <row r="590" spans="1:20" x14ac:dyDescent="0.25">
      <c r="A590" s="40" t="str">
        <f>A546</f>
        <v>GENERAL SERVICE 50 TO 999 KW SERVICE CLASSIFICATION</v>
      </c>
      <c r="C590" s="50"/>
      <c r="D590" s="120" t="s">
        <v>97</v>
      </c>
      <c r="E590" s="82"/>
      <c r="F590" s="92">
        <f>SUMIFS('2.2-TSC Current Schedule'!E:E,'2.2-TSC Current Schedule'!H:H,'5. 2-W Bill Impacts'!$A590,'2.2-TSC Current Schedule'!G:G,'5. 2-W Bill Impacts'!D590)</f>
        <v>96.98</v>
      </c>
      <c r="G590" s="94">
        <v>1</v>
      </c>
      <c r="H590" s="78">
        <f>G590*F590</f>
        <v>96.98</v>
      </c>
      <c r="I590" s="93">
        <f>SUMIFS('4.2-TS Tariff Schedule'!E:E,'4.2-TS Tariff Schedule'!H:H,'5. 2-W Bill Impacts'!$E580,'4.2-TS Tariff Schedule'!G:G,'5. 2-W Bill Impacts'!D590)</f>
        <v>58.48</v>
      </c>
      <c r="J590" s="115">
        <f>G590</f>
        <v>1</v>
      </c>
      <c r="K590" s="78">
        <f>J590*I590</f>
        <v>58.48</v>
      </c>
      <c r="L590" s="78">
        <f t="shared" ref="L590:L608" si="70">K590-H590</f>
        <v>-38.500000000000007</v>
      </c>
      <c r="M590" s="77">
        <f>IF(ISERROR(L590/H590), "", L590/H590)</f>
        <v>-0.39698906991132199</v>
      </c>
    </row>
    <row r="591" spans="1:20" x14ac:dyDescent="0.25">
      <c r="A591" s="40" t="str">
        <f>A547</f>
        <v>GENERAL SERVICE 50 TO 999 KW SERVICE CLASSIFICATION</v>
      </c>
      <c r="C591" s="50"/>
      <c r="D591" s="120" t="s">
        <v>96</v>
      </c>
      <c r="E591" s="82"/>
      <c r="F591" s="92">
        <f>SUMIFS('2.2-TSC Current Schedule'!E:E,'2.2-TSC Current Schedule'!H:H,'5. 2-W Bill Impacts'!$A591,'2.2-TSC Current Schedule'!G:G,'5. 2-W Bill Impacts'!D591)</f>
        <v>3.9297</v>
      </c>
      <c r="G591" s="94">
        <f>IF($E583&gt;0, $E583, $E582)</f>
        <v>2340</v>
      </c>
      <c r="H591" s="78">
        <f>G591*F591</f>
        <v>9195.4979999999996</v>
      </c>
      <c r="I591" s="93">
        <f>SUMIFS('4.2-TS Tariff Schedule'!E:E,'4.2-TS Tariff Schedule'!H:H,'5. 2-W Bill Impacts'!$E580,'4.2-TS Tariff Schedule'!G:G,'5. 2-W Bill Impacts'!D591)</f>
        <v>0.9738</v>
      </c>
      <c r="J591" s="115">
        <f>IF($E583&gt;0, $E583, $E582)</f>
        <v>2340</v>
      </c>
      <c r="K591" s="78">
        <f>J591*I591</f>
        <v>2278.692</v>
      </c>
      <c r="L591" s="78">
        <f t="shared" si="70"/>
        <v>-6916.8059999999996</v>
      </c>
      <c r="M591" s="77">
        <f>IF(ISERROR(L591/H591), "", L591/H591)</f>
        <v>-0.75219482403236892</v>
      </c>
    </row>
    <row r="592" spans="1:20" x14ac:dyDescent="0.25">
      <c r="A592" s="40" t="str">
        <f>A548</f>
        <v>GENERAL SERVICE 50 TO 999 KW SERVICE CLASSIFICATION</v>
      </c>
      <c r="C592" s="50"/>
      <c r="D592" s="119" t="s">
        <v>118</v>
      </c>
      <c r="E592" s="82"/>
      <c r="F592" s="118">
        <f>SUMIFS('2.2-TSC Current Schedule'!E:E,'2.2-TSC Current Schedule'!H:H,'5. 2-W Bill Impacts'!$A592,'2.2-TSC Current Schedule'!G:G,'5. 2-W Bill Impacts'!D592)</f>
        <v>0</v>
      </c>
      <c r="G592" s="94">
        <v>1</v>
      </c>
      <c r="H592" s="78">
        <f>G592*F592</f>
        <v>0</v>
      </c>
      <c r="I592" s="117">
        <f>SUMIFS('4.2-TS Tariff Schedule'!E:E,'4.2-TS Tariff Schedule'!H:H,'5. 2-W Bill Impacts'!$E580,'4.2-TS Tariff Schedule'!G:G,'5. 2-W Bill Impacts'!D592)</f>
        <v>0</v>
      </c>
      <c r="J592" s="115">
        <f>G592</f>
        <v>1</v>
      </c>
      <c r="K592" s="78">
        <f>J592*I592</f>
        <v>0</v>
      </c>
      <c r="L592" s="78">
        <f t="shared" si="70"/>
        <v>0</v>
      </c>
      <c r="M592" s="77" t="str">
        <f>IF(ISERROR(L592/H592), "", L592/H592)</f>
        <v/>
      </c>
    </row>
    <row r="593" spans="1:13" x14ac:dyDescent="0.25">
      <c r="A593" s="40" t="str">
        <f>A549</f>
        <v>GENERAL SERVICE 50 TO 999 KW SERVICE CLASSIFICATION</v>
      </c>
      <c r="C593" s="50"/>
      <c r="D593" s="116" t="s">
        <v>152</v>
      </c>
      <c r="E593" s="82"/>
      <c r="F593" s="92">
        <f>SUMIFS('2.2-TSC Current Schedule'!E:E,'2.2-TSC Current Schedule'!H:H,'5. 2-W Bill Impacts'!$A593,'2.2-TSC Current Schedule'!G:G,'5. 2-W Bill Impacts'!D593)</f>
        <v>0</v>
      </c>
      <c r="G593" s="94">
        <f>IF($E583&gt;0, $E583, $E582)</f>
        <v>2340</v>
      </c>
      <c r="H593" s="78">
        <f>G593*F593</f>
        <v>0</v>
      </c>
      <c r="I593" s="93">
        <f>SUMIFS('4.2-TS Tariff Schedule'!E:E,'4.2-TS Tariff Schedule'!H:H,'5. 2-W Bill Impacts'!$E580,'4.2-TS Tariff Schedule'!G:G,'5. 2-W Bill Impacts'!D593)</f>
        <v>-0.20894648055322443</v>
      </c>
      <c r="J593" s="115">
        <f>IF($E583&gt;0, $E583, $E582)</f>
        <v>2340</v>
      </c>
      <c r="K593" s="78">
        <f>J593*I593</f>
        <v>-488.93476449454516</v>
      </c>
      <c r="L593" s="78">
        <f t="shared" si="70"/>
        <v>-488.93476449454516</v>
      </c>
      <c r="M593" s="77" t="str">
        <f>IF(ISERROR(L593/H593), "", L593/H593)</f>
        <v/>
      </c>
    </row>
    <row r="594" spans="1:13" x14ac:dyDescent="0.25">
      <c r="A594" s="40" t="str">
        <f>E580</f>
        <v>EMBEDDED DISTRIBUTOR - HONI #1</v>
      </c>
      <c r="B594" s="114" t="s">
        <v>206</v>
      </c>
      <c r="C594" s="50">
        <f>$B$39</f>
        <v>10</v>
      </c>
      <c r="D594" s="113" t="s">
        <v>205</v>
      </c>
      <c r="E594" s="102"/>
      <c r="F594" s="112"/>
      <c r="G594" s="100"/>
      <c r="H594" s="97">
        <f>SUM(H590:H593)</f>
        <v>9292.4779999999992</v>
      </c>
      <c r="I594" s="111"/>
      <c r="J594" s="106"/>
      <c r="K594" s="97">
        <f>SUM(K590:K593)</f>
        <v>1848.2372355054549</v>
      </c>
      <c r="L594" s="97">
        <f t="shared" si="70"/>
        <v>-7444.2407644945442</v>
      </c>
      <c r="M594" s="96">
        <f>IF((H594)=0,"",(L594/H594))</f>
        <v>-0.80110394283360642</v>
      </c>
    </row>
    <row r="595" spans="1:13" x14ac:dyDescent="0.25">
      <c r="A595" s="40" t="str">
        <f>A551</f>
        <v>GENERAL SERVICE 50 TO 999 KW SERVICE CLASSIFICATION</v>
      </c>
      <c r="C595" s="50"/>
      <c r="D595" s="110" t="s">
        <v>204</v>
      </c>
      <c r="E595" s="82"/>
      <c r="F595" s="93">
        <f>SUMIFS('2.2-TSC Current Schedule'!E:E,'2.2-TSC Current Schedule'!H:H,'5. 2-W Bill Impacts'!$A595,'2.2-TSC Current Schedule'!G:G,'5. 2-W Bill Impacts'!D595)</f>
        <v>0</v>
      </c>
      <c r="G595" s="91">
        <f>IF(F595=0, 0, $E582*E584-E582)</f>
        <v>0</v>
      </c>
      <c r="H595" s="78">
        <f>G595*F595</f>
        <v>0</v>
      </c>
      <c r="I595" s="93">
        <f>IF((E582*12&gt;=150000), 0, IF(E581="RPP",(I609*0.65+I610*0.17+I611*0.18),IF(E581="Non-RPP (Retailer)",I612,I613)))</f>
        <v>0</v>
      </c>
      <c r="J595" s="91">
        <f>IF(I595=0, 0, E582*E585-E582)</f>
        <v>0</v>
      </c>
      <c r="K595" s="78">
        <f>J595*I595</f>
        <v>0</v>
      </c>
      <c r="L595" s="78">
        <f t="shared" si="70"/>
        <v>0</v>
      </c>
      <c r="M595" s="77" t="str">
        <f>IF(ISERROR(L595/H595), "", L595/H595)</f>
        <v/>
      </c>
    </row>
    <row r="596" spans="1:13" x14ac:dyDescent="0.25">
      <c r="A596" s="40" t="str">
        <f>A552</f>
        <v>GENERAL SERVICE 50 TO 999 KW SERVICE CLASSIFICATION</v>
      </c>
      <c r="C596" s="50"/>
      <c r="D596" s="110" t="s">
        <v>90</v>
      </c>
      <c r="E596" s="82"/>
      <c r="F596" s="92">
        <f>SUMIFS('2.2-TSC Current Schedule'!E:E,'2.2-TSC Current Schedule'!H:H,'5. 2-W Bill Impacts'!$A596,'2.2-TSC Current Schedule'!G:G,'5. 2-W Bill Impacts'!D596)</f>
        <v>-2.8760694640552322</v>
      </c>
      <c r="G596" s="109">
        <f>IF($E583&gt;0, $E583, $E582)</f>
        <v>2340</v>
      </c>
      <c r="H596" s="78">
        <f>G596*F596</f>
        <v>-6730.0025458892433</v>
      </c>
      <c r="I596" s="93">
        <f>SUMIFS('4.2-TS Tariff Schedule'!E:E,'4.2-TS Tariff Schedule'!H:H,'5. 2-W Bill Impacts'!$E580,'4.2-TS Tariff Schedule'!G:G,'5. 2-W Bill Impacts'!D596)</f>
        <v>-0.56313893412314897</v>
      </c>
      <c r="J596" s="109">
        <f>IF($E583&gt;0, $E583, $E582)</f>
        <v>2340</v>
      </c>
      <c r="K596" s="78">
        <f>J596*I596</f>
        <v>-1317.7451058481686</v>
      </c>
      <c r="L596" s="78">
        <f t="shared" si="70"/>
        <v>5412.2574400410749</v>
      </c>
      <c r="M596" s="77">
        <f>IF(ISERROR(L596/H596), "", L596/H596)</f>
        <v>-0.80419842386938456</v>
      </c>
    </row>
    <row r="597" spans="1:13" x14ac:dyDescent="0.25">
      <c r="A597" s="40" t="str">
        <f>A553</f>
        <v>GENERAL SERVICE 50 TO 999 KW SERVICE CLASSIFICATION</v>
      </c>
      <c r="C597" s="50"/>
      <c r="D597" s="110" t="s">
        <v>92</v>
      </c>
      <c r="E597" s="82"/>
      <c r="F597" s="92">
        <f>SUMIFS('2.2-TSC Current Schedule'!E:E,'2.2-TSC Current Schedule'!H:H,'5. 2-W Bill Impacts'!$A597,'2.2-TSC Current Schedule'!G:G,'5. 2-W Bill Impacts'!D597)</f>
        <v>1.4200000000000001E-2</v>
      </c>
      <c r="G597" s="109">
        <f>E582</f>
        <v>1300000</v>
      </c>
      <c r="H597" s="78">
        <f>G597*F597</f>
        <v>18460</v>
      </c>
      <c r="I597" s="93">
        <f>SUMIFS('4.2-TS Tariff Schedule'!E:E,'4.2-TS Tariff Schedule'!H:H,'5. 2-W Bill Impacts'!$E580,'4.2-TS Tariff Schedule'!G:G,'5. 2-W Bill Impacts'!D597)</f>
        <v>3.8237144354832221E-4</v>
      </c>
      <c r="J597" s="109">
        <f>E582</f>
        <v>1300000</v>
      </c>
      <c r="K597" s="78">
        <f>J597*I597</f>
        <v>497.08287661281889</v>
      </c>
      <c r="L597" s="78">
        <f t="shared" si="70"/>
        <v>-17962.917123387182</v>
      </c>
      <c r="M597" s="77">
        <f>IF(ISERROR(L597/H597), "", L597/H597)</f>
        <v>-0.97307243355293516</v>
      </c>
    </row>
    <row r="598" spans="1:13" x14ac:dyDescent="0.25">
      <c r="A598" s="40" t="str">
        <f>A554</f>
        <v>GENERAL SERVICE 50 TO 999 KW SERVICE CLASSIFICATION</v>
      </c>
      <c r="C598" s="50"/>
      <c r="D598" s="108" t="s">
        <v>94</v>
      </c>
      <c r="E598" s="82"/>
      <c r="F598" s="92">
        <f>SUMIFS('2.2-TSC Current Schedule'!E:E,'2.2-TSC Current Schedule'!H:H,'5. 2-W Bill Impacts'!$A598,'2.2-TSC Current Schedule'!G:G,'5. 2-W Bill Impacts'!D598)</f>
        <v>1.1222000000000001</v>
      </c>
      <c r="G598" s="109">
        <f>IF($E583&gt;0, $E583, $E582)</f>
        <v>2340</v>
      </c>
      <c r="H598" s="78">
        <f>G598*F598</f>
        <v>2625.9480000000003</v>
      </c>
      <c r="I598" s="93">
        <f>SUMIFS('4.2-TS Tariff Schedule'!E:E,'4.2-TS Tariff Schedule'!H:H,'5. 2-W Bill Impacts'!$E580,'4.2-TS Tariff Schedule'!G:G,'5. 2-W Bill Impacts'!D598)</f>
        <v>0</v>
      </c>
      <c r="J598" s="109">
        <f>IF($E583&gt;0, $E583, $E582)</f>
        <v>2340</v>
      </c>
      <c r="K598" s="78">
        <f>J598*I598</f>
        <v>0</v>
      </c>
      <c r="L598" s="78">
        <f t="shared" si="70"/>
        <v>-2625.9480000000003</v>
      </c>
      <c r="M598" s="77">
        <f>IF(ISERROR(L598/H598), "", L598/H598)</f>
        <v>-1</v>
      </c>
    </row>
    <row r="599" spans="1:13" x14ac:dyDescent="0.25">
      <c r="A599" s="40" t="str">
        <f>A555</f>
        <v>GENERAL SERVICE 50 TO 999 KW SERVICE CLASSIFICATION</v>
      </c>
      <c r="C599" s="50"/>
      <c r="D599" s="108" t="s">
        <v>116</v>
      </c>
      <c r="E599" s="82"/>
      <c r="F599" s="92">
        <f>SUMIFS('2.2-TSC Current Schedule'!E:E,'2.2-TSC Current Schedule'!H:H,'5. 2-W Bill Impacts'!$A599,'2.2-TSC Current Schedule'!G:G,'5. 2-W Bill Impacts'!D599)</f>
        <v>0</v>
      </c>
      <c r="G599" s="94">
        <v>1</v>
      </c>
      <c r="H599" s="78">
        <f>G599*F599</f>
        <v>0</v>
      </c>
      <c r="I599" s="93">
        <f>SUMIFS('4.2-TS Tariff Schedule'!E:E,'4.2-TS Tariff Schedule'!H:H,'5. 2-W Bill Impacts'!$E580,'4.2-TS Tariff Schedule'!G:G,'5. 2-W Bill Impacts'!D599)</f>
        <v>0</v>
      </c>
      <c r="J599" s="94">
        <v>1</v>
      </c>
      <c r="K599" s="78">
        <f>J599*I599</f>
        <v>0</v>
      </c>
      <c r="L599" s="78">
        <f t="shared" si="70"/>
        <v>0</v>
      </c>
      <c r="M599" s="77" t="str">
        <f>IF(ISERROR(L599/H599), "", L599/H599)</f>
        <v/>
      </c>
    </row>
    <row r="600" spans="1:13" x14ac:dyDescent="0.25">
      <c r="A600" s="40" t="str">
        <f>E580</f>
        <v>EMBEDDED DISTRIBUTOR - HONI #1</v>
      </c>
      <c r="B600" s="76" t="s">
        <v>203</v>
      </c>
      <c r="C600" s="50">
        <f>$B$39</f>
        <v>10</v>
      </c>
      <c r="D600" s="103" t="s">
        <v>202</v>
      </c>
      <c r="E600" s="107"/>
      <c r="F600" s="101"/>
      <c r="G600" s="100"/>
      <c r="H600" s="97">
        <f>SUM(H594:H599)</f>
        <v>23648.423454110754</v>
      </c>
      <c r="I600" s="99"/>
      <c r="J600" s="106"/>
      <c r="K600" s="97">
        <f>SUM(K594:K599)</f>
        <v>1027.5750062701052</v>
      </c>
      <c r="L600" s="97">
        <f t="shared" si="70"/>
        <v>-22620.84844784065</v>
      </c>
      <c r="M600" s="96">
        <f>IF((H600)=0,"",(L600/H600))</f>
        <v>-0.95654784310404073</v>
      </c>
    </row>
    <row r="601" spans="1:13" x14ac:dyDescent="0.25">
      <c r="A601" s="40" t="str">
        <f>A557</f>
        <v>GENERAL SERVICE 1,000 TO 4,999 KW SERVICE CLASSIFICATION</v>
      </c>
      <c r="C601" s="50"/>
      <c r="D601" s="105" t="s">
        <v>88</v>
      </c>
      <c r="E601" s="82"/>
      <c r="F601" s="92">
        <f>SUMIFS('2.2-TSC Current Schedule'!E:E,'2.2-TSC Current Schedule'!H:H,'5. 2-W Bill Impacts'!$A601,'2.2-TSC Current Schedule'!G:G,'5. 2-W Bill Impacts'!D601)</f>
        <v>2.3643999999999998</v>
      </c>
      <c r="G601" s="91">
        <f>IF($E583&gt;0, $E583, $E582*$E584)</f>
        <v>2340</v>
      </c>
      <c r="H601" s="78">
        <f>G601*F601</f>
        <v>5532.6959999999999</v>
      </c>
      <c r="I601" s="93">
        <f>SUMIFS('4.2-TS Tariff Schedule'!E:E,'4.2-TS Tariff Schedule'!H:H,'5. 2-W Bill Impacts'!$E580,'4.2-TS Tariff Schedule'!G:G,'5. 2-W Bill Impacts'!D601)</f>
        <v>2.2633000000000001</v>
      </c>
      <c r="J601" s="91">
        <f>IF($E583&gt;0, $E583, $E582*$E585)</f>
        <v>2340</v>
      </c>
      <c r="K601" s="78">
        <f>J601*I601</f>
        <v>5296.1220000000003</v>
      </c>
      <c r="L601" s="78">
        <f t="shared" si="70"/>
        <v>-236.57399999999961</v>
      </c>
      <c r="M601" s="77">
        <f>IF(ISERROR(L601/H601), "", L601/H601)</f>
        <v>-4.2759262392150159E-2</v>
      </c>
    </row>
    <row r="602" spans="1:13" x14ac:dyDescent="0.25">
      <c r="A602" s="40" t="str">
        <f>A558</f>
        <v>GENERAL SERVICE 1,000 TO 4,999 KW SERVICE CLASSIFICATION</v>
      </c>
      <c r="C602" s="50"/>
      <c r="D602" s="104" t="s">
        <v>86</v>
      </c>
      <c r="E602" s="82"/>
      <c r="F602" s="92">
        <f>SUMIFS('2.2-TSC Current Schedule'!E:E,'2.2-TSC Current Schedule'!H:H,'5. 2-W Bill Impacts'!$A602,'2.2-TSC Current Schedule'!G:G,'5. 2-W Bill Impacts'!D602)</f>
        <v>1.2948999999999999</v>
      </c>
      <c r="G602" s="91">
        <f>IF($E583&gt;0, $E583, $E582*$E584)</f>
        <v>2340</v>
      </c>
      <c r="H602" s="78">
        <f>G602*F602</f>
        <v>3030.0659999999998</v>
      </c>
      <c r="I602" s="93">
        <f>SUMIFS('4.2-TS Tariff Schedule'!E:E,'4.2-TS Tariff Schedule'!H:H,'5. 2-W Bill Impacts'!$E580,'4.2-TS Tariff Schedule'!G:G,'5. 2-W Bill Impacts'!D602)</f>
        <v>1.4162999999999999</v>
      </c>
      <c r="J602" s="91">
        <f>IF($E583&gt;0, $E583, $E582*$E585)</f>
        <v>2340</v>
      </c>
      <c r="K602" s="78">
        <f>J602*I602</f>
        <v>3314.1419999999998</v>
      </c>
      <c r="L602" s="78">
        <f t="shared" si="70"/>
        <v>284.07600000000002</v>
      </c>
      <c r="M602" s="77">
        <f>IF(ISERROR(L602/H602), "", L602/H602)</f>
        <v>9.375241331376942E-2</v>
      </c>
    </row>
    <row r="603" spans="1:13" x14ac:dyDescent="0.25">
      <c r="A603" s="40" t="str">
        <f>E580</f>
        <v>EMBEDDED DISTRIBUTOR - HONI #1</v>
      </c>
      <c r="B603" s="76" t="s">
        <v>201</v>
      </c>
      <c r="C603" s="50">
        <f>$B$39</f>
        <v>10</v>
      </c>
      <c r="D603" s="103" t="s">
        <v>200</v>
      </c>
      <c r="E603" s="102"/>
      <c r="F603" s="101"/>
      <c r="G603" s="100"/>
      <c r="H603" s="97">
        <f>SUM(H600:H602)</f>
        <v>32211.185454110753</v>
      </c>
      <c r="I603" s="99"/>
      <c r="J603" s="98"/>
      <c r="K603" s="97">
        <f>SUM(K600:K602)</f>
        <v>9637.8390062701055</v>
      </c>
      <c r="L603" s="97">
        <f t="shared" si="70"/>
        <v>-22573.346447840646</v>
      </c>
      <c r="M603" s="96">
        <f>IF((H603)=0,"",(L603/H603))</f>
        <v>-0.70079216674591105</v>
      </c>
    </row>
    <row r="604" spans="1:13" x14ac:dyDescent="0.25">
      <c r="A604" s="40" t="str">
        <f t="shared" ref="A604:A613" si="71">A560</f>
        <v>GENERAL SERVICE 50 TO 999 KW SERVICE CLASSIFICATION</v>
      </c>
      <c r="C604" s="50"/>
      <c r="D604" s="95" t="s">
        <v>83</v>
      </c>
      <c r="E604" s="82"/>
      <c r="F604" s="92">
        <f>SUMIFS('2.2-TSC Current Schedule'!E:E,'2.2-TSC Current Schedule'!H:H,'5. 2-W Bill Impacts'!$A604,'2.2-TSC Current Schedule'!G:G,'5. 2-W Bill Impacts'!D604)</f>
        <v>3.2000000000000002E-3</v>
      </c>
      <c r="G604" s="91">
        <f>E582*E584</f>
        <v>1364350.0000000002</v>
      </c>
      <c r="H604" s="78">
        <f>G604*F604</f>
        <v>4365.920000000001</v>
      </c>
      <c r="I604" s="93">
        <f>SUMIFS('4.2-TS Tariff Schedule'!E:E,'4.2-TS Tariff Schedule'!H:H,'5. 2-W Bill Impacts'!$E580,'4.2-TS Tariff Schedule'!G:G,'5. 2-W Bill Impacts'!D604)</f>
        <v>3.2000000000000002E-3</v>
      </c>
      <c r="J604" s="91">
        <f>E582*E585</f>
        <v>1326491.1444779541</v>
      </c>
      <c r="K604" s="78">
        <f>J604*I604</f>
        <v>4244.7716623294536</v>
      </c>
      <c r="L604" s="78">
        <f t="shared" si="70"/>
        <v>-121.14833767054733</v>
      </c>
      <c r="M604" s="77">
        <f>IF(ISERROR(L604/H604), "", L604/H604)</f>
        <v>-2.7748638928461196E-2</v>
      </c>
    </row>
    <row r="605" spans="1:13" x14ac:dyDescent="0.25">
      <c r="A605" s="40" t="str">
        <f t="shared" si="71"/>
        <v>GENERAL SERVICE 50 TO 999 KW SERVICE CLASSIFICATION</v>
      </c>
      <c r="C605" s="50"/>
      <c r="D605" s="95" t="s">
        <v>81</v>
      </c>
      <c r="E605" s="82"/>
      <c r="F605" s="92">
        <f>SUMIFS('2.2-TSC Current Schedule'!E:E,'2.2-TSC Current Schedule'!H:H,'5. 2-W Bill Impacts'!$A605,'2.2-TSC Current Schedule'!G:G,'5. 2-W Bill Impacts'!D605)</f>
        <v>4.0000000000000002E-4</v>
      </c>
      <c r="G605" s="91">
        <f>E582*E584</f>
        <v>1364350.0000000002</v>
      </c>
      <c r="H605" s="78">
        <f>G605*F605</f>
        <v>545.74000000000012</v>
      </c>
      <c r="I605" s="93">
        <f>SUMIFS('4.2-TS Tariff Schedule'!E:E,'4.2-TS Tariff Schedule'!H:H,'5. 2-W Bill Impacts'!$E580,'4.2-TS Tariff Schedule'!G:G,'5. 2-W Bill Impacts'!D605)</f>
        <v>4.0000000000000002E-4</v>
      </c>
      <c r="J605" s="91">
        <f>E582*E585</f>
        <v>1326491.1444779541</v>
      </c>
      <c r="K605" s="78">
        <f>J605*I605</f>
        <v>530.59645779118171</v>
      </c>
      <c r="L605" s="78">
        <f t="shared" si="70"/>
        <v>-15.143542208818417</v>
      </c>
      <c r="M605" s="77">
        <f>IF(ISERROR(L605/H605), "", L605/H605)</f>
        <v>-2.7748638928461196E-2</v>
      </c>
    </row>
    <row r="606" spans="1:13" x14ac:dyDescent="0.25">
      <c r="A606" s="40" t="str">
        <f t="shared" si="71"/>
        <v>GENERAL SERVICE 50 TO 999 KW SERVICE CLASSIFICATION</v>
      </c>
      <c r="C606" s="50"/>
      <c r="D606" s="95" t="s">
        <v>78</v>
      </c>
      <c r="E606" s="82"/>
      <c r="F606" s="92">
        <f>SUMIFS('2.2-TSC Current Schedule'!E:E,'2.2-TSC Current Schedule'!H:H,'5. 2-W Bill Impacts'!$A606,'2.2-TSC Current Schedule'!G:G,'5. 2-W Bill Impacts'!D606)</f>
        <v>2.9999999999999997E-4</v>
      </c>
      <c r="G606" s="91">
        <f>E582*E584</f>
        <v>1364350.0000000002</v>
      </c>
      <c r="H606" s="78">
        <f>G606*F606</f>
        <v>409.30500000000001</v>
      </c>
      <c r="I606" s="93">
        <f>SUMIFS('4.2-TS Tariff Schedule'!E:E,'4.2-TS Tariff Schedule'!H:H,'5. 2-W Bill Impacts'!$E580,'4.2-TS Tariff Schedule'!G:G,'5. 2-W Bill Impacts'!D606)</f>
        <v>2.9999999999999997E-4</v>
      </c>
      <c r="J606" s="91">
        <f>E582*E585</f>
        <v>1326491.1444779541</v>
      </c>
      <c r="K606" s="78">
        <f>J606*I606</f>
        <v>397.94734334338619</v>
      </c>
      <c r="L606" s="78">
        <f t="shared" si="70"/>
        <v>-11.357656656613813</v>
      </c>
      <c r="M606" s="77">
        <f>IF(ISERROR(L606/H606), "", L606/H606)</f>
        <v>-2.7748638928461203E-2</v>
      </c>
    </row>
    <row r="607" spans="1:13" x14ac:dyDescent="0.25">
      <c r="A607" s="40" t="str">
        <f t="shared" si="71"/>
        <v>GENERAL SERVICE 50 TO 999 KW SERVICE CLASSIFICATION</v>
      </c>
      <c r="C607" s="50"/>
      <c r="D607" s="63" t="s">
        <v>76</v>
      </c>
      <c r="E607" s="82"/>
      <c r="F607" s="92">
        <f>SUMIFS('2.2-TSC Current Schedule'!E:E,'2.2-TSC Current Schedule'!H:H,'5. 2-W Bill Impacts'!$A607,'2.2-TSC Current Schedule'!G:G,'5. 2-W Bill Impacts'!D607)</f>
        <v>0.25</v>
      </c>
      <c r="G607" s="94">
        <v>1</v>
      </c>
      <c r="H607" s="78">
        <f>G607*F607</f>
        <v>0.25</v>
      </c>
      <c r="I607" s="93">
        <f>SUMIFS('4.2-TS Tariff Schedule'!E:E,'4.2-TS Tariff Schedule'!H:H,'5. 2-W Bill Impacts'!$E580,'4.2-TS Tariff Schedule'!G:G,'5. 2-W Bill Impacts'!D607)</f>
        <v>0.25</v>
      </c>
      <c r="J607" s="78">
        <v>1</v>
      </c>
      <c r="K607" s="78">
        <f>J607*I607</f>
        <v>0.25</v>
      </c>
      <c r="L607" s="78">
        <f t="shared" si="70"/>
        <v>0</v>
      </c>
      <c r="M607" s="77">
        <f>IF(ISERROR(L607/H607), "", L607/H607)</f>
        <v>0</v>
      </c>
    </row>
    <row r="608" spans="1:13" x14ac:dyDescent="0.25">
      <c r="A608" s="40" t="str">
        <f t="shared" si="71"/>
        <v>GENERAL SERVICE 50 TO 999 KW SERVICE CLASSIFICATION</v>
      </c>
      <c r="C608" s="50"/>
      <c r="D608" s="63" t="s">
        <v>132</v>
      </c>
      <c r="E608" s="82"/>
      <c r="F608" s="92">
        <v>7.0000000000000001E-3</v>
      </c>
      <c r="G608" s="91">
        <f>E582</f>
        <v>1300000</v>
      </c>
      <c r="H608" s="78">
        <f>G608*F608</f>
        <v>9100</v>
      </c>
      <c r="I608" s="92">
        <v>7.0000000000000001E-3</v>
      </c>
      <c r="J608" s="91">
        <f>E582</f>
        <v>1300000</v>
      </c>
      <c r="K608" s="78">
        <f>J608*I608</f>
        <v>9100</v>
      </c>
      <c r="L608" s="78">
        <f t="shared" si="70"/>
        <v>0</v>
      </c>
      <c r="M608" s="77">
        <f>IF(ISERROR(L608/H608), "", L608/H608)</f>
        <v>0</v>
      </c>
    </row>
    <row r="609" spans="1:20" x14ac:dyDescent="0.25">
      <c r="A609" s="40" t="str">
        <f t="shared" si="71"/>
        <v>GENERAL SERVICE 50 TO 999 KW SERVICE CLASSIFICATION</v>
      </c>
      <c r="B609" s="76" t="s">
        <v>197</v>
      </c>
      <c r="C609" s="50"/>
      <c r="D609" s="83" t="s">
        <v>199</v>
      </c>
      <c r="E609" s="82"/>
      <c r="F609" s="90"/>
      <c r="G609" s="89"/>
      <c r="H609" s="86"/>
      <c r="I609" s="88"/>
      <c r="J609" s="87"/>
      <c r="K609" s="86"/>
      <c r="L609" s="85"/>
      <c r="M609" s="84"/>
    </row>
    <row r="610" spans="1:20" x14ac:dyDescent="0.25">
      <c r="A610" s="40" t="str">
        <f t="shared" si="71"/>
        <v>GENERAL SERVICE 50 TO 999 KW SERVICE CLASSIFICATION</v>
      </c>
      <c r="B610" s="76" t="s">
        <v>197</v>
      </c>
      <c r="C610" s="50"/>
      <c r="D610" s="83" t="s">
        <v>198</v>
      </c>
      <c r="E610" s="82"/>
      <c r="F610" s="90"/>
      <c r="G610" s="89"/>
      <c r="H610" s="86"/>
      <c r="I610" s="88"/>
      <c r="J610" s="87"/>
      <c r="K610" s="86"/>
      <c r="L610" s="85"/>
      <c r="M610" s="84"/>
    </row>
    <row r="611" spans="1:20" x14ac:dyDescent="0.25">
      <c r="A611" s="40" t="str">
        <f t="shared" si="71"/>
        <v>GENERAL SERVICE 50 TO 999 KW SERVICE CLASSIFICATION</v>
      </c>
      <c r="B611" s="76" t="s">
        <v>197</v>
      </c>
      <c r="C611" s="50"/>
      <c r="D611" s="76" t="s">
        <v>196</v>
      </c>
      <c r="E611" s="82"/>
      <c r="F611" s="90"/>
      <c r="G611" s="89"/>
      <c r="H611" s="86"/>
      <c r="I611" s="88"/>
      <c r="J611" s="87"/>
      <c r="K611" s="86"/>
      <c r="L611" s="85"/>
      <c r="M611" s="84"/>
    </row>
    <row r="612" spans="1:20" x14ac:dyDescent="0.25">
      <c r="A612" s="40" t="str">
        <f t="shared" si="71"/>
        <v>GENERAL SERVICE 50 TO 999 KW SERVICE CLASSIFICATION</v>
      </c>
      <c r="B612" s="40" t="s">
        <v>195</v>
      </c>
      <c r="C612" s="50"/>
      <c r="D612" s="83" t="s">
        <v>194</v>
      </c>
      <c r="E612" s="82"/>
      <c r="F612" s="81">
        <v>1.8855833333333332E-2</v>
      </c>
      <c r="G612" s="80">
        <f>IF(AND(E582*12&gt;=150000),E582*E584,E582)</f>
        <v>1364350.0000000002</v>
      </c>
      <c r="H612" s="79">
        <f>G612*F612</f>
        <v>25725.956208333337</v>
      </c>
      <c r="I612" s="81">
        <v>1.8855833333333332E-2</v>
      </c>
      <c r="J612" s="80">
        <f>IF(AND(E582*12&gt;=150000),E582*E585,E582)</f>
        <v>1326491.1444779541</v>
      </c>
      <c r="K612" s="79">
        <f>J612*I612</f>
        <v>25012.09593841889</v>
      </c>
      <c r="L612" s="78">
        <f>K612-H612</f>
        <v>-713.86026991444669</v>
      </c>
      <c r="M612" s="77">
        <f>IF(ISERROR(L612/H612), "", L612/H612)</f>
        <v>-2.7748638928461206E-2</v>
      </c>
    </row>
    <row r="613" spans="1:20" ht="13.8" thickBot="1" x14ac:dyDescent="0.3">
      <c r="A613" s="40" t="str">
        <f t="shared" si="71"/>
        <v>GENERAL SERVICE 50 TO 999 KW SERVICE CLASSIFICATION</v>
      </c>
      <c r="B613" s="40" t="s">
        <v>188</v>
      </c>
      <c r="C613" s="50"/>
      <c r="D613" s="83" t="s">
        <v>193</v>
      </c>
      <c r="E613" s="82"/>
      <c r="F613" s="81">
        <v>0.10303000000000001</v>
      </c>
      <c r="G613" s="80">
        <f>IF(AND(E582*12&gt;=150000),E582*E584,E582)</f>
        <v>1364350.0000000002</v>
      </c>
      <c r="H613" s="79">
        <f>G613*F613</f>
        <v>140568.98050000003</v>
      </c>
      <c r="I613" s="81">
        <v>0.10303000000000001</v>
      </c>
      <c r="J613" s="80">
        <f>IF(AND(E582*12&gt;=150000),E582*E585,E582)</f>
        <v>1326491.1444779541</v>
      </c>
      <c r="K613" s="79">
        <f>J613*I613</f>
        <v>136668.38261556363</v>
      </c>
      <c r="L613" s="78">
        <f>K613-H613</f>
        <v>-3900.5978844363999</v>
      </c>
      <c r="M613" s="77">
        <f>IF(ISERROR(L613/H613), "", L613/H613)</f>
        <v>-2.7748638928461168E-2</v>
      </c>
    </row>
    <row r="614" spans="1:20" ht="13.8" thickBot="1" x14ac:dyDescent="0.3">
      <c r="A614" s="40" t="str">
        <f>E580</f>
        <v>EMBEDDED DISTRIBUTOR - HONI #1</v>
      </c>
      <c r="B614" s="76"/>
      <c r="C614" s="50"/>
      <c r="D614" s="49"/>
      <c r="E614" s="48"/>
      <c r="F614" s="74"/>
      <c r="G614" s="75"/>
      <c r="H614" s="72"/>
      <c r="I614" s="74"/>
      <c r="J614" s="73"/>
      <c r="K614" s="72"/>
      <c r="L614" s="71"/>
      <c r="M614" s="70"/>
    </row>
    <row r="615" spans="1:20" x14ac:dyDescent="0.25">
      <c r="A615" s="40" t="str">
        <f>A614</f>
        <v>EMBEDDED DISTRIBUTOR - HONI #1</v>
      </c>
      <c r="B615" s="40" t="s">
        <v>188</v>
      </c>
      <c r="C615" s="50"/>
      <c r="D615" s="69" t="s">
        <v>189</v>
      </c>
      <c r="E615" s="63"/>
      <c r="F615" s="61"/>
      <c r="G615" s="62"/>
      <c r="H615" s="67">
        <f>SUM(H603:H614)</f>
        <v>212927.33716244414</v>
      </c>
      <c r="I615" s="68"/>
      <c r="J615" s="68"/>
      <c r="K615" s="67">
        <f>SUM(K603:K614)</f>
        <v>185591.88302371665</v>
      </c>
      <c r="L615" s="66">
        <f>K615-H615</f>
        <v>-27335.45413872748</v>
      </c>
      <c r="M615" s="65">
        <f>IF((H615)=0,"",(L615/H615))</f>
        <v>-0.1283792607516292</v>
      </c>
    </row>
    <row r="616" spans="1:20" x14ac:dyDescent="0.25">
      <c r="A616" s="40" t="str">
        <f>A615</f>
        <v>EMBEDDED DISTRIBUTOR - HONI #1</v>
      </c>
      <c r="B616" s="40" t="s">
        <v>188</v>
      </c>
      <c r="C616" s="50"/>
      <c r="D616" s="64" t="s">
        <v>192</v>
      </c>
      <c r="E616" s="63"/>
      <c r="F616" s="61">
        <v>0.13</v>
      </c>
      <c r="G616" s="62"/>
      <c r="H616" s="59">
        <f>H615*F616</f>
        <v>27680.553831117737</v>
      </c>
      <c r="I616" s="61">
        <v>0.13</v>
      </c>
      <c r="J616" s="60"/>
      <c r="K616" s="59">
        <f>K615*I616</f>
        <v>24126.944793083167</v>
      </c>
      <c r="L616" s="58">
        <f>K616-H616</f>
        <v>-3553.6090380345704</v>
      </c>
      <c r="M616" s="57">
        <f>IF((H616)=0,"",(L616/H616))</f>
        <v>-0.12837926075162912</v>
      </c>
    </row>
    <row r="617" spans="1:20" x14ac:dyDescent="0.25">
      <c r="A617" s="40" t="str">
        <f>A616</f>
        <v>EMBEDDED DISTRIBUTOR - HONI #1</v>
      </c>
      <c r="B617" s="40" t="s">
        <v>188</v>
      </c>
      <c r="C617" s="50"/>
      <c r="D617" s="64" t="s">
        <v>191</v>
      </c>
      <c r="E617" s="63"/>
      <c r="F617" s="61">
        <v>0.08</v>
      </c>
      <c r="G617" s="62"/>
      <c r="H617" s="59">
        <v>0</v>
      </c>
      <c r="I617" s="61">
        <v>0.08</v>
      </c>
      <c r="J617" s="60"/>
      <c r="K617" s="59">
        <v>0</v>
      </c>
      <c r="L617" s="58"/>
      <c r="M617" s="57"/>
    </row>
    <row r="618" spans="1:20" ht="13.8" thickBot="1" x14ac:dyDescent="0.3">
      <c r="A618" s="40" t="str">
        <f>A617</f>
        <v>EMBEDDED DISTRIBUTOR - HONI #1</v>
      </c>
      <c r="B618" s="40" t="s">
        <v>190</v>
      </c>
      <c r="C618" s="50">
        <f>$B$39</f>
        <v>10</v>
      </c>
      <c r="D618" s="264" t="s">
        <v>189</v>
      </c>
      <c r="E618" s="264"/>
      <c r="F618" s="56"/>
      <c r="G618" s="55"/>
      <c r="H618" s="53">
        <f>H615+H616+H617</f>
        <v>240607.89099356189</v>
      </c>
      <c r="I618" s="54"/>
      <c r="J618" s="54"/>
      <c r="K618" s="53">
        <f>K615+K616+K617</f>
        <v>209718.82781679981</v>
      </c>
      <c r="L618" s="52">
        <f>K618-H618</f>
        <v>-30889.06317676208</v>
      </c>
      <c r="M618" s="51">
        <f>IF((H618)=0,"",(L618/H618))</f>
        <v>-0.12837926075162931</v>
      </c>
    </row>
    <row r="619" spans="1:20" ht="13.8" thickBot="1" x14ac:dyDescent="0.3">
      <c r="A619" s="40" t="str">
        <f>A618</f>
        <v>EMBEDDED DISTRIBUTOR - HONI #1</v>
      </c>
      <c r="B619" s="40" t="s">
        <v>188</v>
      </c>
      <c r="C619" s="50"/>
      <c r="D619" s="49"/>
      <c r="E619" s="48"/>
      <c r="F619" s="46"/>
      <c r="G619" s="47"/>
      <c r="H619" s="44"/>
      <c r="I619" s="46"/>
      <c r="J619" s="45"/>
      <c r="K619" s="44"/>
      <c r="L619" s="43"/>
      <c r="M619" s="42"/>
    </row>
    <row r="624" spans="1:20" x14ac:dyDescent="0.25">
      <c r="D624" s="128" t="s">
        <v>223</v>
      </c>
      <c r="E624" s="265" t="str">
        <f>D41</f>
        <v>EMBEDDED DISTRIBUTOR - HONI #2</v>
      </c>
      <c r="F624" s="265"/>
      <c r="G624" s="265"/>
      <c r="H624" s="265"/>
      <c r="I624" s="265"/>
      <c r="J624" s="265"/>
      <c r="K624" s="40" t="str">
        <f>IF(N299="DEMAND - INTERVAL","RTSR - INTERVAL METERED","")</f>
        <v/>
      </c>
      <c r="T624" s="40" t="s">
        <v>222</v>
      </c>
    </row>
    <row r="625" spans="1:13" x14ac:dyDescent="0.25">
      <c r="D625" s="128" t="s">
        <v>221</v>
      </c>
      <c r="E625" s="266" t="str">
        <f>H41</f>
        <v>Non-RPP (Other)</v>
      </c>
      <c r="F625" s="266"/>
      <c r="G625" s="266"/>
      <c r="H625" s="135"/>
      <c r="I625" s="135"/>
    </row>
    <row r="626" spans="1:13" ht="15.6" x14ac:dyDescent="0.25">
      <c r="D626" s="128" t="s">
        <v>220</v>
      </c>
      <c r="E626" s="132">
        <f>K41</f>
        <v>1990000</v>
      </c>
      <c r="F626" s="134" t="s">
        <v>219</v>
      </c>
      <c r="G626" s="76"/>
      <c r="J626" s="133"/>
      <c r="K626" s="133"/>
      <c r="L626" s="133"/>
      <c r="M626" s="133"/>
    </row>
    <row r="627" spans="1:13" ht="15.6" x14ac:dyDescent="0.3">
      <c r="D627" s="128" t="s">
        <v>218</v>
      </c>
      <c r="E627" s="132">
        <f>L41</f>
        <v>4050</v>
      </c>
      <c r="F627" s="131" t="s">
        <v>217</v>
      </c>
      <c r="G627" s="130"/>
      <c r="H627" s="129"/>
      <c r="I627" s="129"/>
      <c r="J627" s="129"/>
    </row>
    <row r="628" spans="1:13" x14ac:dyDescent="0.25">
      <c r="D628" s="128" t="s">
        <v>216</v>
      </c>
      <c r="E628" s="127">
        <f>I41</f>
        <v>1.0495000000000001</v>
      </c>
    </row>
    <row r="629" spans="1:13" x14ac:dyDescent="0.25">
      <c r="D629" s="128" t="s">
        <v>215</v>
      </c>
      <c r="E629" s="127">
        <f>J41</f>
        <v>1.0203778034445801</v>
      </c>
    </row>
    <row r="630" spans="1:13" x14ac:dyDescent="0.25">
      <c r="D630" s="76"/>
    </row>
    <row r="631" spans="1:13" x14ac:dyDescent="0.25">
      <c r="D631" s="76"/>
      <c r="E631" s="126"/>
      <c r="F631" s="267" t="s">
        <v>214</v>
      </c>
      <c r="G631" s="268"/>
      <c r="H631" s="269"/>
      <c r="I631" s="267" t="s">
        <v>139</v>
      </c>
      <c r="J631" s="268"/>
      <c r="K631" s="269"/>
      <c r="L631" s="267" t="s">
        <v>213</v>
      </c>
      <c r="M631" s="269"/>
    </row>
    <row r="632" spans="1:13" x14ac:dyDescent="0.25">
      <c r="D632" s="76"/>
      <c r="E632" s="270"/>
      <c r="F632" s="125" t="s">
        <v>212</v>
      </c>
      <c r="G632" s="125" t="s">
        <v>211</v>
      </c>
      <c r="H632" s="123" t="s">
        <v>210</v>
      </c>
      <c r="I632" s="125" t="s">
        <v>212</v>
      </c>
      <c r="J632" s="124" t="s">
        <v>211</v>
      </c>
      <c r="K632" s="123" t="s">
        <v>210</v>
      </c>
      <c r="L632" s="272" t="s">
        <v>209</v>
      </c>
      <c r="M632" s="274" t="s">
        <v>208</v>
      </c>
    </row>
    <row r="633" spans="1:13" x14ac:dyDescent="0.25">
      <c r="D633" s="76"/>
      <c r="E633" s="271"/>
      <c r="F633" s="122" t="s">
        <v>207</v>
      </c>
      <c r="G633" s="122"/>
      <c r="H633" s="121" t="s">
        <v>207</v>
      </c>
      <c r="I633" s="122" t="s">
        <v>207</v>
      </c>
      <c r="J633" s="121"/>
      <c r="K633" s="121" t="s">
        <v>207</v>
      </c>
      <c r="L633" s="273"/>
      <c r="M633" s="275"/>
    </row>
    <row r="634" spans="1:13" x14ac:dyDescent="0.25">
      <c r="A634" s="40" t="str">
        <f>A590</f>
        <v>GENERAL SERVICE 50 TO 999 KW SERVICE CLASSIFICATION</v>
      </c>
      <c r="C634" s="50"/>
      <c r="D634" s="120" t="s">
        <v>97</v>
      </c>
      <c r="E634" s="82"/>
      <c r="F634" s="92">
        <f>SUMIFS('2.2-TSC Current Schedule'!E:E,'2.2-TSC Current Schedule'!H:H,'5. 2-W Bill Impacts'!$A634,'2.2-TSC Current Schedule'!G:G,'5. 2-W Bill Impacts'!D634)</f>
        <v>96.98</v>
      </c>
      <c r="G634" s="94">
        <v>1</v>
      </c>
      <c r="H634" s="78">
        <f>G634*F634</f>
        <v>96.98</v>
      </c>
      <c r="I634" s="93">
        <f>SUMIFS('4.2-TS Tariff Schedule'!E:E,'4.2-TS Tariff Schedule'!H:H,'5. 2-W Bill Impacts'!$E624,'4.2-TS Tariff Schedule'!G:G,'5. 2-W Bill Impacts'!D634)</f>
        <v>58.48</v>
      </c>
      <c r="J634" s="115">
        <f>G634</f>
        <v>1</v>
      </c>
      <c r="K634" s="78">
        <f>J634*I634</f>
        <v>58.48</v>
      </c>
      <c r="L634" s="78">
        <f t="shared" ref="L634:L652" si="72">K634-H634</f>
        <v>-38.500000000000007</v>
      </c>
      <c r="M634" s="77">
        <f>IF(ISERROR(L634/H634), "", L634/H634)</f>
        <v>-0.39698906991132199</v>
      </c>
    </row>
    <row r="635" spans="1:13" x14ac:dyDescent="0.25">
      <c r="C635" s="50"/>
      <c r="D635" s="120" t="s">
        <v>96</v>
      </c>
      <c r="E635" s="82"/>
      <c r="F635" s="92">
        <f>SUMIFS('2.2-TSC Current Schedule'!E:E,'2.2-TSC Current Schedule'!H:H,'5. 2-W Bill Impacts'!$A635,'2.2-TSC Current Schedule'!G:G,'5. 2-W Bill Impacts'!D635)</f>
        <v>0</v>
      </c>
      <c r="G635" s="94">
        <f>IF($E627&gt;0, $E627, $E626)</f>
        <v>4050</v>
      </c>
      <c r="H635" s="78">
        <f>G635*F635</f>
        <v>0</v>
      </c>
      <c r="I635" s="93">
        <f>SUMIFS('4.2-TS Tariff Schedule'!E:E,'4.2-TS Tariff Schedule'!H:H,'5. 2-W Bill Impacts'!$E624,'4.2-TS Tariff Schedule'!G:G,'5. 2-W Bill Impacts'!D635)</f>
        <v>0</v>
      </c>
      <c r="J635" s="115">
        <f>IF($E627&gt;0, $E627, $E626)</f>
        <v>4050</v>
      </c>
      <c r="K635" s="78">
        <f>J635*I635</f>
        <v>0</v>
      </c>
      <c r="L635" s="78">
        <f t="shared" si="72"/>
        <v>0</v>
      </c>
      <c r="M635" s="77" t="str">
        <f>IF(ISERROR(L635/H635), "", L635/H635)</f>
        <v/>
      </c>
    </row>
    <row r="636" spans="1:13" x14ac:dyDescent="0.25">
      <c r="A636" s="40" t="str">
        <f>A592</f>
        <v>GENERAL SERVICE 50 TO 999 KW SERVICE CLASSIFICATION</v>
      </c>
      <c r="C636" s="50"/>
      <c r="D636" s="119" t="s">
        <v>118</v>
      </c>
      <c r="E636" s="82"/>
      <c r="F636" s="118">
        <f>SUMIFS('2.2-TSC Current Schedule'!E:E,'2.2-TSC Current Schedule'!H:H,'5. 2-W Bill Impacts'!$A636,'2.2-TSC Current Schedule'!G:G,'5. 2-W Bill Impacts'!D636)</f>
        <v>0</v>
      </c>
      <c r="G636" s="94">
        <v>1</v>
      </c>
      <c r="H636" s="78">
        <f>G636*F636</f>
        <v>0</v>
      </c>
      <c r="I636" s="117">
        <f>SUMIFS('4.2-TS Tariff Schedule'!E:E,'4.2-TS Tariff Schedule'!H:H,'5. 2-W Bill Impacts'!$E624,'4.2-TS Tariff Schedule'!G:G,'5. 2-W Bill Impacts'!D636)</f>
        <v>0</v>
      </c>
      <c r="J636" s="115">
        <f>G636</f>
        <v>1</v>
      </c>
      <c r="K636" s="78">
        <f>J636*I636</f>
        <v>0</v>
      </c>
      <c r="L636" s="78">
        <f t="shared" si="72"/>
        <v>0</v>
      </c>
      <c r="M636" s="77" t="str">
        <f>IF(ISERROR(L636/H636), "", L636/H636)</f>
        <v/>
      </c>
    </row>
    <row r="637" spans="1:13" x14ac:dyDescent="0.25">
      <c r="A637" s="40" t="str">
        <f>A593</f>
        <v>GENERAL SERVICE 50 TO 999 KW SERVICE CLASSIFICATION</v>
      </c>
      <c r="C637" s="50"/>
      <c r="D637" s="116" t="s">
        <v>152</v>
      </c>
      <c r="E637" s="82"/>
      <c r="F637" s="92">
        <f>SUMIFS('2.2-TSC Current Schedule'!E:E,'2.2-TSC Current Schedule'!H:H,'5. 2-W Bill Impacts'!$A637,'2.2-TSC Current Schedule'!G:G,'5. 2-W Bill Impacts'!D637)</f>
        <v>0</v>
      </c>
      <c r="G637" s="94">
        <f>IF($E627&gt;0, $E627, $E626)</f>
        <v>4050</v>
      </c>
      <c r="H637" s="78">
        <f>G637*F637</f>
        <v>0</v>
      </c>
      <c r="I637" s="93">
        <f>SUMIFS('4.2-TS Tariff Schedule'!E:E,'4.2-TS Tariff Schedule'!H:H,'5. 2-W Bill Impacts'!$E624,'4.2-TS Tariff Schedule'!G:G,'5. 2-W Bill Impacts'!D637)</f>
        <v>-0.23523925212494415</v>
      </c>
      <c r="J637" s="115">
        <f>IF($E627&gt;0, $E627, $E626)</f>
        <v>4050</v>
      </c>
      <c r="K637" s="78">
        <f>J637*I637</f>
        <v>-952.71897110602379</v>
      </c>
      <c r="L637" s="78">
        <f t="shared" si="72"/>
        <v>-952.71897110602379</v>
      </c>
      <c r="M637" s="77" t="str">
        <f>IF(ISERROR(L637/H637), "", L637/H637)</f>
        <v/>
      </c>
    </row>
    <row r="638" spans="1:13" x14ac:dyDescent="0.25">
      <c r="A638" s="40" t="str">
        <f>E624</f>
        <v>EMBEDDED DISTRIBUTOR - HONI #2</v>
      </c>
      <c r="B638" s="114" t="s">
        <v>206</v>
      </c>
      <c r="C638" s="50">
        <f>$B$39</f>
        <v>10</v>
      </c>
      <c r="D638" s="113" t="s">
        <v>205</v>
      </c>
      <c r="E638" s="102"/>
      <c r="F638" s="112"/>
      <c r="G638" s="100"/>
      <c r="H638" s="97">
        <f>SUM(H634:H637)</f>
        <v>96.98</v>
      </c>
      <c r="I638" s="111"/>
      <c r="J638" s="106"/>
      <c r="K638" s="97">
        <f>SUM(K634:K637)</f>
        <v>-894.23897110602377</v>
      </c>
      <c r="L638" s="97">
        <f t="shared" si="72"/>
        <v>-991.21897110602379</v>
      </c>
      <c r="M638" s="96">
        <f>IF((H638)=0,"",(L638/H638))</f>
        <v>-10.220859673190594</v>
      </c>
    </row>
    <row r="639" spans="1:13" x14ac:dyDescent="0.25">
      <c r="C639" s="50"/>
      <c r="D639" s="110" t="s">
        <v>204</v>
      </c>
      <c r="E639" s="82"/>
      <c r="F639" s="93">
        <f>SUMIFS('2.2-TSC Current Schedule'!E:E,'2.2-TSC Current Schedule'!H:H,'5. 2-W Bill Impacts'!$A639,'2.2-TSC Current Schedule'!G:G,'5. 2-W Bill Impacts'!D639)</f>
        <v>0</v>
      </c>
      <c r="G639" s="91">
        <f>IF(F639=0, 0, $E626*E628-E626)</f>
        <v>0</v>
      </c>
      <c r="H639" s="78">
        <f>G639*F639</f>
        <v>0</v>
      </c>
      <c r="I639" s="93">
        <f>IF((E626*12&gt;=150000), 0, IF(E625="RPP",(I653*0.65+I654*0.17+I655*0.18),IF(E625="Non-RPP (Retailer)",I656,I657)))</f>
        <v>0</v>
      </c>
      <c r="J639" s="91">
        <f>IF(I639=0, 0, E626*E629-E626)</f>
        <v>0</v>
      </c>
      <c r="K639" s="78">
        <f>J639*I639</f>
        <v>0</v>
      </c>
      <c r="L639" s="78">
        <f t="shared" si="72"/>
        <v>0</v>
      </c>
      <c r="M639" s="77" t="str">
        <f>IF(ISERROR(L639/H639), "", L639/H639)</f>
        <v/>
      </c>
    </row>
    <row r="640" spans="1:13" x14ac:dyDescent="0.25">
      <c r="C640" s="50"/>
      <c r="D640" s="110" t="s">
        <v>90</v>
      </c>
      <c r="E640" s="82"/>
      <c r="F640" s="92">
        <f>SUMIFS('2.2-TSC Current Schedule'!E:E,'2.2-TSC Current Schedule'!H:H,'5. 2-W Bill Impacts'!$A640,'2.2-TSC Current Schedule'!G:G,'5. 2-W Bill Impacts'!D640)</f>
        <v>0</v>
      </c>
      <c r="G640" s="109">
        <f>IF($E627&gt;0, $E627, $E626)</f>
        <v>4050</v>
      </c>
      <c r="H640" s="78">
        <f>G640*F640</f>
        <v>0</v>
      </c>
      <c r="I640" s="93">
        <f>SUMIFS('4.2-TS Tariff Schedule'!E:E,'4.2-TS Tariff Schedule'!H:H,'5. 2-W Bill Impacts'!$E624,'4.2-TS Tariff Schedule'!G:G,'5. 2-W Bill Impacts'!D640)</f>
        <v>-0.58223592693322634</v>
      </c>
      <c r="J640" s="109">
        <f>IF($E627&gt;0, $E627, $E626)</f>
        <v>4050</v>
      </c>
      <c r="K640" s="78">
        <f>J640*I640</f>
        <v>-2358.0555040795666</v>
      </c>
      <c r="L640" s="78">
        <f t="shared" si="72"/>
        <v>-2358.0555040795666</v>
      </c>
      <c r="M640" s="77" t="str">
        <f>IF(ISERROR(L640/H640), "", L640/H640)</f>
        <v/>
      </c>
    </row>
    <row r="641" spans="1:13" x14ac:dyDescent="0.25">
      <c r="C641" s="50"/>
      <c r="D641" s="110" t="s">
        <v>92</v>
      </c>
      <c r="E641" s="82"/>
      <c r="F641" s="92">
        <f>SUMIFS('2.2-TSC Current Schedule'!E:E,'2.2-TSC Current Schedule'!H:H,'5. 2-W Bill Impacts'!$A641,'2.2-TSC Current Schedule'!G:G,'5. 2-W Bill Impacts'!D641)</f>
        <v>0</v>
      </c>
      <c r="G641" s="109">
        <f>E626</f>
        <v>1990000</v>
      </c>
      <c r="H641" s="78">
        <f>G641*F641</f>
        <v>0</v>
      </c>
      <c r="I641" s="93">
        <f>SUMIFS('4.2-TS Tariff Schedule'!E:E,'4.2-TS Tariff Schedule'!H:H,'5. 2-W Bill Impacts'!$E624,'4.2-TS Tariff Schedule'!G:G,'5. 2-W Bill Impacts'!D641)</f>
        <v>3.8237144354832221E-4</v>
      </c>
      <c r="J641" s="109">
        <f>E626</f>
        <v>1990000</v>
      </c>
      <c r="K641" s="78">
        <f>J641*I641</f>
        <v>760.91917266116116</v>
      </c>
      <c r="L641" s="78">
        <f t="shared" si="72"/>
        <v>760.91917266116116</v>
      </c>
      <c r="M641" s="77" t="str">
        <f>IF(ISERROR(L641/H641), "", L641/H641)</f>
        <v/>
      </c>
    </row>
    <row r="642" spans="1:13" x14ac:dyDescent="0.25">
      <c r="C642" s="50"/>
      <c r="D642" s="108" t="s">
        <v>94</v>
      </c>
      <c r="E642" s="82"/>
      <c r="F642" s="92">
        <f>SUMIFS('2.2-TSC Current Schedule'!E:E,'2.2-TSC Current Schedule'!H:H,'5. 2-W Bill Impacts'!$A642,'2.2-TSC Current Schedule'!G:G,'5. 2-W Bill Impacts'!D642)</f>
        <v>0</v>
      </c>
      <c r="G642" s="109">
        <f>IF($E627&gt;0, $E627, $E626)</f>
        <v>4050</v>
      </c>
      <c r="H642" s="78">
        <f>G642*F642</f>
        <v>0</v>
      </c>
      <c r="I642" s="93">
        <f>SUMIFS('4.2-TS Tariff Schedule'!E:E,'4.2-TS Tariff Schedule'!H:H,'5. 2-W Bill Impacts'!$E624,'4.2-TS Tariff Schedule'!G:G,'5. 2-W Bill Impacts'!D642)</f>
        <v>0</v>
      </c>
      <c r="J642" s="109">
        <f>IF($E627&gt;0, $E627, $E626)</f>
        <v>4050</v>
      </c>
      <c r="K642" s="78">
        <f>J642*I642</f>
        <v>0</v>
      </c>
      <c r="L642" s="78">
        <f t="shared" si="72"/>
        <v>0</v>
      </c>
      <c r="M642" s="77" t="str">
        <f>IF(ISERROR(L642/H642), "", L642/H642)</f>
        <v/>
      </c>
    </row>
    <row r="643" spans="1:13" x14ac:dyDescent="0.25">
      <c r="C643" s="50"/>
      <c r="D643" s="108" t="s">
        <v>116</v>
      </c>
      <c r="E643" s="82"/>
      <c r="F643" s="92">
        <f>SUMIFS('2.2-TSC Current Schedule'!E:E,'2.2-TSC Current Schedule'!H:H,'5. 2-W Bill Impacts'!$A643,'2.2-TSC Current Schedule'!G:G,'5. 2-W Bill Impacts'!D643)</f>
        <v>0</v>
      </c>
      <c r="G643" s="94">
        <v>1</v>
      </c>
      <c r="H643" s="78">
        <f>G643*F643</f>
        <v>0</v>
      </c>
      <c r="I643" s="93">
        <f>SUMIFS('4.2-TS Tariff Schedule'!E:E,'4.2-TS Tariff Schedule'!H:H,'5. 2-W Bill Impacts'!$E624,'4.2-TS Tariff Schedule'!G:G,'5. 2-W Bill Impacts'!D643)</f>
        <v>0</v>
      </c>
      <c r="J643" s="94">
        <v>1</v>
      </c>
      <c r="K643" s="78">
        <f>J643*I643</f>
        <v>0</v>
      </c>
      <c r="L643" s="78">
        <f t="shared" si="72"/>
        <v>0</v>
      </c>
      <c r="M643" s="77" t="str">
        <f>IF(ISERROR(L643/H643), "", L643/H643)</f>
        <v/>
      </c>
    </row>
    <row r="644" spans="1:13" x14ac:dyDescent="0.25">
      <c r="A644" s="40" t="str">
        <f>E624</f>
        <v>EMBEDDED DISTRIBUTOR - HONI #2</v>
      </c>
      <c r="B644" s="76" t="s">
        <v>203</v>
      </c>
      <c r="C644" s="50">
        <f>$B$39</f>
        <v>10</v>
      </c>
      <c r="D644" s="103" t="s">
        <v>202</v>
      </c>
      <c r="E644" s="107"/>
      <c r="F644" s="101"/>
      <c r="G644" s="100"/>
      <c r="H644" s="97">
        <f>SUM(H638:H643)</f>
        <v>96.98</v>
      </c>
      <c r="I644" s="99"/>
      <c r="J644" s="106"/>
      <c r="K644" s="97">
        <f>SUM(K638:K643)</f>
        <v>-2491.3753025244291</v>
      </c>
      <c r="L644" s="97">
        <f t="shared" si="72"/>
        <v>-2588.3553025244291</v>
      </c>
      <c r="M644" s="96">
        <f>IF((H644)=0,"",(L644/H644))</f>
        <v>-26.689578289589907</v>
      </c>
    </row>
    <row r="645" spans="1:13" x14ac:dyDescent="0.25">
      <c r="C645" s="50"/>
      <c r="D645" s="105" t="s">
        <v>88</v>
      </c>
      <c r="E645" s="82"/>
      <c r="F645" s="92">
        <f>SUMIFS('2.2-TSC Current Schedule'!E:E,'2.2-TSC Current Schedule'!H:H,'5. 2-W Bill Impacts'!$A645,'2.2-TSC Current Schedule'!G:G,'5. 2-W Bill Impacts'!D645)</f>
        <v>0</v>
      </c>
      <c r="G645" s="91">
        <f>IF($E627&gt;0, $E627, $E626*$E628)</f>
        <v>4050</v>
      </c>
      <c r="H645" s="78">
        <f>G645*F645</f>
        <v>0</v>
      </c>
      <c r="I645" s="93">
        <f>SUMIFS('4.2-TS Tariff Schedule'!E:E,'4.2-TS Tariff Schedule'!H:H,'5. 2-W Bill Impacts'!$E624,'4.2-TS Tariff Schedule'!G:G,'5. 2-W Bill Impacts'!D645)</f>
        <v>0</v>
      </c>
      <c r="J645" s="91">
        <f>IF($E627&gt;0, $E627, $E626*$E629)</f>
        <v>4050</v>
      </c>
      <c r="K645" s="78">
        <f>J645*I645</f>
        <v>0</v>
      </c>
      <c r="L645" s="78">
        <f t="shared" si="72"/>
        <v>0</v>
      </c>
      <c r="M645" s="77" t="str">
        <f>IF(ISERROR(L645/H645), "", L645/H645)</f>
        <v/>
      </c>
    </row>
    <row r="646" spans="1:13" x14ac:dyDescent="0.25">
      <c r="C646" s="50"/>
      <c r="D646" s="104" t="s">
        <v>86</v>
      </c>
      <c r="E646" s="82"/>
      <c r="F646" s="92">
        <f>SUMIFS('2.2-TSC Current Schedule'!E:E,'2.2-TSC Current Schedule'!H:H,'5. 2-W Bill Impacts'!$A646,'2.2-TSC Current Schedule'!G:G,'5. 2-W Bill Impacts'!D646)</f>
        <v>0</v>
      </c>
      <c r="G646" s="91">
        <f>IF($E627&gt;0, $E627, $E626*$E628)</f>
        <v>4050</v>
      </c>
      <c r="H646" s="78">
        <f>G646*F646</f>
        <v>0</v>
      </c>
      <c r="I646" s="93">
        <f>SUMIFS('4.2-TS Tariff Schedule'!E:E,'4.2-TS Tariff Schedule'!H:H,'5. 2-W Bill Impacts'!$E624,'4.2-TS Tariff Schedule'!G:G,'5. 2-W Bill Impacts'!D646)</f>
        <v>0</v>
      </c>
      <c r="J646" s="91">
        <f>IF($E627&gt;0, $E627, $E626*$E629)</f>
        <v>4050</v>
      </c>
      <c r="K646" s="78">
        <f>J646*I646</f>
        <v>0</v>
      </c>
      <c r="L646" s="78">
        <f t="shared" si="72"/>
        <v>0</v>
      </c>
      <c r="M646" s="77" t="str">
        <f>IF(ISERROR(L646/H646), "", L646/H646)</f>
        <v/>
      </c>
    </row>
    <row r="647" spans="1:13" x14ac:dyDescent="0.25">
      <c r="A647" s="40" t="str">
        <f>E624</f>
        <v>EMBEDDED DISTRIBUTOR - HONI #2</v>
      </c>
      <c r="B647" s="76" t="s">
        <v>201</v>
      </c>
      <c r="C647" s="50">
        <f>$B$39</f>
        <v>10</v>
      </c>
      <c r="D647" s="103" t="s">
        <v>200</v>
      </c>
      <c r="E647" s="102"/>
      <c r="F647" s="101"/>
      <c r="G647" s="100"/>
      <c r="H647" s="97">
        <f>SUM(H644:H646)</f>
        <v>96.98</v>
      </c>
      <c r="I647" s="99"/>
      <c r="J647" s="98"/>
      <c r="K647" s="97">
        <f>SUM(K644:K646)</f>
        <v>-2491.3753025244291</v>
      </c>
      <c r="L647" s="97">
        <f t="shared" si="72"/>
        <v>-2588.3553025244291</v>
      </c>
      <c r="M647" s="96">
        <f>IF((H647)=0,"",(L647/H647))</f>
        <v>-26.689578289589907</v>
      </c>
    </row>
    <row r="648" spans="1:13" x14ac:dyDescent="0.25">
      <c r="A648" s="40" t="str">
        <f t="shared" ref="A648:A657" si="73">A604</f>
        <v>GENERAL SERVICE 50 TO 999 KW SERVICE CLASSIFICATION</v>
      </c>
      <c r="C648" s="50"/>
      <c r="D648" s="95" t="s">
        <v>83</v>
      </c>
      <c r="E648" s="82"/>
      <c r="F648" s="92">
        <f>SUMIFS('2.2-TSC Current Schedule'!E:E,'2.2-TSC Current Schedule'!H:H,'5. 2-W Bill Impacts'!$A648,'2.2-TSC Current Schedule'!G:G,'5. 2-W Bill Impacts'!D648)</f>
        <v>3.2000000000000002E-3</v>
      </c>
      <c r="G648" s="91">
        <f>E626*E628</f>
        <v>2088505.0000000002</v>
      </c>
      <c r="H648" s="78">
        <f>G648*F648</f>
        <v>6683.2160000000013</v>
      </c>
      <c r="I648" s="93">
        <f>SUMIFS('4.2-TS Tariff Schedule'!E:E,'4.2-TS Tariff Schedule'!H:H,'5. 2-W Bill Impacts'!$E624,'4.2-TS Tariff Schedule'!G:G,'5. 2-W Bill Impacts'!D648)</f>
        <v>3.2000000000000002E-3</v>
      </c>
      <c r="J648" s="91">
        <f>E626*E629</f>
        <v>2030551.8288547143</v>
      </c>
      <c r="K648" s="78">
        <f>J648*I648</f>
        <v>6497.7658523350856</v>
      </c>
      <c r="L648" s="78">
        <f t="shared" si="72"/>
        <v>-185.45014766491568</v>
      </c>
      <c r="M648" s="77">
        <f>IF(ISERROR(L648/H648), "", L648/H648)</f>
        <v>-2.7748638928461335E-2</v>
      </c>
    </row>
    <row r="649" spans="1:13" x14ac:dyDescent="0.25">
      <c r="A649" s="40" t="str">
        <f t="shared" si="73"/>
        <v>GENERAL SERVICE 50 TO 999 KW SERVICE CLASSIFICATION</v>
      </c>
      <c r="C649" s="50"/>
      <c r="D649" s="95" t="s">
        <v>81</v>
      </c>
      <c r="E649" s="82"/>
      <c r="F649" s="92">
        <f>SUMIFS('2.2-TSC Current Schedule'!E:E,'2.2-TSC Current Schedule'!H:H,'5. 2-W Bill Impacts'!$A649,'2.2-TSC Current Schedule'!G:G,'5. 2-W Bill Impacts'!D649)</f>
        <v>4.0000000000000002E-4</v>
      </c>
      <c r="G649" s="91">
        <f>E626*E628</f>
        <v>2088505.0000000002</v>
      </c>
      <c r="H649" s="78">
        <f>G649*F649</f>
        <v>835.40200000000016</v>
      </c>
      <c r="I649" s="93">
        <f>SUMIFS('4.2-TS Tariff Schedule'!E:E,'4.2-TS Tariff Schedule'!H:H,'5. 2-W Bill Impacts'!$E624,'4.2-TS Tariff Schedule'!G:G,'5. 2-W Bill Impacts'!D649)</f>
        <v>4.0000000000000002E-4</v>
      </c>
      <c r="J649" s="91">
        <f>E626*E629</f>
        <v>2030551.8288547143</v>
      </c>
      <c r="K649" s="78">
        <f>J649*I649</f>
        <v>812.2207315418857</v>
      </c>
      <c r="L649" s="78">
        <f t="shared" si="72"/>
        <v>-23.181268458114459</v>
      </c>
      <c r="M649" s="77">
        <f>IF(ISERROR(L649/H649), "", L649/H649)</f>
        <v>-2.7748638928461335E-2</v>
      </c>
    </row>
    <row r="650" spans="1:13" x14ac:dyDescent="0.25">
      <c r="A650" s="40" t="str">
        <f t="shared" si="73"/>
        <v>GENERAL SERVICE 50 TO 999 KW SERVICE CLASSIFICATION</v>
      </c>
      <c r="C650" s="50"/>
      <c r="D650" s="95" t="s">
        <v>78</v>
      </c>
      <c r="E650" s="82"/>
      <c r="F650" s="92">
        <f>SUMIFS('2.2-TSC Current Schedule'!E:E,'2.2-TSC Current Schedule'!H:H,'5. 2-W Bill Impacts'!$A650,'2.2-TSC Current Schedule'!G:G,'5. 2-W Bill Impacts'!D650)</f>
        <v>2.9999999999999997E-4</v>
      </c>
      <c r="G650" s="91">
        <f>E626*E628</f>
        <v>2088505.0000000002</v>
      </c>
      <c r="H650" s="78">
        <f>G650*F650</f>
        <v>626.55150000000003</v>
      </c>
      <c r="I650" s="93">
        <f>SUMIFS('4.2-TS Tariff Schedule'!E:E,'4.2-TS Tariff Schedule'!H:H,'5. 2-W Bill Impacts'!$E624,'4.2-TS Tariff Schedule'!G:G,'5. 2-W Bill Impacts'!D650)</f>
        <v>2.9999999999999997E-4</v>
      </c>
      <c r="J650" s="91">
        <f>E626*E629</f>
        <v>2030551.8288547143</v>
      </c>
      <c r="K650" s="78">
        <f>J650*I650</f>
        <v>609.16554865641422</v>
      </c>
      <c r="L650" s="78">
        <f t="shared" si="72"/>
        <v>-17.385951343585816</v>
      </c>
      <c r="M650" s="77">
        <f>IF(ISERROR(L650/H650), "", L650/H650)</f>
        <v>-2.7748638928461293E-2</v>
      </c>
    </row>
    <row r="651" spans="1:13" x14ac:dyDescent="0.25">
      <c r="A651" s="40" t="str">
        <f t="shared" si="73"/>
        <v>GENERAL SERVICE 50 TO 999 KW SERVICE CLASSIFICATION</v>
      </c>
      <c r="C651" s="50"/>
      <c r="D651" s="63" t="s">
        <v>76</v>
      </c>
      <c r="E651" s="82"/>
      <c r="F651" s="92">
        <f>SUMIFS('2.2-TSC Current Schedule'!E:E,'2.2-TSC Current Schedule'!H:H,'5. 2-W Bill Impacts'!$A651,'2.2-TSC Current Schedule'!G:G,'5. 2-W Bill Impacts'!D651)</f>
        <v>0.25</v>
      </c>
      <c r="G651" s="94">
        <v>1</v>
      </c>
      <c r="H651" s="78">
        <f>G651*F651</f>
        <v>0.25</v>
      </c>
      <c r="I651" s="93">
        <f>SUMIFS('4.2-TS Tariff Schedule'!E:E,'4.2-TS Tariff Schedule'!H:H,'5. 2-W Bill Impacts'!$E624,'4.2-TS Tariff Schedule'!G:G,'5. 2-W Bill Impacts'!D651)</f>
        <v>0.25</v>
      </c>
      <c r="J651" s="78">
        <v>1</v>
      </c>
      <c r="K651" s="78">
        <f>J651*I651</f>
        <v>0.25</v>
      </c>
      <c r="L651" s="78">
        <f t="shared" si="72"/>
        <v>0</v>
      </c>
      <c r="M651" s="77">
        <f>IF(ISERROR(L651/H651), "", L651/H651)</f>
        <v>0</v>
      </c>
    </row>
    <row r="652" spans="1:13" x14ac:dyDescent="0.25">
      <c r="A652" s="40" t="str">
        <f t="shared" si="73"/>
        <v>GENERAL SERVICE 50 TO 999 KW SERVICE CLASSIFICATION</v>
      </c>
      <c r="C652" s="50"/>
      <c r="D652" s="63" t="s">
        <v>132</v>
      </c>
      <c r="E652" s="82"/>
      <c r="F652" s="92">
        <v>7.0000000000000001E-3</v>
      </c>
      <c r="G652" s="91">
        <f>E626</f>
        <v>1990000</v>
      </c>
      <c r="H652" s="78">
        <f>G652*F652</f>
        <v>13930</v>
      </c>
      <c r="I652" s="92">
        <v>7.0000000000000001E-3</v>
      </c>
      <c r="J652" s="91">
        <f>E626</f>
        <v>1990000</v>
      </c>
      <c r="K652" s="78">
        <f>J652*I652</f>
        <v>13930</v>
      </c>
      <c r="L652" s="78">
        <f t="shared" si="72"/>
        <v>0</v>
      </c>
      <c r="M652" s="77">
        <f>IF(ISERROR(L652/H652), "", L652/H652)</f>
        <v>0</v>
      </c>
    </row>
    <row r="653" spans="1:13" x14ac:dyDescent="0.25">
      <c r="A653" s="40" t="str">
        <f t="shared" si="73"/>
        <v>GENERAL SERVICE 50 TO 999 KW SERVICE CLASSIFICATION</v>
      </c>
      <c r="B653" s="76" t="s">
        <v>197</v>
      </c>
      <c r="C653" s="50"/>
      <c r="D653" s="83" t="s">
        <v>199</v>
      </c>
      <c r="E653" s="82"/>
      <c r="F653" s="90"/>
      <c r="G653" s="89"/>
      <c r="H653" s="86"/>
      <c r="I653" s="88"/>
      <c r="J653" s="87"/>
      <c r="K653" s="86"/>
      <c r="L653" s="85"/>
      <c r="M653" s="84"/>
    </row>
    <row r="654" spans="1:13" x14ac:dyDescent="0.25">
      <c r="A654" s="40" t="str">
        <f t="shared" si="73"/>
        <v>GENERAL SERVICE 50 TO 999 KW SERVICE CLASSIFICATION</v>
      </c>
      <c r="B654" s="76" t="s">
        <v>197</v>
      </c>
      <c r="C654" s="50"/>
      <c r="D654" s="83" t="s">
        <v>198</v>
      </c>
      <c r="E654" s="82"/>
      <c r="F654" s="90"/>
      <c r="G654" s="89"/>
      <c r="H654" s="86"/>
      <c r="I654" s="88"/>
      <c r="J654" s="87"/>
      <c r="K654" s="86"/>
      <c r="L654" s="85"/>
      <c r="M654" s="84"/>
    </row>
    <row r="655" spans="1:13" x14ac:dyDescent="0.25">
      <c r="A655" s="40" t="str">
        <f t="shared" si="73"/>
        <v>GENERAL SERVICE 50 TO 999 KW SERVICE CLASSIFICATION</v>
      </c>
      <c r="B655" s="76" t="s">
        <v>197</v>
      </c>
      <c r="C655" s="50"/>
      <c r="D655" s="76" t="s">
        <v>196</v>
      </c>
      <c r="E655" s="82"/>
      <c r="F655" s="90"/>
      <c r="G655" s="89"/>
      <c r="H655" s="86"/>
      <c r="I655" s="88"/>
      <c r="J655" s="87"/>
      <c r="K655" s="86"/>
      <c r="L655" s="85"/>
      <c r="M655" s="84"/>
    </row>
    <row r="656" spans="1:13" x14ac:dyDescent="0.25">
      <c r="A656" s="40" t="str">
        <f t="shared" si="73"/>
        <v>GENERAL SERVICE 50 TO 999 KW SERVICE CLASSIFICATION</v>
      </c>
      <c r="B656" s="40" t="s">
        <v>195</v>
      </c>
      <c r="C656" s="50"/>
      <c r="D656" s="83" t="s">
        <v>194</v>
      </c>
      <c r="E656" s="82"/>
      <c r="F656" s="81">
        <v>1.8855833333333332E-2</v>
      </c>
      <c r="G656" s="80">
        <f>IF(AND(E626*12&gt;=150000),E626*E628,E626)</f>
        <v>2088505.0000000002</v>
      </c>
      <c r="H656" s="79">
        <f>G656*F656</f>
        <v>39380.502195833338</v>
      </c>
      <c r="I656" s="81">
        <v>1.8855833333333332E-2</v>
      </c>
      <c r="J656" s="80">
        <f>IF(AND(E626*12&gt;=150000),E626*E629,E626)</f>
        <v>2030551.8288547143</v>
      </c>
      <c r="K656" s="79">
        <f>J656*I656</f>
        <v>38287.746859579682</v>
      </c>
      <c r="L656" s="78">
        <f>K656-H656</f>
        <v>-1092.7553362536564</v>
      </c>
      <c r="M656" s="77">
        <f>IF(ISERROR(L656/H656), "", L656/H656)</f>
        <v>-2.7748638928461293E-2</v>
      </c>
    </row>
    <row r="657" spans="1:13" ht="13.8" thickBot="1" x14ac:dyDescent="0.3">
      <c r="A657" s="40" t="str">
        <f t="shared" si="73"/>
        <v>GENERAL SERVICE 50 TO 999 KW SERVICE CLASSIFICATION</v>
      </c>
      <c r="B657" s="40" t="s">
        <v>188</v>
      </c>
      <c r="C657" s="50"/>
      <c r="D657" s="83" t="s">
        <v>193</v>
      </c>
      <c r="E657" s="82"/>
      <c r="F657" s="81">
        <v>0.10303000000000001</v>
      </c>
      <c r="G657" s="80">
        <f>IF(AND(E626*12&gt;=150000),E626*E628,E626)</f>
        <v>2088505.0000000002</v>
      </c>
      <c r="H657" s="79">
        <f>G657*F657</f>
        <v>215178.67015000005</v>
      </c>
      <c r="I657" s="81">
        <v>0.10303000000000001</v>
      </c>
      <c r="J657" s="80">
        <f>IF(AND(E626*12&gt;=150000),E626*E629,E626)</f>
        <v>2030551.8288547143</v>
      </c>
      <c r="K657" s="79">
        <f>J657*I657</f>
        <v>209207.75492690122</v>
      </c>
      <c r="L657" s="78">
        <f>K657-H657</f>
        <v>-5970.9152230988257</v>
      </c>
      <c r="M657" s="77">
        <f>IF(ISERROR(L657/H657), "", L657/H657)</f>
        <v>-2.7748638928461303E-2</v>
      </c>
    </row>
    <row r="658" spans="1:13" ht="13.8" thickBot="1" x14ac:dyDescent="0.3">
      <c r="A658" s="40" t="str">
        <f>E624</f>
        <v>EMBEDDED DISTRIBUTOR - HONI #2</v>
      </c>
      <c r="B658" s="76"/>
      <c r="C658" s="50"/>
      <c r="D658" s="49"/>
      <c r="E658" s="48"/>
      <c r="F658" s="74"/>
      <c r="G658" s="75"/>
      <c r="H658" s="72"/>
      <c r="I658" s="74"/>
      <c r="J658" s="73"/>
      <c r="K658" s="72"/>
      <c r="L658" s="71"/>
      <c r="M658" s="70"/>
    </row>
    <row r="659" spans="1:13" x14ac:dyDescent="0.25">
      <c r="A659" s="40" t="str">
        <f>A658</f>
        <v>EMBEDDED DISTRIBUTOR - HONI #2</v>
      </c>
      <c r="B659" s="40" t="s">
        <v>188</v>
      </c>
      <c r="C659" s="50"/>
      <c r="D659" s="69" t="s">
        <v>189</v>
      </c>
      <c r="E659" s="63"/>
      <c r="F659" s="61"/>
      <c r="G659" s="62"/>
      <c r="H659" s="67">
        <f>SUM(H647:H658)</f>
        <v>276731.57184583339</v>
      </c>
      <c r="I659" s="68"/>
      <c r="J659" s="68"/>
      <c r="K659" s="67">
        <f>SUM(K647:K658)</f>
        <v>266853.52861648984</v>
      </c>
      <c r="L659" s="66">
        <f>K659-H659</f>
        <v>-9878.0432293435442</v>
      </c>
      <c r="M659" s="65">
        <f>IF((H659)=0,"",(L659/H659))</f>
        <v>-3.5695396674314352E-2</v>
      </c>
    </row>
    <row r="660" spans="1:13" x14ac:dyDescent="0.25">
      <c r="A660" s="40" t="str">
        <f>A659</f>
        <v>EMBEDDED DISTRIBUTOR - HONI #2</v>
      </c>
      <c r="B660" s="40" t="s">
        <v>188</v>
      </c>
      <c r="C660" s="50"/>
      <c r="D660" s="64" t="s">
        <v>192</v>
      </c>
      <c r="E660" s="63"/>
      <c r="F660" s="61">
        <v>0.13</v>
      </c>
      <c r="G660" s="62"/>
      <c r="H660" s="59">
        <f>H659*F660</f>
        <v>35975.104339958343</v>
      </c>
      <c r="I660" s="61">
        <v>0.13</v>
      </c>
      <c r="J660" s="60"/>
      <c r="K660" s="59">
        <f>K659*I660</f>
        <v>34690.958720143681</v>
      </c>
      <c r="L660" s="58">
        <f>K660-H660</f>
        <v>-1284.1456198146625</v>
      </c>
      <c r="M660" s="57">
        <f>IF((H660)=0,"",(L660/H660))</f>
        <v>-3.56953966743144E-2</v>
      </c>
    </row>
    <row r="661" spans="1:13" x14ac:dyDescent="0.25">
      <c r="A661" s="40" t="str">
        <f>A660</f>
        <v>EMBEDDED DISTRIBUTOR - HONI #2</v>
      </c>
      <c r="B661" s="40" t="s">
        <v>188</v>
      </c>
      <c r="C661" s="50"/>
      <c r="D661" s="64" t="s">
        <v>191</v>
      </c>
      <c r="E661" s="63"/>
      <c r="F661" s="61">
        <v>0.08</v>
      </c>
      <c r="G661" s="62"/>
      <c r="H661" s="59">
        <v>0</v>
      </c>
      <c r="I661" s="61">
        <v>0.08</v>
      </c>
      <c r="J661" s="60"/>
      <c r="K661" s="59">
        <v>0</v>
      </c>
      <c r="L661" s="58"/>
      <c r="M661" s="57"/>
    </row>
    <row r="662" spans="1:13" ht="13.8" thickBot="1" x14ac:dyDescent="0.3">
      <c r="A662" s="40" t="str">
        <f>A661</f>
        <v>EMBEDDED DISTRIBUTOR - HONI #2</v>
      </c>
      <c r="B662" s="40" t="s">
        <v>190</v>
      </c>
      <c r="C662" s="50">
        <f>$B$39</f>
        <v>10</v>
      </c>
      <c r="D662" s="264" t="s">
        <v>189</v>
      </c>
      <c r="E662" s="264"/>
      <c r="F662" s="56"/>
      <c r="G662" s="55"/>
      <c r="H662" s="53">
        <f>H659+H660+H661</f>
        <v>312706.67618579173</v>
      </c>
      <c r="I662" s="54"/>
      <c r="J662" s="54"/>
      <c r="K662" s="53">
        <f>K659+K660+K661</f>
        <v>301544.48733663349</v>
      </c>
      <c r="L662" s="52">
        <f>K662-H662</f>
        <v>-11162.188849158236</v>
      </c>
      <c r="M662" s="51">
        <f>IF((H662)=0,"",(L662/H662))</f>
        <v>-3.5695396674314449E-2</v>
      </c>
    </row>
    <row r="663" spans="1:13" ht="13.8" thickBot="1" x14ac:dyDescent="0.3">
      <c r="A663" s="40" t="str">
        <f>A662</f>
        <v>EMBEDDED DISTRIBUTOR - HONI #2</v>
      </c>
      <c r="B663" s="40" t="s">
        <v>188</v>
      </c>
      <c r="C663" s="50"/>
      <c r="D663" s="49"/>
      <c r="E663" s="48"/>
      <c r="F663" s="46"/>
      <c r="G663" s="47"/>
      <c r="H663" s="44"/>
      <c r="I663" s="46"/>
      <c r="J663" s="45"/>
      <c r="K663" s="44"/>
      <c r="L663" s="43"/>
      <c r="M663" s="42"/>
    </row>
  </sheetData>
  <mergeCells count="167">
    <mergeCell ref="C3:K3"/>
    <mergeCell ref="D10:M10"/>
    <mergeCell ref="D11:M11"/>
    <mergeCell ref="N11:O11"/>
    <mergeCell ref="D12:N12"/>
    <mergeCell ref="D29:F29"/>
    <mergeCell ref="D72:F74"/>
    <mergeCell ref="G72:G74"/>
    <mergeCell ref="H72:M72"/>
    <mergeCell ref="N72:O72"/>
    <mergeCell ref="H73:I73"/>
    <mergeCell ref="J73:K73"/>
    <mergeCell ref="L73:M73"/>
    <mergeCell ref="N73:O73"/>
    <mergeCell ref="D75:F75"/>
    <mergeCell ref="D76:F76"/>
    <mergeCell ref="D77:F77"/>
    <mergeCell ref="D78:F78"/>
    <mergeCell ref="D79:F79"/>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95:F95"/>
    <mergeCell ref="D96:F96"/>
    <mergeCell ref="D97:F97"/>
    <mergeCell ref="D98:F98"/>
    <mergeCell ref="D99:F99"/>
    <mergeCell ref="D100:F100"/>
    <mergeCell ref="D101:F101"/>
    <mergeCell ref="D102:F102"/>
    <mergeCell ref="D103:F103"/>
    <mergeCell ref="D104:F104"/>
    <mergeCell ref="D105:F105"/>
    <mergeCell ref="D106:F106"/>
    <mergeCell ref="D107:F107"/>
    <mergeCell ref="D108:F108"/>
    <mergeCell ref="D109:F109"/>
    <mergeCell ref="D110:F110"/>
    <mergeCell ref="D111:F111"/>
    <mergeCell ref="D112:F112"/>
    <mergeCell ref="D113:F113"/>
    <mergeCell ref="D114:F114"/>
    <mergeCell ref="D115:F115"/>
    <mergeCell ref="E118:J118"/>
    <mergeCell ref="E119:G119"/>
    <mergeCell ref="F125:H125"/>
    <mergeCell ref="I125:K125"/>
    <mergeCell ref="L125:M125"/>
    <mergeCell ref="E126:E127"/>
    <mergeCell ref="L126:L127"/>
    <mergeCell ref="M126:M127"/>
    <mergeCell ref="D157:E157"/>
    <mergeCell ref="D162:E162"/>
    <mergeCell ref="D167:E167"/>
    <mergeCell ref="E173:J173"/>
    <mergeCell ref="E174:G174"/>
    <mergeCell ref="F180:H180"/>
    <mergeCell ref="I180:K180"/>
    <mergeCell ref="L180:M180"/>
    <mergeCell ref="E181:E182"/>
    <mergeCell ref="L181:L182"/>
    <mergeCell ref="M181:M182"/>
    <mergeCell ref="D212:E212"/>
    <mergeCell ref="D217:E217"/>
    <mergeCell ref="D222:E222"/>
    <mergeCell ref="E228:J228"/>
    <mergeCell ref="E229:G229"/>
    <mergeCell ref="F235:H235"/>
    <mergeCell ref="I235:K235"/>
    <mergeCell ref="L235:M235"/>
    <mergeCell ref="E236:E237"/>
    <mergeCell ref="L236:L237"/>
    <mergeCell ref="M236:M237"/>
    <mergeCell ref="D266:E266"/>
    <mergeCell ref="E272:J272"/>
    <mergeCell ref="E273:G273"/>
    <mergeCell ref="F279:H279"/>
    <mergeCell ref="I279:K279"/>
    <mergeCell ref="L279:M279"/>
    <mergeCell ref="E280:E281"/>
    <mergeCell ref="L280:L281"/>
    <mergeCell ref="M280:M281"/>
    <mergeCell ref="D310:E310"/>
    <mergeCell ref="E316:J316"/>
    <mergeCell ref="E317:G317"/>
    <mergeCell ref="F323:H323"/>
    <mergeCell ref="I323:K323"/>
    <mergeCell ref="L323:M323"/>
    <mergeCell ref="E324:E325"/>
    <mergeCell ref="L324:L325"/>
    <mergeCell ref="M324:M325"/>
    <mergeCell ref="D354:E354"/>
    <mergeCell ref="E360:J360"/>
    <mergeCell ref="E361:G361"/>
    <mergeCell ref="F367:H367"/>
    <mergeCell ref="I367:K367"/>
    <mergeCell ref="L367:M367"/>
    <mergeCell ref="E368:E369"/>
    <mergeCell ref="L368:L369"/>
    <mergeCell ref="M368:M369"/>
    <mergeCell ref="D398:E398"/>
    <mergeCell ref="E404:J404"/>
    <mergeCell ref="E405:G405"/>
    <mergeCell ref="F411:H411"/>
    <mergeCell ref="I411:K411"/>
    <mergeCell ref="L411:M411"/>
    <mergeCell ref="E412:E413"/>
    <mergeCell ref="L412:L413"/>
    <mergeCell ref="M412:M413"/>
    <mergeCell ref="D442:E442"/>
    <mergeCell ref="E448:J448"/>
    <mergeCell ref="E449:G449"/>
    <mergeCell ref="F455:H455"/>
    <mergeCell ref="I455:K455"/>
    <mergeCell ref="L455:M455"/>
    <mergeCell ref="E456:E457"/>
    <mergeCell ref="L456:L457"/>
    <mergeCell ref="M456:M457"/>
    <mergeCell ref="D486:E486"/>
    <mergeCell ref="E492:J492"/>
    <mergeCell ref="E493:G493"/>
    <mergeCell ref="F499:H499"/>
    <mergeCell ref="I499:K499"/>
    <mergeCell ref="L499:M499"/>
    <mergeCell ref="L543:M543"/>
    <mergeCell ref="E544:E545"/>
    <mergeCell ref="L544:L545"/>
    <mergeCell ref="M544:M545"/>
    <mergeCell ref="E500:E501"/>
    <mergeCell ref="L500:L501"/>
    <mergeCell ref="M500:M501"/>
    <mergeCell ref="D530:E530"/>
    <mergeCell ref="E536:J536"/>
    <mergeCell ref="E537:G537"/>
    <mergeCell ref="D574:E574"/>
    <mergeCell ref="E580:J580"/>
    <mergeCell ref="E581:G581"/>
    <mergeCell ref="F587:H587"/>
    <mergeCell ref="I587:K587"/>
    <mergeCell ref="F543:H543"/>
    <mergeCell ref="I543:K543"/>
    <mergeCell ref="L587:M587"/>
    <mergeCell ref="E588:E589"/>
    <mergeCell ref="L588:L589"/>
    <mergeCell ref="M588:M589"/>
    <mergeCell ref="D618:E618"/>
    <mergeCell ref="E624:J624"/>
    <mergeCell ref="D662:E662"/>
    <mergeCell ref="E625:G625"/>
    <mergeCell ref="F631:H631"/>
    <mergeCell ref="I631:K631"/>
    <mergeCell ref="L631:M631"/>
    <mergeCell ref="E632:E633"/>
    <mergeCell ref="L632:L633"/>
    <mergeCell ref="M632:M633"/>
  </mergeCells>
  <conditionalFormatting sqref="L59:L69 L56 L35:L54">
    <cfRule type="expression" dxfId="78" priority="79">
      <formula>$G35="kW"</formula>
    </cfRule>
  </conditionalFormatting>
  <conditionalFormatting sqref="K30:K37">
    <cfRule type="expression" dxfId="77" priority="76">
      <formula>$G30="kW"</formula>
    </cfRule>
    <cfRule type="expression" dxfId="76" priority="77">
      <formula>$G30="kVa"</formula>
    </cfRule>
    <cfRule type="expression" dxfId="75" priority="78">
      <formula>$G30="kWh"</formula>
    </cfRule>
  </conditionalFormatting>
  <conditionalFormatting sqref="M56:M69 M30:M54">
    <cfRule type="expression" dxfId="74" priority="75">
      <formula>$G30="kWh"</formula>
    </cfRule>
  </conditionalFormatting>
  <conditionalFormatting sqref="L57:L58">
    <cfRule type="expression" dxfId="73" priority="74">
      <formula>$G57="kW"</formula>
    </cfRule>
  </conditionalFormatting>
  <conditionalFormatting sqref="L30:L36">
    <cfRule type="expression" dxfId="72" priority="73">
      <formula>$G30="kW"</formula>
    </cfRule>
  </conditionalFormatting>
  <conditionalFormatting sqref="K36:K69">
    <cfRule type="expression" dxfId="71" priority="70">
      <formula>$G36="kW"</formula>
    </cfRule>
    <cfRule type="expression" dxfId="70" priority="71">
      <formula>$G36="kVa"</formula>
    </cfRule>
    <cfRule type="expression" dxfId="69" priority="72">
      <formula>$G36="kWh"</formula>
    </cfRule>
  </conditionalFormatting>
  <conditionalFormatting sqref="L55">
    <cfRule type="expression" dxfId="68" priority="69">
      <formula>$G55="kW"</formula>
    </cfRule>
  </conditionalFormatting>
  <conditionalFormatting sqref="M55">
    <cfRule type="expression" dxfId="67" priority="68">
      <formula>$G55="kWh"</formula>
    </cfRule>
  </conditionalFormatting>
  <conditionalFormatting sqref="K36">
    <cfRule type="expression" dxfId="66" priority="60">
      <formula>$G36="kW"</formula>
    </cfRule>
    <cfRule type="expression" dxfId="65" priority="61">
      <formula>$G36="kVa"</formula>
    </cfRule>
    <cfRule type="expression" dxfId="64" priority="62">
      <formula>$G36="kWh"</formula>
    </cfRule>
  </conditionalFormatting>
  <conditionalFormatting sqref="L36">
    <cfRule type="expression" dxfId="63" priority="59">
      <formula>$G36="kW"</formula>
    </cfRule>
  </conditionalFormatting>
  <conditionalFormatting sqref="L36:L41">
    <cfRule type="expression" dxfId="62" priority="63">
      <formula>#REF!="kW"</formula>
    </cfRule>
  </conditionalFormatting>
  <conditionalFormatting sqref="K36:K41">
    <cfRule type="expression" dxfId="61" priority="64">
      <formula>$G37="kW"</formula>
    </cfRule>
    <cfRule type="expression" dxfId="60" priority="65">
      <formula>$G37="kVa"</formula>
    </cfRule>
    <cfRule type="expression" dxfId="59" priority="66">
      <formula>$G37="kWh"</formula>
    </cfRule>
  </conditionalFormatting>
  <conditionalFormatting sqref="M36:M41">
    <cfRule type="expression" dxfId="58" priority="67">
      <formula>#REF!="kWh"</formula>
    </cfRule>
  </conditionalFormatting>
  <conditionalFormatting sqref="K36:K41">
    <cfRule type="expression" dxfId="57" priority="56">
      <formula>$G36="kW"</formula>
    </cfRule>
    <cfRule type="expression" dxfId="56" priority="57">
      <formula>$G36="kVa"</formula>
    </cfRule>
    <cfRule type="expression" dxfId="55" priority="58">
      <formula>$G36="kWh"</formula>
    </cfRule>
  </conditionalFormatting>
  <conditionalFormatting sqref="L36:L41">
    <cfRule type="expression" dxfId="54" priority="55">
      <formula>$G36="kW"</formula>
    </cfRule>
  </conditionalFormatting>
  <conditionalFormatting sqref="K36:K41">
    <cfRule type="expression" dxfId="53" priority="47">
      <formula>$G36="kW"</formula>
    </cfRule>
    <cfRule type="expression" dxfId="52" priority="48">
      <formula>$G36="kVa"</formula>
    </cfRule>
    <cfRule type="expression" dxfId="51" priority="49">
      <formula>$G36="kWh"</formula>
    </cfRule>
  </conditionalFormatting>
  <conditionalFormatting sqref="L36">
    <cfRule type="expression" dxfId="50" priority="50">
      <formula>#REF!="kW"</formula>
    </cfRule>
  </conditionalFormatting>
  <conditionalFormatting sqref="K36">
    <cfRule type="expression" dxfId="49" priority="51">
      <formula>$G37="kW"</formula>
    </cfRule>
    <cfRule type="expression" dxfId="48" priority="52">
      <formula>$G37="kVa"</formula>
    </cfRule>
    <cfRule type="expression" dxfId="47" priority="53">
      <formula>$G37="kWh"</formula>
    </cfRule>
  </conditionalFormatting>
  <conditionalFormatting sqref="M36">
    <cfRule type="expression" dxfId="46" priority="54">
      <formula>#REF!="kWh"</formula>
    </cfRule>
  </conditionalFormatting>
  <conditionalFormatting sqref="K36">
    <cfRule type="expression" dxfId="45" priority="39">
      <formula>$G36="kW"</formula>
    </cfRule>
    <cfRule type="expression" dxfId="44" priority="40">
      <formula>$G36="kVa"</formula>
    </cfRule>
    <cfRule type="expression" dxfId="43" priority="41">
      <formula>$G36="kWh"</formula>
    </cfRule>
  </conditionalFormatting>
  <conditionalFormatting sqref="L36">
    <cfRule type="expression" dxfId="42" priority="38">
      <formula>$G36="kW"</formula>
    </cfRule>
  </conditionalFormatting>
  <conditionalFormatting sqref="L36:L41">
    <cfRule type="expression" dxfId="41" priority="42">
      <formula>#REF!="kW"</formula>
    </cfRule>
  </conditionalFormatting>
  <conditionalFormatting sqref="K36:K41">
    <cfRule type="expression" dxfId="40" priority="43">
      <formula>$G37="kW"</formula>
    </cfRule>
    <cfRule type="expression" dxfId="39" priority="44">
      <formula>$G37="kVa"</formula>
    </cfRule>
    <cfRule type="expression" dxfId="38" priority="45">
      <formula>$G37="kWh"</formula>
    </cfRule>
  </conditionalFormatting>
  <conditionalFormatting sqref="M36:M41">
    <cfRule type="expression" dxfId="37" priority="46">
      <formula>#REF!="kWh"</formula>
    </cfRule>
  </conditionalFormatting>
  <conditionalFormatting sqref="K36:K41">
    <cfRule type="expression" dxfId="36" priority="35">
      <formula>$G36="kW"</formula>
    </cfRule>
    <cfRule type="expression" dxfId="35" priority="36">
      <formula>$G36="kVa"</formula>
    </cfRule>
    <cfRule type="expression" dxfId="34" priority="37">
      <formula>$G36="kWh"</formula>
    </cfRule>
  </conditionalFormatting>
  <conditionalFormatting sqref="L36:L41">
    <cfRule type="expression" dxfId="33" priority="30">
      <formula>#REF!="kW"</formula>
    </cfRule>
  </conditionalFormatting>
  <conditionalFormatting sqref="K36:K41">
    <cfRule type="expression" dxfId="32" priority="31">
      <formula>$G37="kW"</formula>
    </cfRule>
    <cfRule type="expression" dxfId="31" priority="32">
      <formula>$G37="kVa"</formula>
    </cfRule>
    <cfRule type="expression" dxfId="30" priority="33">
      <formula>$G37="kWh"</formula>
    </cfRule>
  </conditionalFormatting>
  <conditionalFormatting sqref="M36:M41">
    <cfRule type="expression" dxfId="29" priority="34">
      <formula>#REF!="kWh"</formula>
    </cfRule>
  </conditionalFormatting>
  <conditionalFormatting sqref="K36:K41">
    <cfRule type="expression" dxfId="28" priority="27">
      <formula>$G36="kW"</formula>
    </cfRule>
    <cfRule type="expression" dxfId="27" priority="28">
      <formula>$G36="kVa"</formula>
    </cfRule>
    <cfRule type="expression" dxfId="26" priority="29">
      <formula>$G36="kWh"</formula>
    </cfRule>
  </conditionalFormatting>
  <conditionalFormatting sqref="K37">
    <cfRule type="expression" dxfId="25" priority="24">
      <formula>$G37="kW"</formula>
    </cfRule>
    <cfRule type="expression" dxfId="24" priority="25">
      <formula>$G37="kVa"</formula>
    </cfRule>
    <cfRule type="expression" dxfId="23" priority="26">
      <formula>$G37="kWh"</formula>
    </cfRule>
  </conditionalFormatting>
  <conditionalFormatting sqref="L37">
    <cfRule type="expression" dxfId="22" priority="23">
      <formula>$G37="kW"</formula>
    </cfRule>
  </conditionalFormatting>
  <conditionalFormatting sqref="L37">
    <cfRule type="expression" dxfId="21" priority="18">
      <formula>#REF!="kW"</formula>
    </cfRule>
  </conditionalFormatting>
  <conditionalFormatting sqref="K37">
    <cfRule type="expression" dxfId="20" priority="19">
      <formula>$G38="kW"</formula>
    </cfRule>
    <cfRule type="expression" dxfId="19" priority="20">
      <formula>$G38="kVa"</formula>
    </cfRule>
    <cfRule type="expression" dxfId="18" priority="21">
      <formula>$G38="kWh"</formula>
    </cfRule>
  </conditionalFormatting>
  <conditionalFormatting sqref="M37">
    <cfRule type="expression" dxfId="17" priority="22">
      <formula>#REF!="kWh"</formula>
    </cfRule>
  </conditionalFormatting>
  <conditionalFormatting sqref="K37">
    <cfRule type="expression" dxfId="16" priority="15">
      <formula>$G37="kW"</formula>
    </cfRule>
    <cfRule type="expression" dxfId="15" priority="16">
      <formula>$G37="kVa"</formula>
    </cfRule>
    <cfRule type="expression" dxfId="14" priority="17">
      <formula>$G37="kWh"</formula>
    </cfRule>
  </conditionalFormatting>
  <conditionalFormatting sqref="L37">
    <cfRule type="expression" dxfId="13" priority="14">
      <formula>$G37="kW"</formula>
    </cfRule>
  </conditionalFormatting>
  <conditionalFormatting sqref="K36">
    <cfRule type="expression" dxfId="12" priority="11">
      <formula>$G36="kW"</formula>
    </cfRule>
    <cfRule type="expression" dxfId="11" priority="12">
      <formula>$G36="kVa"</formula>
    </cfRule>
    <cfRule type="expression" dxfId="10" priority="13">
      <formula>$G36="kWh"</formula>
    </cfRule>
  </conditionalFormatting>
  <conditionalFormatting sqref="L36">
    <cfRule type="expression" dxfId="9" priority="10">
      <formula>$G36="kW"</formula>
    </cfRule>
  </conditionalFormatting>
  <conditionalFormatting sqref="L36">
    <cfRule type="expression" dxfId="8" priority="5">
      <formula>#REF!="kW"</formula>
    </cfRule>
  </conditionalFormatting>
  <conditionalFormatting sqref="K36">
    <cfRule type="expression" dxfId="7" priority="6">
      <formula>$G37="kW"</formula>
    </cfRule>
    <cfRule type="expression" dxfId="6" priority="7">
      <formula>$G37="kVa"</formula>
    </cfRule>
    <cfRule type="expression" dxfId="5" priority="8">
      <formula>$G37="kWh"</formula>
    </cfRule>
  </conditionalFormatting>
  <conditionalFormatting sqref="M36">
    <cfRule type="expression" dxfId="4" priority="9">
      <formula>#REF!="kWh"</formula>
    </cfRule>
  </conditionalFormatting>
  <conditionalFormatting sqref="K36">
    <cfRule type="expression" dxfId="3" priority="2">
      <formula>$G36="kW"</formula>
    </cfRule>
    <cfRule type="expression" dxfId="2" priority="3">
      <formula>$G36="kVa"</formula>
    </cfRule>
    <cfRule type="expression" dxfId="1" priority="4">
      <formula>$G36="kWh"</formula>
    </cfRule>
  </conditionalFormatting>
  <conditionalFormatting sqref="L36">
    <cfRule type="expression" dxfId="0" priority="1">
      <formula>$G36="kW"</formula>
    </cfRule>
  </conditionalFormatting>
  <dataValidations count="5">
    <dataValidation type="list" allowBlank="1" showInputMessage="1" showErrorMessage="1" prompt="Select Charge Unit - monthly, per kWh, per kW" sqref="E158 E163 E168 E153 E213 E218 E223 E208 E394 E262 E355 E350 E399 E267 E306 E311 E438 E443 E482 E487 E526 E531 E570 E575 E614 E619 E658 E663">
      <formula1>"Monthly, per kWh, per kW"</formula1>
    </dataValidation>
    <dataValidation type="list" allowBlank="1" showInputMessage="1" showErrorMessage="1" sqref="G30:G69">
      <formula1>"kWh, kW, kVA"</formula1>
    </dataValidation>
    <dataValidation type="list" allowBlank="1" showInputMessage="1" showErrorMessage="1" sqref="H30:H69">
      <formula1>"RPP, Non-RPP (Retailer), Non-RPP (Other)"</formula1>
    </dataValidation>
    <dataValidation type="list" allowBlank="1" showInputMessage="1" showErrorMessage="1" sqref="M30:M69">
      <formula1>"N/A, DEMAND, DEMAND - INTERVAL"</formula1>
    </dataValidation>
    <dataValidation operator="equal" allowBlank="1" showInputMessage="1" showErrorMessage="1" sqref="D30:D69"/>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Information Sheet</vt:lpstr>
      <vt:lpstr>2.2-TSC Current Schedule</vt:lpstr>
      <vt:lpstr>3. Regulatory Charges</vt:lpstr>
      <vt:lpstr>4.2-TS Tariff Schedule</vt:lpstr>
      <vt:lpstr>5. 2-W Bill Impacts</vt:lpstr>
      <vt:lpstr>'4.2-TS Tariff Schedule'!Print_Area</vt:lpstr>
    </vt:vector>
  </TitlesOfParts>
  <Company>Energy+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Molon</dc:creator>
  <cp:lastModifiedBy>Dan Molon</cp:lastModifiedBy>
  <dcterms:created xsi:type="dcterms:W3CDTF">2018-09-12T14:54:06Z</dcterms:created>
  <dcterms:modified xsi:type="dcterms:W3CDTF">2018-09-13T18:48:21Z</dcterms:modified>
</cp:coreProperties>
</file>