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elsito.SOOPUCNT\Desktop\TRAVEL COS\2018 PUC COS Application\Interrogatories\Supplemental Interrogatories\"/>
    </mc:Choice>
  </mc:AlternateContent>
  <bookViews>
    <workbookView xWindow="0" yWindow="0" windowWidth="23040" windowHeight="9120" tabRatio="845" firstSheet="1" activeTab="1"/>
  </bookViews>
  <sheets>
    <sheet name="Exhibit 3 Tables" sheetId="38" state="hidden" r:id="rId1"/>
    <sheet name="Summary" sheetId="11" r:id="rId2"/>
    <sheet name="Purchased Power Model" sheetId="7" r:id="rId3"/>
    <sheet name="Purchased Power Model - WN" sheetId="39" r:id="rId4"/>
    <sheet name="Rate Class Energy Model" sheetId="9" r:id="rId5"/>
    <sheet name="Rate Class Customer Model" sheetId="17" r:id="rId6"/>
    <sheet name="Rate Class Load Model" sheetId="18" r:id="rId7"/>
    <sheet name="CDM Activity" sheetId="36" r:id="rId8"/>
    <sheet name="Weather Analysis " sheetId="32" r:id="rId9"/>
    <sheet name="2018 COP Forecast" sheetId="3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CAP1000" localSheetId="0">#REF!</definedName>
    <definedName name="__CAP1000" localSheetId="3">#REF!</definedName>
    <definedName name="__CAP1000">#REF!</definedName>
    <definedName name="__OP1000" localSheetId="0">#REF!</definedName>
    <definedName name="__OP1000" localSheetId="3">#REF!</definedName>
    <definedName name="__OP1000">#REF!</definedName>
    <definedName name="_110" localSheetId="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localSheetId="0" hidden="1">'[1]Old MEA Statistics'!$B$250</definedName>
    <definedName name="_Fill" hidden="1">'[2]Old MEA Statistics'!$B$250</definedName>
    <definedName name="_OP1000" localSheetId="0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[3]Sheet1!$G$40:$K$40</definedName>
    <definedName name="_Sort" localSheetId="0" hidden="1">[4]Sheet1!$G$40:$K$40</definedName>
    <definedName name="_Sort" localSheetId="8" hidden="1">[5]Sheet1!$G$40:$K$40</definedName>
    <definedName name="_Sort" hidden="1">[6]Sheet1!$G$40:$K$40</definedName>
    <definedName name="ALL" localSheetId="0">#REF!</definedName>
    <definedName name="ALL" localSheetId="3">#REF!</definedName>
    <definedName name="ALL">#REF!</definedName>
    <definedName name="ApprovedYr" localSheetId="0">'[7]Z1.ModelVariables'!$C$12</definedName>
    <definedName name="ApprovedYr">'[8]Z1.ModelVariables'!$C$12</definedName>
    <definedName name="CAfile" localSheetId="0">[9]Refs!$B$2</definedName>
    <definedName name="CAfile">[10]Refs!$B$2</definedName>
    <definedName name="CAPCOSTS" localSheetId="0">#REF!</definedName>
    <definedName name="CAPCOSTS" localSheetId="3">#REF!</definedName>
    <definedName name="CAPCOSTS">#REF!</definedName>
    <definedName name="CAPITAL" localSheetId="0">#REF!</definedName>
    <definedName name="CAPITAL" localSheetId="3">#REF!</definedName>
    <definedName name="CAPITAL">#REF!</definedName>
    <definedName name="CapitalExpListing" localSheetId="0">#REF!</definedName>
    <definedName name="CapitalExpListing" localSheetId="3">#REF!</definedName>
    <definedName name="CapitalExpListing">#REF!</definedName>
    <definedName name="CArevReq" localSheetId="0">[9]Refs!$B$6</definedName>
    <definedName name="CArevReq">[10]Refs!$B$6</definedName>
    <definedName name="CASHFLOW" localSheetId="0">#REF!</definedName>
    <definedName name="CASHFLOW" localSheetId="3">#REF!</definedName>
    <definedName name="CASHFLOW">#REF!</definedName>
    <definedName name="cc" localSheetId="0">#REF!</definedName>
    <definedName name="cc" localSheetId="3">#REF!</definedName>
    <definedName name="cc">#REF!</definedName>
    <definedName name="ClassRange1" localSheetId="0">[9]Refs!$B$3</definedName>
    <definedName name="ClassRange1">[10]Refs!$B$3</definedName>
    <definedName name="ClassRange2" localSheetId="0">[9]Refs!$B$4</definedName>
    <definedName name="ClassRange2">[10]Refs!$B$4</definedName>
    <definedName name="contactf" localSheetId="0">#REF!</definedName>
    <definedName name="contactf" localSheetId="3">#REF!</definedName>
    <definedName name="contactf">#REF!</definedName>
    <definedName name="_xlnm.Criteria" localSheetId="0">#REF!</definedName>
    <definedName name="_xlnm.Criteria" localSheetId="3">#REF!</definedName>
    <definedName name="_xlnm.Criteria">#REF!</definedName>
    <definedName name="CRLF" localSheetId="0">'[7]Z1.ModelVariables'!$C$10</definedName>
    <definedName name="CRLF">'[8]Z1.ModelVariables'!$C$10</definedName>
    <definedName name="_xlnm.Database" localSheetId="0">#REF!</definedName>
    <definedName name="_xlnm.Database" localSheetId="3">#REF!</definedName>
    <definedName name="_xlnm.Database">#REF!</definedName>
    <definedName name="DaysInPreviousYear">'[11]Distribution Revenue by Source'!$B$22</definedName>
    <definedName name="DaysInYear">'[11]Distribution Revenue by Source'!$B$21</definedName>
    <definedName name="DEBTREPAY" localSheetId="0">#REF!</definedName>
    <definedName name="DEBTREPAY" localSheetId="3">#REF!</definedName>
    <definedName name="DEBTREPAY">#REF!</definedName>
    <definedName name="DeptDiv" localSheetId="0">#REF!</definedName>
    <definedName name="DeptDiv" localSheetId="3">#REF!</definedName>
    <definedName name="DeptDiv">#REF!</definedName>
    <definedName name="ExpenseAccountListing" localSheetId="0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 localSheetId="0">'[7]Z1.ModelVariables'!$C$14</definedName>
    <definedName name="FakeBlank">'[8]Z1.ModelVariables'!$C$14</definedName>
    <definedName name="FolderPath" localSheetId="0">[9]Menu!$C$8</definedName>
    <definedName name="FolderPath">[10]Menu!$C$8</definedName>
    <definedName name="histdate">[12]Financials!$E$76</definedName>
    <definedName name="Incr2000" localSheetId="0">#REF!</definedName>
    <definedName name="Incr2000" localSheetId="3">#REF!</definedName>
    <definedName name="Incr2000">#REF!</definedName>
    <definedName name="INTERIM" localSheetId="0">#REF!</definedName>
    <definedName name="INTERIM" localSheetId="3">#REF!</definedName>
    <definedName name="INTERIM">#REF!</definedName>
    <definedName name="LIMIT" localSheetId="0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[9]Refs!$B$8</definedName>
    <definedName name="NewRevReq">[10]Refs!$B$8</definedName>
    <definedName name="NOTES" localSheetId="0">#REF!</definedName>
    <definedName name="NOTES" localSheetId="3">#REF!</definedName>
    <definedName name="NOTES">#REF!</definedName>
    <definedName name="OPERATING" localSheetId="0">#REF!</definedName>
    <definedName name="OPERATING" localSheetId="3">#REF!</definedName>
    <definedName name="OPERATING">#REF!</definedName>
    <definedName name="oth_beg_bud" localSheetId="0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7">#REF!</definedName>
    <definedName name="PAGE11" localSheetId="0">#REF!</definedName>
    <definedName name="PAGE11" localSheetId="3">#REF!</definedName>
    <definedName name="PAGE11" localSheetId="8">#REF!</definedName>
    <definedName name="PAGE11">#REF!</definedName>
    <definedName name="PAGE2" localSheetId="7">[3]Sheet1!$A$1:$I$40</definedName>
    <definedName name="PAGE2" localSheetId="0">[4]Sheet1!$A$1:$I$40</definedName>
    <definedName name="PAGE2" localSheetId="8">[5]Sheet1!$A$1:$I$40</definedName>
    <definedName name="PAGE2">[6]Sheet1!$A$1:$I$40</definedName>
    <definedName name="PAGE3" localSheetId="7">#REF!</definedName>
    <definedName name="PAGE3" localSheetId="0">#REF!</definedName>
    <definedName name="PAGE3" localSheetId="3">#REF!</definedName>
    <definedName name="PAGE3" localSheetId="8">#REF!</definedName>
    <definedName name="PAGE3">#REF!</definedName>
    <definedName name="PAGE4" localSheetId="7">#REF!</definedName>
    <definedName name="PAGE4" localSheetId="0">#REF!</definedName>
    <definedName name="PAGE4" localSheetId="3">#REF!</definedName>
    <definedName name="PAGE4" localSheetId="8">#REF!</definedName>
    <definedName name="PAGE4">#REF!</definedName>
    <definedName name="PAGE7" localSheetId="7">#REF!</definedName>
    <definedName name="PAGE7" localSheetId="0">#REF!</definedName>
    <definedName name="PAGE7" localSheetId="3">#REF!</definedName>
    <definedName name="PAGE7" localSheetId="8">#REF!</definedName>
    <definedName name="PAGE7">#REF!</definedName>
    <definedName name="PAGE9" localSheetId="7">#REF!</definedName>
    <definedName name="PAGE9" localSheetId="0">#REF!</definedName>
    <definedName name="PAGE9" localSheetId="3">#REF!</definedName>
    <definedName name="PAGE9" localSheetId="8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7">'CDM Activity'!$A$1:$Q$41</definedName>
    <definedName name="_xlnm.Print_Area" localSheetId="2">'Purchased Power Model'!$A$1:$O$220</definedName>
    <definedName name="_xlnm.Print_Area" localSheetId="3">'Purchased Power Model - WN'!$A$1:$O$220</definedName>
    <definedName name="_xlnm.Print_Area" localSheetId="5">'Rate Class Customer Model'!$A$1:$H$44</definedName>
    <definedName name="_xlnm.Print_Area" localSheetId="4">'Rate Class Energy Model'!$A$1:$M$81</definedName>
    <definedName name="_xlnm.Print_Area" localSheetId="6">'Rate Class Load Model'!$A$1:$E$40</definedName>
    <definedName name="Print_Area_MI" localSheetId="0">#REF!</definedName>
    <definedName name="Print_Area_MI" localSheetId="3">#REF!</definedName>
    <definedName name="Print_Area_MI">#REF!</definedName>
    <definedName name="print_end" localSheetId="0">#REF!</definedName>
    <definedName name="print_end" localSheetId="3">#REF!</definedName>
    <definedName name="print_end">#REF!</definedName>
    <definedName name="_xlnm.Print_Titles" localSheetId="2">'Purchased Power Model'!$A:$O,'Purchased Power Model'!$1:$2</definedName>
    <definedName name="_xlnm.Print_Titles" localSheetId="3">'Purchased Power Model - WN'!$A:$O,'Purchased Power Model - WN'!$1:$2</definedName>
    <definedName name="PRIOR" localSheetId="0">#REF!</definedName>
    <definedName name="PRIOR" localSheetId="3">#REF!</definedName>
    <definedName name="PRIOR">#REF!</definedName>
    <definedName name="Ratebase">'[11]Distribution Revenue by Source'!$C$25</definedName>
    <definedName name="RevReqLookupKey" localSheetId="0">[9]Refs!$B$5</definedName>
    <definedName name="RevReqLookupKey">[10]Refs!$B$5</definedName>
    <definedName name="RevReqRange" localSheetId="0">[9]Refs!$B$7</definedName>
    <definedName name="RevReqRange">[10]Refs!$B$7</definedName>
    <definedName name="RVCASHPR" localSheetId="0">#REF!</definedName>
    <definedName name="RVCASHPR" localSheetId="3">#REF!</definedName>
    <definedName name="RVCASHPR">#REF!</definedName>
    <definedName name="SALBENF" localSheetId="0">#REF!</definedName>
    <definedName name="SALBENF" localSheetId="3">#REF!</definedName>
    <definedName name="SALBENF">#REF!</definedName>
    <definedName name="salreg" localSheetId="0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 localSheetId="0">'[7]A1.Admin'!$C$13</definedName>
    <definedName name="TestYr">'[8]A1.Admin'!$C$13</definedName>
    <definedName name="TestYrPL" localSheetId="0">'[13]Revenue Requirement'!$B$10</definedName>
    <definedName name="TestYrPL">'[14]Revenue Requirement'!$B$10</definedName>
    <definedName name="total_dept" localSheetId="0">#REF!</definedName>
    <definedName name="total_dept" localSheetId="3">#REF!</definedName>
    <definedName name="total_dept">#REF!</definedName>
    <definedName name="total_manpower" localSheetId="0">#REF!</definedName>
    <definedName name="total_manpower" localSheetId="3">#REF!</definedName>
    <definedName name="total_manpower">#REF!</definedName>
    <definedName name="total_material" localSheetId="0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[12]Financials!$A$1</definedName>
    <definedName name="utitliy1">[15]Financials!$A$1</definedName>
    <definedName name="WAGBENF" localSheetId="0">#REF!</definedName>
    <definedName name="WAGBENF" localSheetId="3">#REF!</definedName>
    <definedName name="WAGBENF">#REF!</definedName>
    <definedName name="wagdob" localSheetId="0">#REF!</definedName>
    <definedName name="wagdob" localSheetId="3">#REF!</definedName>
    <definedName name="wagdob">#REF!</definedName>
    <definedName name="wagdobf" localSheetId="0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52511" iterate="1"/>
</workbook>
</file>

<file path=xl/calcChain.xml><?xml version="1.0" encoding="utf-8"?>
<calcChain xmlns="http://schemas.openxmlformats.org/spreadsheetml/2006/main">
  <c r="S4" i="36" l="1"/>
  <c r="U19" i="36"/>
  <c r="U20" i="36" s="1"/>
  <c r="U14" i="36"/>
  <c r="U15" i="36" s="1"/>
  <c r="U9" i="36"/>
  <c r="U10" i="36" s="1"/>
  <c r="U4" i="36"/>
  <c r="U5" i="36" s="1"/>
  <c r="S14" i="36" l="1"/>
  <c r="S9" i="36"/>
  <c r="S19" i="36"/>
  <c r="F16" i="36"/>
  <c r="F15" i="36"/>
  <c r="E16" i="36"/>
  <c r="E15" i="36"/>
  <c r="E14" i="36"/>
  <c r="D16" i="36"/>
  <c r="D15" i="36"/>
  <c r="D14" i="36"/>
  <c r="D13" i="36"/>
  <c r="C183" i="7" l="1"/>
  <c r="F31" i="34" l="1"/>
  <c r="F30" i="34"/>
  <c r="F29" i="34"/>
  <c r="F28" i="34"/>
  <c r="F27" i="34"/>
  <c r="F26" i="34"/>
  <c r="F16" i="34"/>
  <c r="F17" i="34" s="1"/>
  <c r="F18" i="34" s="1"/>
  <c r="F19" i="34" s="1"/>
  <c r="F20" i="34" s="1"/>
  <c r="F21" i="34" s="1"/>
  <c r="F20" i="36" l="1"/>
  <c r="S70" i="9"/>
  <c r="P54" i="11"/>
  <c r="O54" i="11"/>
  <c r="P51" i="11"/>
  <c r="P52" i="11"/>
  <c r="P46" i="11"/>
  <c r="P42" i="11"/>
  <c r="P38" i="11"/>
  <c r="P33" i="11"/>
  <c r="P28" i="11"/>
  <c r="P23" i="11"/>
  <c r="P19" i="11"/>
  <c r="P15" i="11"/>
  <c r="P10" i="11"/>
  <c r="P4" i="11"/>
  <c r="Z16" i="32"/>
  <c r="Z9" i="32"/>
  <c r="Z8" i="32"/>
  <c r="Z28" i="32"/>
  <c r="Z10" i="32"/>
  <c r="Z11" i="32"/>
  <c r="Z12" i="32"/>
  <c r="Z13" i="32"/>
  <c r="Z14" i="32"/>
  <c r="Z15" i="32"/>
  <c r="Z17" i="32"/>
  <c r="Z18" i="32"/>
  <c r="Z19" i="32"/>
  <c r="D172" i="7" l="1"/>
  <c r="D173" i="7"/>
  <c r="D185" i="7" s="1"/>
  <c r="D174" i="7"/>
  <c r="D175" i="7"/>
  <c r="D187" i="7" s="1"/>
  <c r="D176" i="7"/>
  <c r="D177" i="7"/>
  <c r="D178" i="7"/>
  <c r="D190" i="7" s="1"/>
  <c r="D179" i="7"/>
  <c r="D180" i="7"/>
  <c r="D181" i="7"/>
  <c r="D182" i="7"/>
  <c r="D194" i="7" s="1"/>
  <c r="D171" i="7"/>
  <c r="D183" i="7" s="1"/>
  <c r="D188" i="7"/>
  <c r="D192" i="7"/>
  <c r="D193" i="7"/>
  <c r="C172" i="7"/>
  <c r="C173" i="7"/>
  <c r="C185" i="7" s="1"/>
  <c r="C174" i="7"/>
  <c r="C175" i="7"/>
  <c r="C176" i="7"/>
  <c r="C177" i="7"/>
  <c r="C189" i="7" s="1"/>
  <c r="C178" i="7"/>
  <c r="C179" i="7"/>
  <c r="C180" i="7"/>
  <c r="C181" i="7"/>
  <c r="C193" i="7" s="1"/>
  <c r="C182" i="7"/>
  <c r="C171" i="7"/>
  <c r="C194" i="7"/>
  <c r="C192" i="7"/>
  <c r="D191" i="7"/>
  <c r="C191" i="7"/>
  <c r="C190" i="7"/>
  <c r="D189" i="7"/>
  <c r="C188" i="7"/>
  <c r="C187" i="7"/>
  <c r="D186" i="7"/>
  <c r="C186" i="7"/>
  <c r="D184" i="7"/>
  <c r="C184" i="7"/>
  <c r="C40" i="18" l="1"/>
  <c r="D40" i="18"/>
  <c r="B40" i="18"/>
  <c r="B38" i="18"/>
  <c r="C38" i="18"/>
  <c r="D38" i="18"/>
  <c r="C42" i="17"/>
  <c r="D42" i="17"/>
  <c r="E42" i="17"/>
  <c r="F42" i="17"/>
  <c r="G42" i="17"/>
  <c r="B42" i="17"/>
  <c r="B38" i="17"/>
  <c r="C38" i="17"/>
  <c r="D38" i="17"/>
  <c r="E38" i="17"/>
  <c r="F38" i="17"/>
  <c r="G38" i="17"/>
  <c r="Z30" i="32" l="1"/>
  <c r="Z39" i="32"/>
  <c r="Y39" i="32"/>
  <c r="Z38" i="32"/>
  <c r="Y38" i="32"/>
  <c r="Z37" i="32"/>
  <c r="Y37" i="32"/>
  <c r="Z36" i="32"/>
  <c r="Y36" i="32"/>
  <c r="Z35" i="32"/>
  <c r="Y35" i="32"/>
  <c r="Z34" i="32"/>
  <c r="Y34" i="32"/>
  <c r="Z33" i="32"/>
  <c r="Y33" i="32"/>
  <c r="Z32" i="32"/>
  <c r="Y32" i="32"/>
  <c r="Z31" i="32"/>
  <c r="Y31" i="32"/>
  <c r="Y30" i="32"/>
  <c r="Z29" i="32"/>
  <c r="Y29" i="32"/>
  <c r="Y28" i="32"/>
  <c r="Y19" i="32"/>
  <c r="Y18" i="32"/>
  <c r="Y17" i="32"/>
  <c r="Y16" i="32"/>
  <c r="Y15" i="32"/>
  <c r="Y14" i="32"/>
  <c r="Y13" i="32"/>
  <c r="Y12" i="32"/>
  <c r="Y11" i="32"/>
  <c r="Y10" i="32"/>
  <c r="Y9" i="32"/>
  <c r="Y8" i="32"/>
  <c r="X41" i="32"/>
  <c r="X42" i="32" s="1"/>
  <c r="X21" i="32"/>
  <c r="P57" i="17" l="1"/>
  <c r="Q56" i="17"/>
  <c r="Q55" i="17"/>
  <c r="Q54" i="17"/>
  <c r="Q53" i="17"/>
  <c r="O57" i="17"/>
  <c r="N57" i="17"/>
  <c r="M57" i="17"/>
  <c r="Q51" i="17"/>
  <c r="M22" i="17"/>
  <c r="N22" i="17"/>
  <c r="O22" i="17"/>
  <c r="P22" i="17"/>
  <c r="M23" i="17"/>
  <c r="N23" i="17"/>
  <c r="O23" i="17"/>
  <c r="P23" i="17"/>
  <c r="P28" i="17" s="1"/>
  <c r="Q23" i="17"/>
  <c r="M24" i="17"/>
  <c r="M28" i="17" s="1"/>
  <c r="N24" i="17"/>
  <c r="O24" i="17"/>
  <c r="P24" i="17"/>
  <c r="Q25" i="17"/>
  <c r="Q26" i="17"/>
  <c r="Q27" i="17"/>
  <c r="M31" i="17"/>
  <c r="Q31" i="17" s="1"/>
  <c r="N31" i="17"/>
  <c r="O31" i="17"/>
  <c r="P31" i="17"/>
  <c r="M32" i="17"/>
  <c r="N32" i="17"/>
  <c r="O32" i="17"/>
  <c r="O37" i="17" s="1"/>
  <c r="P32" i="17"/>
  <c r="M33" i="17"/>
  <c r="N33" i="17"/>
  <c r="O33" i="17"/>
  <c r="P33" i="17"/>
  <c r="Q34" i="17"/>
  <c r="Q35" i="17"/>
  <c r="Q36" i="17"/>
  <c r="Q52" i="17" l="1"/>
  <c r="Q22" i="17"/>
  <c r="Q32" i="17"/>
  <c r="N37" i="17"/>
  <c r="P37" i="17"/>
  <c r="Q33" i="17"/>
  <c r="M37" i="17"/>
  <c r="O28" i="17"/>
  <c r="Q24" i="17"/>
  <c r="N28" i="17"/>
  <c r="L50" i="9" l="1"/>
  <c r="B217" i="7"/>
  <c r="I17" i="17" l="1"/>
  <c r="I16" i="17"/>
  <c r="I15" i="17"/>
  <c r="I14" i="17"/>
  <c r="I13" i="17"/>
  <c r="G26" i="9" l="1"/>
  <c r="E11" i="38" l="1"/>
  <c r="D11" i="38"/>
  <c r="C11" i="38"/>
  <c r="C463" i="38" l="1"/>
  <c r="C462" i="38"/>
  <c r="C461" i="38"/>
  <c r="C460" i="38"/>
  <c r="C455" i="38"/>
  <c r="B463" i="38" s="1"/>
  <c r="C454" i="38"/>
  <c r="B462" i="38" s="1"/>
  <c r="C453" i="38"/>
  <c r="B461" i="38" s="1"/>
  <c r="C452" i="38"/>
  <c r="C447" i="38"/>
  <c r="B455" i="38" s="1"/>
  <c r="C446" i="38"/>
  <c r="C445" i="38"/>
  <c r="C444" i="38"/>
  <c r="C439" i="38"/>
  <c r="B447" i="38" s="1"/>
  <c r="D447" i="38" s="1"/>
  <c r="E447" i="38" s="1"/>
  <c r="C438" i="38"/>
  <c r="B446" i="38" s="1"/>
  <c r="C437" i="38"/>
  <c r="B445" i="38" s="1"/>
  <c r="C436" i="38"/>
  <c r="B444" i="38" s="1"/>
  <c r="D444" i="38" s="1"/>
  <c r="C431" i="38"/>
  <c r="B439" i="38" s="1"/>
  <c r="C430" i="38"/>
  <c r="C429" i="38"/>
  <c r="B438" i="38"/>
  <c r="B437" i="38"/>
  <c r="C428" i="38"/>
  <c r="C423" i="38"/>
  <c r="B431" i="38" s="1"/>
  <c r="D431" i="38" s="1"/>
  <c r="E431" i="38" s="1"/>
  <c r="C422" i="38"/>
  <c r="B430" i="38" s="1"/>
  <c r="D430" i="38" s="1"/>
  <c r="E430" i="38" s="1"/>
  <c r="C421" i="38"/>
  <c r="C420" i="38"/>
  <c r="B423" i="38"/>
  <c r="B422" i="38"/>
  <c r="B421" i="38"/>
  <c r="B420" i="38"/>
  <c r="B454" i="38"/>
  <c r="B453" i="38"/>
  <c r="B452" i="38"/>
  <c r="B429" i="38"/>
  <c r="B428" i="38"/>
  <c r="C456" i="38" l="1"/>
  <c r="D452" i="38"/>
  <c r="E452" i="38" s="1"/>
  <c r="C448" i="38"/>
  <c r="D463" i="38"/>
  <c r="E463" i="38" s="1"/>
  <c r="D462" i="38"/>
  <c r="E462" i="38" s="1"/>
  <c r="C464" i="38"/>
  <c r="D461" i="38"/>
  <c r="E461" i="38" s="1"/>
  <c r="D455" i="38"/>
  <c r="E455" i="38" s="1"/>
  <c r="D453" i="38"/>
  <c r="E453" i="38" s="1"/>
  <c r="B460" i="38"/>
  <c r="B464" i="38" s="1"/>
  <c r="B456" i="38"/>
  <c r="D454" i="38"/>
  <c r="E454" i="38" s="1"/>
  <c r="D446" i="38"/>
  <c r="E446" i="38" s="1"/>
  <c r="B448" i="38"/>
  <c r="D438" i="38"/>
  <c r="E438" i="38" s="1"/>
  <c r="D437" i="38"/>
  <c r="E437" i="38" s="1"/>
  <c r="C440" i="38"/>
  <c r="C432" i="38"/>
  <c r="D439" i="38"/>
  <c r="E439" i="38" s="1"/>
  <c r="D429" i="38"/>
  <c r="E429" i="38" s="1"/>
  <c r="B436" i="38"/>
  <c r="D436" i="38" s="1"/>
  <c r="E436" i="38" s="1"/>
  <c r="E444" i="38"/>
  <c r="D445" i="38"/>
  <c r="E445" i="38" s="1"/>
  <c r="B440" i="38"/>
  <c r="B432" i="38"/>
  <c r="D428" i="38"/>
  <c r="D432" i="38" s="1"/>
  <c r="D460" i="38" l="1"/>
  <c r="D464" i="38" s="1"/>
  <c r="E464" i="38" s="1"/>
  <c r="E432" i="38"/>
  <c r="D456" i="38"/>
  <c r="E456" i="38" s="1"/>
  <c r="D440" i="38"/>
  <c r="E440" i="38" s="1"/>
  <c r="D448" i="38"/>
  <c r="E448" i="38" s="1"/>
  <c r="E428" i="38"/>
  <c r="E460" i="38" l="1"/>
  <c r="C415" i="38"/>
  <c r="D423" i="38" s="1"/>
  <c r="E423" i="38" s="1"/>
  <c r="C414" i="38"/>
  <c r="D422" i="38" s="1"/>
  <c r="E422" i="38" s="1"/>
  <c r="C413" i="38"/>
  <c r="C412" i="38"/>
  <c r="C411" i="38"/>
  <c r="C410" i="38"/>
  <c r="C405" i="38"/>
  <c r="B415" i="38" s="1"/>
  <c r="C404" i="38"/>
  <c r="C403" i="38"/>
  <c r="B413" i="38" s="1"/>
  <c r="C402" i="38"/>
  <c r="C400" i="38"/>
  <c r="B410" i="38" s="1"/>
  <c r="C395" i="38"/>
  <c r="B405" i="38" s="1"/>
  <c r="C394" i="38"/>
  <c r="B404" i="38" s="1"/>
  <c r="C393" i="38"/>
  <c r="B403" i="38" s="1"/>
  <c r="C392" i="38"/>
  <c r="C391" i="38"/>
  <c r="B401" i="38" s="1"/>
  <c r="C390" i="38"/>
  <c r="C385" i="38"/>
  <c r="B395" i="38" s="1"/>
  <c r="C384" i="38"/>
  <c r="C383" i="38"/>
  <c r="B393" i="38" s="1"/>
  <c r="C382" i="38"/>
  <c r="B392" i="38" s="1"/>
  <c r="C381" i="38"/>
  <c r="B381" i="38"/>
  <c r="C380" i="38"/>
  <c r="B390" i="38" s="1"/>
  <c r="C375" i="38"/>
  <c r="B385" i="38" s="1"/>
  <c r="C374" i="38"/>
  <c r="B384" i="38" s="1"/>
  <c r="C373" i="38"/>
  <c r="B383" i="38" s="1"/>
  <c r="C372" i="38"/>
  <c r="B382" i="38" s="1"/>
  <c r="C371" i="38"/>
  <c r="C370" i="38"/>
  <c r="C365" i="38"/>
  <c r="B375" i="38" s="1"/>
  <c r="C363" i="38"/>
  <c r="C362" i="38"/>
  <c r="C361" i="38"/>
  <c r="B371" i="38" s="1"/>
  <c r="B365" i="38"/>
  <c r="B364" i="38"/>
  <c r="B363" i="38"/>
  <c r="B362" i="38"/>
  <c r="B361" i="38"/>
  <c r="B360" i="38"/>
  <c r="B18" i="38"/>
  <c r="B10" i="38"/>
  <c r="B12" i="38" s="1"/>
  <c r="I18" i="38"/>
  <c r="H18" i="38"/>
  <c r="G18" i="38"/>
  <c r="F18" i="38"/>
  <c r="E18" i="38"/>
  <c r="D18" i="38"/>
  <c r="C18" i="38"/>
  <c r="D385" i="38" l="1"/>
  <c r="E385" i="38" s="1"/>
  <c r="D415" i="38"/>
  <c r="E415" i="38" s="1"/>
  <c r="D405" i="38"/>
  <c r="E405" i="38" s="1"/>
  <c r="C386" i="38"/>
  <c r="D365" i="38"/>
  <c r="E365" i="38" s="1"/>
  <c r="D382" i="38"/>
  <c r="E382" i="38" s="1"/>
  <c r="D390" i="38"/>
  <c r="D384" i="38"/>
  <c r="E384" i="38" s="1"/>
  <c r="D403" i="38"/>
  <c r="E403" i="38" s="1"/>
  <c r="D413" i="38"/>
  <c r="E413" i="38" s="1"/>
  <c r="B424" i="38"/>
  <c r="D420" i="38"/>
  <c r="B380" i="38"/>
  <c r="D380" i="38" s="1"/>
  <c r="E380" i="38" s="1"/>
  <c r="B400" i="38"/>
  <c r="D400" i="38" s="1"/>
  <c r="E400" i="38" s="1"/>
  <c r="D404" i="38"/>
  <c r="E404" i="38" s="1"/>
  <c r="D371" i="38"/>
  <c r="E371" i="38" s="1"/>
  <c r="D362" i="38"/>
  <c r="E362" i="38" s="1"/>
  <c r="D375" i="38"/>
  <c r="E375" i="38" s="1"/>
  <c r="B19" i="38"/>
  <c r="B394" i="38"/>
  <c r="D394" i="38" s="1"/>
  <c r="E394" i="38" s="1"/>
  <c r="D410" i="38"/>
  <c r="E410" i="38" s="1"/>
  <c r="D361" i="38"/>
  <c r="E361" i="38" s="1"/>
  <c r="D363" i="38"/>
  <c r="E363" i="38" s="1"/>
  <c r="D383" i="38"/>
  <c r="E383" i="38" s="1"/>
  <c r="B391" i="38"/>
  <c r="D395" i="38"/>
  <c r="E395" i="38" s="1"/>
  <c r="B372" i="38"/>
  <c r="B373" i="38"/>
  <c r="D373" i="38" s="1"/>
  <c r="D392" i="38"/>
  <c r="E392" i="38" s="1"/>
  <c r="B412" i="38"/>
  <c r="D412" i="38" s="1"/>
  <c r="E412" i="38" s="1"/>
  <c r="B386" i="38"/>
  <c r="B366" i="38"/>
  <c r="C376" i="38"/>
  <c r="D393" i="38"/>
  <c r="E393" i="38" s="1"/>
  <c r="B414" i="38"/>
  <c r="D414" i="38" s="1"/>
  <c r="D381" i="38"/>
  <c r="B402" i="38"/>
  <c r="C416" i="38"/>
  <c r="C396" i="38"/>
  <c r="E390" i="38"/>
  <c r="C401" i="38"/>
  <c r="B411" i="38" s="1"/>
  <c r="D411" i="38" s="1"/>
  <c r="E411" i="38" s="1"/>
  <c r="B396" i="38" l="1"/>
  <c r="C406" i="38"/>
  <c r="B406" i="38"/>
  <c r="B416" i="38"/>
  <c r="E420" i="38"/>
  <c r="D391" i="38"/>
  <c r="E391" i="38" s="1"/>
  <c r="D401" i="38"/>
  <c r="E401" i="38" s="1"/>
  <c r="E414" i="38"/>
  <c r="D416" i="38"/>
  <c r="E373" i="38"/>
  <c r="D386" i="38"/>
  <c r="E386" i="38" s="1"/>
  <c r="E381" i="38"/>
  <c r="D402" i="38"/>
  <c r="D372" i="38"/>
  <c r="E372" i="38" s="1"/>
  <c r="I10" i="38"/>
  <c r="H10" i="38"/>
  <c r="G10" i="38"/>
  <c r="F10" i="38"/>
  <c r="E10" i="38"/>
  <c r="D10" i="38"/>
  <c r="D12" i="38" s="1"/>
  <c r="D19" i="38" s="1"/>
  <c r="C364" i="38"/>
  <c r="I19" i="38" l="1"/>
  <c r="I12" i="38"/>
  <c r="H19" i="38"/>
  <c r="H12" i="38"/>
  <c r="G12" i="38"/>
  <c r="G19" i="38" s="1"/>
  <c r="F12" i="38"/>
  <c r="F19" i="38" s="1"/>
  <c r="E12" i="38"/>
  <c r="E19" i="38" s="1"/>
  <c r="D421" i="38"/>
  <c r="C424" i="38"/>
  <c r="B374" i="38"/>
  <c r="D374" i="38" s="1"/>
  <c r="E374" i="38" s="1"/>
  <c r="D364" i="38"/>
  <c r="E364" i="38" s="1"/>
  <c r="D396" i="38"/>
  <c r="E396" i="38" s="1"/>
  <c r="C10" i="38"/>
  <c r="C360" i="38"/>
  <c r="E416" i="38"/>
  <c r="E402" i="38"/>
  <c r="D406" i="38"/>
  <c r="E406" i="38" s="1"/>
  <c r="D354" i="38"/>
  <c r="D355" i="38" s="1"/>
  <c r="A346" i="38"/>
  <c r="A347" i="38"/>
  <c r="C12" i="38" l="1"/>
  <c r="C19" i="38" s="1"/>
  <c r="B370" i="38"/>
  <c r="D360" i="38"/>
  <c r="C366" i="38"/>
  <c r="E421" i="38"/>
  <c r="D424" i="38"/>
  <c r="E424" i="38" s="1"/>
  <c r="H134" i="39"/>
  <c r="H133" i="39"/>
  <c r="H132" i="39"/>
  <c r="H131" i="39"/>
  <c r="H130" i="39"/>
  <c r="H129" i="39"/>
  <c r="H128" i="39"/>
  <c r="H127" i="39"/>
  <c r="H126" i="39"/>
  <c r="H125" i="39"/>
  <c r="H124" i="39"/>
  <c r="H123" i="39"/>
  <c r="H122" i="39"/>
  <c r="H121" i="39"/>
  <c r="H120" i="39"/>
  <c r="H119" i="39"/>
  <c r="H118" i="39"/>
  <c r="H117" i="39"/>
  <c r="H116" i="39"/>
  <c r="H115" i="39"/>
  <c r="H114" i="39"/>
  <c r="H113" i="39"/>
  <c r="H112" i="39"/>
  <c r="H111" i="39"/>
  <c r="E360" i="38" l="1"/>
  <c r="D366" i="38"/>
  <c r="E366" i="38" s="1"/>
  <c r="D370" i="38"/>
  <c r="B376" i="38"/>
  <c r="E370" i="38" l="1"/>
  <c r="D376" i="38"/>
  <c r="E376" i="38" s="1"/>
  <c r="M22" i="9"/>
  <c r="M25" i="9" l="1"/>
  <c r="H134" i="7"/>
  <c r="H133" i="7"/>
  <c r="H132" i="7"/>
  <c r="H131" i="7"/>
  <c r="H130" i="7"/>
  <c r="H128" i="7"/>
  <c r="H127" i="7"/>
  <c r="H129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P6" i="17"/>
  <c r="P5" i="17"/>
  <c r="P4" i="17"/>
  <c r="O6" i="17"/>
  <c r="O5" i="17"/>
  <c r="O4" i="17"/>
  <c r="N6" i="17"/>
  <c r="N5" i="17"/>
  <c r="N4" i="17"/>
  <c r="M36" i="9"/>
  <c r="M37" i="9"/>
  <c r="M54" i="9" s="1"/>
  <c r="M38" i="9"/>
  <c r="M39" i="9"/>
  <c r="M40" i="9"/>
  <c r="Q18" i="17"/>
  <c r="Q17" i="17"/>
  <c r="Q16" i="17"/>
  <c r="Q15" i="17"/>
  <c r="Q14" i="17"/>
  <c r="P19" i="17"/>
  <c r="O19" i="17"/>
  <c r="N19" i="17"/>
  <c r="Q13" i="17"/>
  <c r="D37" i="18"/>
  <c r="C37" i="18"/>
  <c r="C347" i="38" s="1"/>
  <c r="B37" i="18"/>
  <c r="B347" i="38" s="1"/>
  <c r="D36" i="18"/>
  <c r="D346" i="38" s="1"/>
  <c r="C36" i="18"/>
  <c r="C346" i="38" s="1"/>
  <c r="B36" i="18"/>
  <c r="B346" i="38" s="1"/>
  <c r="G25" i="17"/>
  <c r="G26" i="17"/>
  <c r="G27" i="17"/>
  <c r="G28" i="17"/>
  <c r="G29" i="17"/>
  <c r="M57" i="9" l="1"/>
  <c r="M55" i="9"/>
  <c r="D347" i="38"/>
  <c r="M56" i="9"/>
  <c r="M19" i="17"/>
  <c r="M6" i="17"/>
  <c r="M5" i="17"/>
  <c r="M4" i="17"/>
  <c r="O10" i="17"/>
  <c r="Q9" i="17"/>
  <c r="Q8" i="17"/>
  <c r="Q7" i="17"/>
  <c r="M10" i="17" l="1"/>
  <c r="F249" i="38"/>
  <c r="Q6" i="17"/>
  <c r="P10" i="17"/>
  <c r="Q5" i="17"/>
  <c r="N10" i="17"/>
  <c r="Q4" i="17"/>
  <c r="V623" i="38" l="1"/>
  <c r="V622" i="38"/>
  <c r="V621" i="38"/>
  <c r="V620" i="38"/>
  <c r="V619" i="38"/>
  <c r="V618" i="38"/>
  <c r="X609" i="38"/>
  <c r="Z609" i="38" s="1"/>
  <c r="AB609" i="38" s="1"/>
  <c r="AD609" i="38" s="1"/>
  <c r="W609" i="38"/>
  <c r="Y609" i="38" s="1"/>
  <c r="AA609" i="38" s="1"/>
  <c r="AC609" i="38" s="1"/>
  <c r="V604" i="38"/>
  <c r="V603" i="38"/>
  <c r="V602" i="38"/>
  <c r="V601" i="38"/>
  <c r="V600" i="38"/>
  <c r="V599" i="38"/>
  <c r="X590" i="38"/>
  <c r="Z590" i="38" s="1"/>
  <c r="AB590" i="38" s="1"/>
  <c r="AD590" i="38" s="1"/>
  <c r="W590" i="38"/>
  <c r="Y590" i="38" s="1"/>
  <c r="AA590" i="38" s="1"/>
  <c r="AC590" i="38" s="1"/>
  <c r="V585" i="38"/>
  <c r="V584" i="38"/>
  <c r="V583" i="38"/>
  <c r="V582" i="38"/>
  <c r="V581" i="38"/>
  <c r="V580" i="38"/>
  <c r="X571" i="38"/>
  <c r="Z571" i="38" s="1"/>
  <c r="AB571" i="38" s="1"/>
  <c r="AD571" i="38" s="1"/>
  <c r="W571" i="38"/>
  <c r="Y571" i="38" s="1"/>
  <c r="AA571" i="38" s="1"/>
  <c r="AC571" i="38" s="1"/>
  <c r="V566" i="38"/>
  <c r="V565" i="38"/>
  <c r="V564" i="38"/>
  <c r="V563" i="38"/>
  <c r="V562" i="38"/>
  <c r="V561" i="38"/>
  <c r="X552" i="38"/>
  <c r="Z552" i="38" s="1"/>
  <c r="AB552" i="38" s="1"/>
  <c r="AD552" i="38" s="1"/>
  <c r="W552" i="38"/>
  <c r="Y552" i="38" s="1"/>
  <c r="AA552" i="38" s="1"/>
  <c r="AC552" i="38" s="1"/>
  <c r="V547" i="38"/>
  <c r="V546" i="38"/>
  <c r="V545" i="38"/>
  <c r="V544" i="38"/>
  <c r="V543" i="38"/>
  <c r="V542" i="38"/>
  <c r="X533" i="38"/>
  <c r="Z533" i="38" s="1"/>
  <c r="AB533" i="38" s="1"/>
  <c r="AD533" i="38" s="1"/>
  <c r="W533" i="38"/>
  <c r="Y533" i="38" s="1"/>
  <c r="AA533" i="38" s="1"/>
  <c r="AC533" i="38" s="1"/>
  <c r="V524" i="38"/>
  <c r="V525" i="38"/>
  <c r="V526" i="38"/>
  <c r="V527" i="38"/>
  <c r="V528" i="38"/>
  <c r="V523" i="38"/>
  <c r="W520" i="38"/>
  <c r="Y520" i="38" s="1"/>
  <c r="W519" i="38"/>
  <c r="W518" i="38"/>
  <c r="Y518" i="38" s="1"/>
  <c r="W517" i="38"/>
  <c r="Y517" i="38" s="1"/>
  <c r="W516" i="38"/>
  <c r="Y516" i="38" s="1"/>
  <c r="W515" i="38"/>
  <c r="Y515" i="38" s="1"/>
  <c r="X514" i="38"/>
  <c r="Z514" i="38" s="1"/>
  <c r="AB514" i="38" s="1"/>
  <c r="AD514" i="38" s="1"/>
  <c r="W514" i="38"/>
  <c r="Y514" i="38" s="1"/>
  <c r="AA514" i="38" s="1"/>
  <c r="AC514" i="38" s="1"/>
  <c r="T520" i="38"/>
  <c r="T519" i="38"/>
  <c r="T518" i="38"/>
  <c r="T517" i="38"/>
  <c r="T516" i="38"/>
  <c r="T515" i="38"/>
  <c r="L509" i="38"/>
  <c r="L508" i="38"/>
  <c r="L507" i="38"/>
  <c r="N467" i="38"/>
  <c r="O467" i="38"/>
  <c r="P467" i="38"/>
  <c r="Q467" i="38"/>
  <c r="R467" i="38"/>
  <c r="M467" i="38"/>
  <c r="A334" i="38"/>
  <c r="A335" i="38"/>
  <c r="A336" i="38"/>
  <c r="A337" i="38"/>
  <c r="A338" i="38"/>
  <c r="A339" i="38"/>
  <c r="A332" i="38"/>
  <c r="A352" i="38" s="1"/>
  <c r="A345" i="38"/>
  <c r="A344" i="38"/>
  <c r="A343" i="38"/>
  <c r="A342" i="38"/>
  <c r="A341" i="38"/>
  <c r="A340" i="38"/>
  <c r="AC518" i="38" l="1"/>
  <c r="AC520" i="38"/>
  <c r="AA519" i="38"/>
  <c r="AC517" i="38"/>
  <c r="AA518" i="38"/>
  <c r="AC515" i="38"/>
  <c r="AC516" i="38"/>
  <c r="T521" i="38"/>
  <c r="AA516" i="38"/>
  <c r="Y519" i="38"/>
  <c r="AC519" i="38" s="1"/>
  <c r="AA515" i="38"/>
  <c r="AA517" i="38"/>
  <c r="AA520" i="38"/>
  <c r="C316" i="38" l="1"/>
  <c r="D316" i="38"/>
  <c r="C317" i="38"/>
  <c r="D317" i="38"/>
  <c r="C318" i="38"/>
  <c r="D318" i="38"/>
  <c r="C319" i="38"/>
  <c r="D319" i="38"/>
  <c r="C320" i="38"/>
  <c r="D320" i="38"/>
  <c r="C321" i="38"/>
  <c r="D321" i="38"/>
  <c r="C322" i="38"/>
  <c r="D322" i="38"/>
  <c r="C323" i="38"/>
  <c r="D323" i="38"/>
  <c r="C324" i="38"/>
  <c r="D324" i="38"/>
  <c r="C325" i="38"/>
  <c r="D325" i="38"/>
  <c r="C326" i="38"/>
  <c r="D326" i="38"/>
  <c r="C327" i="38"/>
  <c r="D327" i="38"/>
  <c r="C328" i="38"/>
  <c r="D328" i="38"/>
  <c r="C329" i="38"/>
  <c r="D329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16" i="38"/>
  <c r="E313" i="38"/>
  <c r="E325" i="38" l="1"/>
  <c r="E316" i="38"/>
  <c r="E324" i="38"/>
  <c r="I313" i="38"/>
  <c r="E352" i="38"/>
  <c r="E317" i="38"/>
  <c r="E329" i="38"/>
  <c r="E321" i="38"/>
  <c r="E328" i="38"/>
  <c r="E327" i="38"/>
  <c r="E323" i="38"/>
  <c r="E319" i="38"/>
  <c r="E320" i="38"/>
  <c r="E326" i="38"/>
  <c r="E322" i="38"/>
  <c r="E318" i="38"/>
  <c r="C255" i="38" l="1"/>
  <c r="D255" i="38"/>
  <c r="E255" i="38"/>
  <c r="F255" i="38"/>
  <c r="G255" i="38"/>
  <c r="B255" i="38"/>
  <c r="F231" i="38"/>
  <c r="F232" i="38"/>
  <c r="A212" i="38"/>
  <c r="A213" i="38"/>
  <c r="A214" i="38"/>
  <c r="A215" i="38"/>
  <c r="B194" i="38"/>
  <c r="C194" i="38"/>
  <c r="D194" i="38"/>
  <c r="E194" i="38"/>
  <c r="F194" i="38"/>
  <c r="G194" i="38"/>
  <c r="B195" i="38"/>
  <c r="C195" i="38"/>
  <c r="D195" i="38"/>
  <c r="E195" i="38"/>
  <c r="F195" i="38"/>
  <c r="G195" i="38"/>
  <c r="B196" i="38"/>
  <c r="C196" i="38"/>
  <c r="D196" i="38"/>
  <c r="E196" i="38"/>
  <c r="F196" i="38"/>
  <c r="G196" i="38"/>
  <c r="B197" i="38"/>
  <c r="C197" i="38"/>
  <c r="D197" i="38"/>
  <c r="E197" i="38"/>
  <c r="F197" i="38"/>
  <c r="G197" i="38"/>
  <c r="B198" i="38"/>
  <c r="C198" i="38"/>
  <c r="D198" i="38"/>
  <c r="E198" i="38"/>
  <c r="F198" i="38"/>
  <c r="G198" i="38"/>
  <c r="B199" i="38"/>
  <c r="C199" i="38"/>
  <c r="D199" i="38"/>
  <c r="E199" i="38"/>
  <c r="F199" i="38"/>
  <c r="G199" i="38"/>
  <c r="B200" i="38"/>
  <c r="C200" i="38"/>
  <c r="D200" i="38"/>
  <c r="E200" i="38"/>
  <c r="F200" i="38"/>
  <c r="G200" i="38"/>
  <c r="B201" i="38"/>
  <c r="C201" i="38"/>
  <c r="D201" i="38"/>
  <c r="E201" i="38"/>
  <c r="F201" i="38"/>
  <c r="G201" i="38"/>
  <c r="B202" i="38"/>
  <c r="C202" i="38"/>
  <c r="D202" i="38"/>
  <c r="E202" i="38"/>
  <c r="F202" i="38"/>
  <c r="G202" i="38"/>
  <c r="B203" i="38"/>
  <c r="C203" i="38"/>
  <c r="D203" i="38"/>
  <c r="E203" i="38"/>
  <c r="F203" i="38"/>
  <c r="G203" i="38"/>
  <c r="B204" i="38"/>
  <c r="C204" i="38"/>
  <c r="D204" i="38"/>
  <c r="E204" i="38"/>
  <c r="F204" i="38"/>
  <c r="G204" i="38"/>
  <c r="B205" i="38"/>
  <c r="C205" i="38"/>
  <c r="D205" i="38"/>
  <c r="E205" i="38"/>
  <c r="F205" i="38"/>
  <c r="G205" i="38"/>
  <c r="B206" i="38"/>
  <c r="C206" i="38"/>
  <c r="D206" i="38"/>
  <c r="E206" i="38"/>
  <c r="F206" i="38"/>
  <c r="G206" i="38"/>
  <c r="C193" i="38"/>
  <c r="D193" i="38"/>
  <c r="E193" i="38"/>
  <c r="F193" i="38"/>
  <c r="G193" i="38"/>
  <c r="B193" i="38"/>
  <c r="A241" i="38"/>
  <c r="A232" i="38"/>
  <c r="A244" i="38" s="1"/>
  <c r="A250" i="38" s="1"/>
  <c r="A231" i="38"/>
  <c r="A243" i="38" s="1"/>
  <c r="A249" i="38" s="1"/>
  <c r="A229" i="38"/>
  <c r="A247" i="38" s="1"/>
  <c r="A298" i="38" s="1"/>
  <c r="A218" i="38"/>
  <c r="A217" i="38"/>
  <c r="A216" i="38"/>
  <c r="A225" i="38"/>
  <c r="A224" i="38"/>
  <c r="A223" i="38"/>
  <c r="A222" i="38"/>
  <c r="A221" i="38"/>
  <c r="A220" i="38"/>
  <c r="A219" i="38"/>
  <c r="C166" i="38"/>
  <c r="C161" i="38"/>
  <c r="C162" i="38"/>
  <c r="C163" i="38"/>
  <c r="C164" i="38"/>
  <c r="C165" i="38"/>
  <c r="C160" i="38"/>
  <c r="A160" i="38"/>
  <c r="A165" i="38"/>
  <c r="A161" i="38"/>
  <c r="A162" i="38"/>
  <c r="A163" i="38"/>
  <c r="A164" i="38"/>
  <c r="C157" i="38"/>
  <c r="C156" i="38"/>
  <c r="C155" i="38"/>
  <c r="C140" i="38"/>
  <c r="D140" i="38"/>
  <c r="E140" i="38"/>
  <c r="C141" i="38"/>
  <c r="D141" i="38"/>
  <c r="E141" i="38"/>
  <c r="C142" i="38"/>
  <c r="D142" i="38"/>
  <c r="E142" i="38"/>
  <c r="C143" i="38"/>
  <c r="D143" i="38"/>
  <c r="E143" i="38"/>
  <c r="C144" i="38"/>
  <c r="D144" i="38"/>
  <c r="E144" i="38"/>
  <c r="D145" i="38"/>
  <c r="E145" i="38"/>
  <c r="D146" i="38"/>
  <c r="E146" i="38"/>
  <c r="D147" i="38"/>
  <c r="E147" i="38"/>
  <c r="D148" i="38"/>
  <c r="E148" i="38"/>
  <c r="E149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40" i="38"/>
  <c r="F225" i="38" l="1"/>
  <c r="F217" i="38"/>
  <c r="E223" i="38"/>
  <c r="G222" i="38"/>
  <c r="C222" i="38"/>
  <c r="E219" i="38"/>
  <c r="G218" i="38"/>
  <c r="C218" i="38"/>
  <c r="E215" i="38"/>
  <c r="G214" i="38"/>
  <c r="B224" i="38"/>
  <c r="D223" i="38"/>
  <c r="D215" i="38"/>
  <c r="D225" i="38"/>
  <c r="F222" i="38"/>
  <c r="B222" i="38"/>
  <c r="D221" i="38"/>
  <c r="F221" i="38"/>
  <c r="B220" i="38"/>
  <c r="D219" i="38"/>
  <c r="F218" i="38"/>
  <c r="B218" i="38"/>
  <c r="D217" i="38"/>
  <c r="B216" i="38"/>
  <c r="F214" i="38"/>
  <c r="B214" i="38"/>
  <c r="F213" i="38"/>
  <c r="D213" i="38"/>
  <c r="G225" i="38"/>
  <c r="C225" i="38"/>
  <c r="E225" i="38"/>
  <c r="G223" i="38"/>
  <c r="C223" i="38"/>
  <c r="E222" i="38"/>
  <c r="G221" i="38"/>
  <c r="C221" i="38"/>
  <c r="E220" i="38"/>
  <c r="G219" i="38"/>
  <c r="C220" i="38"/>
  <c r="E218" i="38"/>
  <c r="G217" i="38"/>
  <c r="C217" i="38"/>
  <c r="E216" i="38"/>
  <c r="G215" i="38"/>
  <c r="C216" i="38"/>
  <c r="E214" i="38"/>
  <c r="G213" i="38"/>
  <c r="C213" i="38"/>
  <c r="E213" i="38"/>
  <c r="B225" i="38"/>
  <c r="D224" i="38"/>
  <c r="F223" i="38"/>
  <c r="B223" i="38"/>
  <c r="D222" i="38"/>
  <c r="B221" i="38"/>
  <c r="D220" i="38"/>
  <c r="F219" i="38"/>
  <c r="B219" i="38"/>
  <c r="D218" i="38"/>
  <c r="B217" i="38"/>
  <c r="D216" i="38"/>
  <c r="F215" i="38"/>
  <c r="B215" i="38"/>
  <c r="D214" i="38"/>
  <c r="B213" i="38"/>
  <c r="G224" i="38"/>
  <c r="C224" i="38"/>
  <c r="G220" i="38"/>
  <c r="G216" i="38"/>
  <c r="F224" i="38"/>
  <c r="E221" i="38"/>
  <c r="F220" i="38"/>
  <c r="C219" i="38"/>
  <c r="E217" i="38"/>
  <c r="F216" i="38"/>
  <c r="C215" i="38"/>
  <c r="H193" i="38"/>
  <c r="H195" i="38"/>
  <c r="E224" i="38"/>
  <c r="C214" i="38"/>
  <c r="H203" i="38"/>
  <c r="H199" i="38"/>
  <c r="H205" i="38"/>
  <c r="H201" i="38"/>
  <c r="H197" i="38"/>
  <c r="H206" i="38"/>
  <c r="H204" i="38"/>
  <c r="H202" i="38"/>
  <c r="H200" i="38"/>
  <c r="H198" i="38"/>
  <c r="H196" i="38"/>
  <c r="H194" i="38"/>
  <c r="H95" i="38" l="1"/>
  <c r="A105" i="38"/>
  <c r="A106" i="38"/>
  <c r="A107" i="38"/>
  <c r="A108" i="38"/>
  <c r="C83" i="38"/>
  <c r="D83" i="38"/>
  <c r="E83" i="38"/>
  <c r="F83" i="38"/>
  <c r="G83" i="38"/>
  <c r="H83" i="38"/>
  <c r="H191" i="38" s="1"/>
  <c r="F74" i="38"/>
  <c r="F131" i="38" s="1"/>
  <c r="G74" i="38"/>
  <c r="G131" i="38" s="1"/>
  <c r="E74" i="38"/>
  <c r="E131" i="38" s="1"/>
  <c r="D74" i="38"/>
  <c r="C74" i="38"/>
  <c r="C131" i="38" s="1"/>
  <c r="B74" i="38"/>
  <c r="B131" i="38" s="1"/>
  <c r="A48" i="38"/>
  <c r="A84" i="38" s="1"/>
  <c r="A49" i="38"/>
  <c r="A64" i="38" s="1"/>
  <c r="A121" i="38" s="1"/>
  <c r="A50" i="38"/>
  <c r="A86" i="38" s="1"/>
  <c r="A51" i="38"/>
  <c r="A66" i="38" s="1"/>
  <c r="A123" i="38" s="1"/>
  <c r="F191" i="38" l="1"/>
  <c r="F229" i="38" s="1"/>
  <c r="F103" i="38"/>
  <c r="E191" i="38"/>
  <c r="E229" i="38" s="1"/>
  <c r="E103" i="38"/>
  <c r="G191" i="38"/>
  <c r="G210" i="38" s="1"/>
  <c r="G103" i="38"/>
  <c r="C191" i="38"/>
  <c r="C210" i="38" s="1"/>
  <c r="C103" i="38"/>
  <c r="D191" i="38"/>
  <c r="D229" i="38" s="1"/>
  <c r="D103" i="38"/>
  <c r="H229" i="38"/>
  <c r="A87" i="38"/>
  <c r="A63" i="38"/>
  <c r="A120" i="38" s="1"/>
  <c r="H74" i="38"/>
  <c r="A85" i="38"/>
  <c r="D131" i="38"/>
  <c r="A65" i="38"/>
  <c r="A122" i="38" s="1"/>
  <c r="D210" i="38" l="1"/>
  <c r="F210" i="38"/>
  <c r="G229" i="38"/>
  <c r="G247" i="38" s="1"/>
  <c r="E210" i="38"/>
  <c r="C229" i="38"/>
  <c r="C235" i="38" s="1"/>
  <c r="C241" i="38" s="1"/>
  <c r="E235" i="38"/>
  <c r="E241" i="38" s="1"/>
  <c r="E247" i="38"/>
  <c r="D247" i="38"/>
  <c r="D235" i="38"/>
  <c r="D241" i="38" s="1"/>
  <c r="F247" i="38"/>
  <c r="F235" i="38"/>
  <c r="F241" i="38" s="1"/>
  <c r="H247" i="38"/>
  <c r="G235" i="38" l="1"/>
  <c r="G241" i="38" s="1"/>
  <c r="C247" i="38"/>
  <c r="C253" i="38" s="1"/>
  <c r="C286" i="38" s="1"/>
  <c r="E253" i="38"/>
  <c r="E298" i="38"/>
  <c r="K492" i="38" s="1"/>
  <c r="F253" i="38"/>
  <c r="F298" i="38"/>
  <c r="G253" i="38"/>
  <c r="G298" i="38"/>
  <c r="D253" i="38"/>
  <c r="D286" i="38" s="1"/>
  <c r="D298" i="38"/>
  <c r="K487" i="38" s="1"/>
  <c r="C298" i="38" l="1"/>
  <c r="K483" i="38" s="1"/>
  <c r="K502" i="38"/>
  <c r="D313" i="38"/>
  <c r="D332" i="38" s="1"/>
  <c r="D352" i="38" s="1"/>
  <c r="K497" i="38"/>
  <c r="H313" i="38" l="1"/>
  <c r="E225" i="7" l="1"/>
  <c r="F225" i="7"/>
  <c r="E226" i="7"/>
  <c r="F226" i="7"/>
  <c r="E227" i="7"/>
  <c r="F227" i="7"/>
  <c r="E228" i="7"/>
  <c r="F228" i="7"/>
  <c r="E229" i="7"/>
  <c r="F229" i="7"/>
  <c r="E230" i="7"/>
  <c r="F230" i="7"/>
  <c r="E231" i="7"/>
  <c r="F231" i="7"/>
  <c r="E232" i="7"/>
  <c r="F232" i="7"/>
  <c r="E233" i="7"/>
  <c r="F233" i="7"/>
  <c r="E234" i="7"/>
  <c r="F234" i="7"/>
  <c r="E235" i="7"/>
  <c r="F235" i="7"/>
  <c r="F224" i="7"/>
  <c r="E224" i="7"/>
  <c r="B215" i="39" l="1"/>
  <c r="B214" i="39"/>
  <c r="B213" i="39"/>
  <c r="B212" i="39"/>
  <c r="B211" i="39"/>
  <c r="B210" i="39"/>
  <c r="B209" i="39"/>
  <c r="B208" i="39"/>
  <c r="B207" i="39"/>
  <c r="B206" i="39"/>
  <c r="B205" i="39"/>
  <c r="B204" i="39"/>
  <c r="B203" i="39"/>
  <c r="B202" i="39"/>
  <c r="B201" i="39"/>
  <c r="B200" i="39"/>
  <c r="A4" i="39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A103" i="39" s="1"/>
  <c r="A104" i="39" s="1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A150" i="39" s="1"/>
  <c r="A151" i="39" s="1"/>
  <c r="A152" i="39" s="1"/>
  <c r="A153" i="39" s="1"/>
  <c r="A154" i="39" s="1"/>
  <c r="A155" i="39" s="1"/>
  <c r="A156" i="39" s="1"/>
  <c r="A157" i="39" s="1"/>
  <c r="A158" i="39" s="1"/>
  <c r="A159" i="39" s="1"/>
  <c r="A160" i="39" s="1"/>
  <c r="A161" i="39" s="1"/>
  <c r="A162" i="39" s="1"/>
  <c r="A163" i="39" s="1"/>
  <c r="A164" i="39" s="1"/>
  <c r="A165" i="39" s="1"/>
  <c r="A166" i="39" s="1"/>
  <c r="A167" i="39" s="1"/>
  <c r="A168" i="39" s="1"/>
  <c r="A169" i="39" s="1"/>
  <c r="A170" i="39" s="1"/>
  <c r="A171" i="39" s="1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A183" i="39" s="1"/>
  <c r="A184" i="39" s="1"/>
  <c r="A185" i="39" s="1"/>
  <c r="A186" i="39" s="1"/>
  <c r="A187" i="39" s="1"/>
  <c r="A188" i="39" s="1"/>
  <c r="A189" i="39" s="1"/>
  <c r="A190" i="39" s="1"/>
  <c r="A191" i="39" s="1"/>
  <c r="A192" i="39" s="1"/>
  <c r="A193" i="39" s="1"/>
  <c r="A194" i="39" s="1"/>
  <c r="S513" i="38" l="1"/>
  <c r="S532" i="38" s="1"/>
  <c r="S551" i="38" s="1"/>
  <c r="S570" i="38" s="1"/>
  <c r="S589" i="38" s="1"/>
  <c r="S608" i="38" s="1"/>
  <c r="A118" i="38"/>
  <c r="A117" i="38"/>
  <c r="A116" i="38"/>
  <c r="A115" i="38"/>
  <c r="A114" i="38"/>
  <c r="A113" i="38"/>
  <c r="A112" i="38"/>
  <c r="A111" i="38"/>
  <c r="A110" i="38"/>
  <c r="A109" i="38"/>
  <c r="A83" i="38"/>
  <c r="A103" i="38" s="1"/>
  <c r="A79" i="38"/>
  <c r="A136" i="38" s="1"/>
  <c r="A288" i="38" s="1"/>
  <c r="A301" i="38" s="1"/>
  <c r="A304" i="38" s="1"/>
  <c r="A307" i="38" s="1"/>
  <c r="A310" i="38" s="1"/>
  <c r="A355" i="38" s="1"/>
  <c r="A78" i="38"/>
  <c r="A135" i="38" s="1"/>
  <c r="A287" i="38" s="1"/>
  <c r="A300" i="38" s="1"/>
  <c r="A303" i="38" s="1"/>
  <c r="A306" i="38" s="1"/>
  <c r="A309" i="38" s="1"/>
  <c r="A354" i="38" s="1"/>
  <c r="A74" i="38"/>
  <c r="A131" i="38" s="1"/>
  <c r="A61" i="38"/>
  <c r="A98" i="38" s="1"/>
  <c r="A60" i="38"/>
  <c r="A76" i="38" s="1"/>
  <c r="A133" i="38" s="1"/>
  <c r="A59" i="38"/>
  <c r="A96" i="38" s="1"/>
  <c r="A58" i="38"/>
  <c r="A73" i="38" s="1"/>
  <c r="A130" i="38" s="1"/>
  <c r="A57" i="38"/>
  <c r="A93" i="38" s="1"/>
  <c r="A56" i="38"/>
  <c r="A71" i="38" s="1"/>
  <c r="A128" i="38" s="1"/>
  <c r="A55" i="38"/>
  <c r="A91" i="38" s="1"/>
  <c r="A54" i="38"/>
  <c r="A69" i="38" s="1"/>
  <c r="A126" i="38" s="1"/>
  <c r="A53" i="38"/>
  <c r="A89" i="38" s="1"/>
  <c r="A52" i="38"/>
  <c r="A67" i="38" s="1"/>
  <c r="A124" i="38" s="1"/>
  <c r="B313" i="38"/>
  <c r="F313" i="38" l="1"/>
  <c r="B332" i="38"/>
  <c r="B352" i="38" s="1"/>
  <c r="A94" i="38"/>
  <c r="A97" i="38"/>
  <c r="A68" i="38"/>
  <c r="A125" i="38" s="1"/>
  <c r="A90" i="38"/>
  <c r="A72" i="38"/>
  <c r="A129" i="38" s="1"/>
  <c r="A75" i="38"/>
  <c r="A132" i="38" s="1"/>
  <c r="A70" i="38"/>
  <c r="A127" i="38" s="1"/>
  <c r="A77" i="38"/>
  <c r="A134" i="38" s="1"/>
  <c r="D291" i="38"/>
  <c r="A88" i="38"/>
  <c r="A92" i="38"/>
  <c r="A99" i="38"/>
  <c r="B83" i="38"/>
  <c r="B103" i="38" s="1"/>
  <c r="A95" i="38"/>
  <c r="C291" i="38"/>
  <c r="A100" i="38"/>
  <c r="C313" i="38"/>
  <c r="C332" i="38" l="1"/>
  <c r="C352" i="38" s="1"/>
  <c r="G313" i="38"/>
  <c r="B191" i="38"/>
  <c r="B229" i="38" l="1"/>
  <c r="B210" i="38"/>
  <c r="B235" i="38" l="1"/>
  <c r="B241" i="38" s="1"/>
  <c r="B247" i="38"/>
  <c r="B253" i="38" l="1"/>
  <c r="B286" i="38" s="1"/>
  <c r="B291" i="38" s="1"/>
  <c r="B298" i="38"/>
  <c r="K479" i="38" l="1"/>
  <c r="B280" i="38" l="1"/>
  <c r="B273" i="38"/>
  <c r="B266" i="38"/>
  <c r="B260" i="38"/>
  <c r="B262" i="38" s="1"/>
  <c r="C267" i="38" l="1"/>
  <c r="H85" i="9"/>
  <c r="C274" i="38"/>
  <c r="I85" i="9"/>
  <c r="C261" i="38"/>
  <c r="G85" i="9"/>
  <c r="C281" i="38"/>
  <c r="J85" i="9"/>
  <c r="B287" i="38"/>
  <c r="B268" i="38"/>
  <c r="D287" i="38"/>
  <c r="D306" i="38" s="1"/>
  <c r="B282" i="38"/>
  <c r="C287" i="38"/>
  <c r="C306" i="38" s="1"/>
  <c r="B275" i="38"/>
  <c r="E287" i="38" l="1"/>
  <c r="B306" i="38"/>
  <c r="H306" i="38" s="1"/>
  <c r="E152" i="38" l="1"/>
  <c r="D152" i="38"/>
  <c r="D151" i="38"/>
  <c r="D150" i="38"/>
  <c r="D149" i="38"/>
  <c r="E20" i="36" l="1"/>
  <c r="C260" i="38" s="1"/>
  <c r="C262" i="38" s="1"/>
  <c r="E150" i="38"/>
  <c r="E151" i="38"/>
  <c r="C266" i="38" l="1"/>
  <c r="B288" i="38" s="1"/>
  <c r="C273" i="38"/>
  <c r="C288" i="38" s="1"/>
  <c r="C307" i="38" s="1"/>
  <c r="C280" i="38"/>
  <c r="D288" i="38" s="1"/>
  <c r="D307" i="38" s="1"/>
  <c r="E22" i="36"/>
  <c r="Q47" i="17"/>
  <c r="Q46" i="17"/>
  <c r="Q45" i="17"/>
  <c r="P48" i="17"/>
  <c r="F17" i="36" l="1"/>
  <c r="C275" i="38"/>
  <c r="C292" i="38" s="1"/>
  <c r="C282" i="38"/>
  <c r="D292" i="38" s="1"/>
  <c r="S20" i="36"/>
  <c r="S10" i="36"/>
  <c r="C268" i="38"/>
  <c r="B292" i="38" s="1"/>
  <c r="S15" i="36"/>
  <c r="B307" i="38"/>
  <c r="H307" i="38" s="1"/>
  <c r="E288" i="38"/>
  <c r="B212" i="7"/>
  <c r="B184" i="38" s="1"/>
  <c r="E292" i="38" l="1"/>
  <c r="C16" i="36"/>
  <c r="C152" i="38" s="1"/>
  <c r="C15" i="36"/>
  <c r="C151" i="38" s="1"/>
  <c r="C14" i="36"/>
  <c r="C150" i="38" s="1"/>
  <c r="C13" i="36"/>
  <c r="C149" i="38" s="1"/>
  <c r="C12" i="36"/>
  <c r="C148" i="38" s="1"/>
  <c r="C11" i="36"/>
  <c r="C147" i="38" s="1"/>
  <c r="C10" i="36"/>
  <c r="C146" i="38" s="1"/>
  <c r="C9" i="36"/>
  <c r="C145" i="38" s="1"/>
  <c r="C17" i="36" l="1"/>
  <c r="B16" i="36" l="1"/>
  <c r="B15" i="36"/>
  <c r="B151" i="38" l="1"/>
  <c r="F151" i="38" s="1"/>
  <c r="G15" i="36"/>
  <c r="B152" i="38"/>
  <c r="F152" i="38" s="1"/>
  <c r="G16" i="36"/>
  <c r="Q475" i="38"/>
  <c r="D17" i="36"/>
  <c r="E17" i="36"/>
  <c r="B14" i="36"/>
  <c r="G14" i="36" s="1"/>
  <c r="B13" i="36"/>
  <c r="G13" i="36" s="1"/>
  <c r="B12" i="36"/>
  <c r="G12" i="36" s="1"/>
  <c r="B11" i="36"/>
  <c r="G11" i="36" s="1"/>
  <c r="B10" i="36"/>
  <c r="G10" i="36" s="1"/>
  <c r="B9" i="36"/>
  <c r="G9" i="36" s="1"/>
  <c r="B8" i="36"/>
  <c r="G8" i="36" s="1"/>
  <c r="B7" i="36"/>
  <c r="G7" i="36" s="1"/>
  <c r="B6" i="36"/>
  <c r="G6" i="36" s="1"/>
  <c r="B5" i="36"/>
  <c r="G5" i="36" s="1"/>
  <c r="B4" i="36"/>
  <c r="G4" i="36" s="1"/>
  <c r="O15" i="36"/>
  <c r="B142" i="38" l="1"/>
  <c r="F142" i="38" s="1"/>
  <c r="B144" i="38"/>
  <c r="F144" i="38" s="1"/>
  <c r="B145" i="38"/>
  <c r="F145" i="38" s="1"/>
  <c r="B150" i="38"/>
  <c r="F150" i="38" s="1"/>
  <c r="B146" i="38"/>
  <c r="F146" i="38" s="1"/>
  <c r="B147" i="38"/>
  <c r="F147" i="38" s="1"/>
  <c r="B148" i="38"/>
  <c r="F148" i="38" s="1"/>
  <c r="B143" i="38"/>
  <c r="F143" i="38" s="1"/>
  <c r="B140" i="38"/>
  <c r="F140" i="38" s="1"/>
  <c r="B141" i="38"/>
  <c r="F141" i="38" s="1"/>
  <c r="B149" i="38"/>
  <c r="F149" i="38" s="1"/>
  <c r="S5" i="36"/>
  <c r="B17" i="36"/>
  <c r="G17" i="36" l="1"/>
  <c r="P76" i="9"/>
  <c r="R475" i="38"/>
  <c r="H4" i="36"/>
  <c r="I4" i="36" s="1"/>
  <c r="H21" i="36" s="1"/>
  <c r="G39" i="7" l="1"/>
  <c r="G39" i="39"/>
  <c r="H22" i="36"/>
  <c r="G40" i="39" s="1"/>
  <c r="H23" i="36" l="1"/>
  <c r="G41" i="39" s="1"/>
  <c r="G40" i="7"/>
  <c r="H24" i="36" l="1"/>
  <c r="G42" i="39" s="1"/>
  <c r="G41" i="7"/>
  <c r="H25" i="36" l="1"/>
  <c r="G43" i="39" s="1"/>
  <c r="G42" i="7"/>
  <c r="H26" i="36" l="1"/>
  <c r="G44" i="39" s="1"/>
  <c r="G43" i="7"/>
  <c r="H27" i="36" l="1"/>
  <c r="G45" i="39" s="1"/>
  <c r="G44" i="7"/>
  <c r="H28" i="36" l="1"/>
  <c r="G46" i="39" s="1"/>
  <c r="G45" i="7"/>
  <c r="H29" i="36" l="1"/>
  <c r="G47" i="39" s="1"/>
  <c r="G46" i="7"/>
  <c r="H30" i="36" l="1"/>
  <c r="G48" i="39" s="1"/>
  <c r="G47" i="7"/>
  <c r="H31" i="36" l="1"/>
  <c r="G49" i="39" s="1"/>
  <c r="G48" i="7"/>
  <c r="H32" i="36" l="1"/>
  <c r="G50" i="39" s="1"/>
  <c r="G49" i="7"/>
  <c r="G50" i="7" l="1"/>
  <c r="J32" i="36"/>
  <c r="H5" i="36" s="1"/>
  <c r="I5" i="36" s="1"/>
  <c r="H33" i="36" s="1"/>
  <c r="G51" i="39" s="1"/>
  <c r="I32" i="36"/>
  <c r="K4" i="36" s="1"/>
  <c r="L4" i="36" s="1"/>
  <c r="G51" i="7" l="1"/>
  <c r="H34" i="36"/>
  <c r="G52" i="39" s="1"/>
  <c r="H35" i="36" l="1"/>
  <c r="G53" i="39" s="1"/>
  <c r="G52" i="7"/>
  <c r="H36" i="36" l="1"/>
  <c r="G54" i="39" s="1"/>
  <c r="G53" i="7"/>
  <c r="H37" i="36" l="1"/>
  <c r="G55" i="39" s="1"/>
  <c r="G54" i="7"/>
  <c r="H38" i="36" l="1"/>
  <c r="G56" i="39" s="1"/>
  <c r="G55" i="7"/>
  <c r="H39" i="36" l="1"/>
  <c r="G57" i="39" s="1"/>
  <c r="G56" i="7"/>
  <c r="H40" i="36" l="1"/>
  <c r="G58" i="39" s="1"/>
  <c r="G57" i="7"/>
  <c r="H41" i="36" l="1"/>
  <c r="G59" i="39" s="1"/>
  <c r="G58" i="7"/>
  <c r="H42" i="36" l="1"/>
  <c r="G60" i="39" s="1"/>
  <c r="G59" i="7"/>
  <c r="H43" i="36" l="1"/>
  <c r="G61" i="39" s="1"/>
  <c r="G60" i="7"/>
  <c r="H44" i="36" l="1"/>
  <c r="G62" i="39" s="1"/>
  <c r="G61" i="7"/>
  <c r="D69" i="34"/>
  <c r="D49" i="34"/>
  <c r="D50" i="34"/>
  <c r="G62" i="7" l="1"/>
  <c r="J44" i="36"/>
  <c r="H6" i="36" s="1"/>
  <c r="I6" i="36" s="1"/>
  <c r="H45" i="36" s="1"/>
  <c r="G63" i="39" s="1"/>
  <c r="I44" i="36"/>
  <c r="K5" i="36" s="1"/>
  <c r="L5" i="36" s="1"/>
  <c r="G63" i="7" l="1"/>
  <c r="H46" i="36"/>
  <c r="G64" i="39" s="1"/>
  <c r="H47" i="36" l="1"/>
  <c r="G65" i="39" s="1"/>
  <c r="G64" i="7"/>
  <c r="O38" i="11"/>
  <c r="N38" i="11"/>
  <c r="O33" i="11"/>
  <c r="N33" i="11"/>
  <c r="O28" i="11"/>
  <c r="N28" i="11"/>
  <c r="O23" i="11"/>
  <c r="N23" i="11"/>
  <c r="O19" i="11"/>
  <c r="N19" i="11"/>
  <c r="O15" i="11"/>
  <c r="N15" i="11"/>
  <c r="M49" i="9"/>
  <c r="G237" i="38" s="1"/>
  <c r="G243" i="38" s="1"/>
  <c r="G244" i="38" s="1"/>
  <c r="L49" i="9"/>
  <c r="F237" i="38" s="1"/>
  <c r="F243" i="38" s="1"/>
  <c r="K49" i="9"/>
  <c r="E237" i="38" s="1"/>
  <c r="E243" i="38" s="1"/>
  <c r="J49" i="9"/>
  <c r="D237" i="38" s="1"/>
  <c r="D243" i="38" s="1"/>
  <c r="I49" i="9"/>
  <c r="C237" i="38" s="1"/>
  <c r="C243" i="38" s="1"/>
  <c r="H49" i="9"/>
  <c r="B237" i="38" s="1"/>
  <c r="B243" i="38" s="1"/>
  <c r="M48" i="9"/>
  <c r="L48" i="9"/>
  <c r="K48" i="9"/>
  <c r="J48" i="9"/>
  <c r="I48" i="9"/>
  <c r="H48" i="9"/>
  <c r="P494" i="38" l="1"/>
  <c r="E61" i="38"/>
  <c r="O481" i="38"/>
  <c r="B60" i="38"/>
  <c r="O499" i="38"/>
  <c r="F60" i="38"/>
  <c r="O494" i="38"/>
  <c r="E60" i="38"/>
  <c r="B244" i="38"/>
  <c r="C244" i="38"/>
  <c r="P485" i="38"/>
  <c r="C61" i="38"/>
  <c r="P504" i="38"/>
  <c r="G61" i="38"/>
  <c r="F244" i="38"/>
  <c r="F300" i="38"/>
  <c r="P499" i="38"/>
  <c r="F61" i="38"/>
  <c r="O485" i="38"/>
  <c r="C60" i="38"/>
  <c r="D244" i="38"/>
  <c r="O489" i="38"/>
  <c r="D60" i="38"/>
  <c r="P481" i="38"/>
  <c r="B61" i="38"/>
  <c r="O504" i="38"/>
  <c r="G60" i="38"/>
  <c r="E244" i="38"/>
  <c r="P489" i="38"/>
  <c r="D61" i="38"/>
  <c r="H48" i="36"/>
  <c r="G66" i="39" s="1"/>
  <c r="G65" i="7"/>
  <c r="W41" i="32"/>
  <c r="W21" i="32"/>
  <c r="D14" i="39"/>
  <c r="D26" i="39" s="1"/>
  <c r="D38" i="39" s="1"/>
  <c r="D50" i="39" s="1"/>
  <c r="D62" i="39" s="1"/>
  <c r="D74" i="39" s="1"/>
  <c r="D86" i="39" s="1"/>
  <c r="D98" i="39" s="1"/>
  <c r="D110" i="39" s="1"/>
  <c r="D122" i="39" s="1"/>
  <c r="D134" i="39" s="1"/>
  <c r="D146" i="39" s="1"/>
  <c r="D158" i="39" s="1"/>
  <c r="D170" i="39" s="1"/>
  <c r="D182" i="39" s="1"/>
  <c r="D194" i="39" s="1"/>
  <c r="D13" i="39"/>
  <c r="D25" i="39" s="1"/>
  <c r="D37" i="39" s="1"/>
  <c r="D49" i="39" s="1"/>
  <c r="D61" i="39" s="1"/>
  <c r="D73" i="39" s="1"/>
  <c r="D85" i="39" s="1"/>
  <c r="D97" i="39" s="1"/>
  <c r="D109" i="39" s="1"/>
  <c r="D121" i="39" s="1"/>
  <c r="D133" i="39" s="1"/>
  <c r="D145" i="39" s="1"/>
  <c r="D157" i="39" s="1"/>
  <c r="D169" i="39" s="1"/>
  <c r="D181" i="39" s="1"/>
  <c r="D193" i="39" s="1"/>
  <c r="D12" i="39"/>
  <c r="D24" i="39" s="1"/>
  <c r="D36" i="39" s="1"/>
  <c r="D48" i="39" s="1"/>
  <c r="D60" i="39" s="1"/>
  <c r="D72" i="39" s="1"/>
  <c r="D84" i="39" s="1"/>
  <c r="D96" i="39" s="1"/>
  <c r="D108" i="39" s="1"/>
  <c r="D120" i="39" s="1"/>
  <c r="D132" i="39" s="1"/>
  <c r="D144" i="39" s="1"/>
  <c r="D156" i="39" s="1"/>
  <c r="D168" i="39" s="1"/>
  <c r="D180" i="39" s="1"/>
  <c r="D192" i="39" s="1"/>
  <c r="D11" i="39"/>
  <c r="D23" i="39" s="1"/>
  <c r="D35" i="39" s="1"/>
  <c r="D47" i="39" s="1"/>
  <c r="D59" i="39" s="1"/>
  <c r="D71" i="39" s="1"/>
  <c r="D83" i="39" s="1"/>
  <c r="D95" i="39" s="1"/>
  <c r="D107" i="39" s="1"/>
  <c r="D119" i="39" s="1"/>
  <c r="D131" i="39" s="1"/>
  <c r="D143" i="39" s="1"/>
  <c r="D155" i="39" s="1"/>
  <c r="D167" i="39" s="1"/>
  <c r="D179" i="39" s="1"/>
  <c r="D191" i="39" s="1"/>
  <c r="D10" i="39"/>
  <c r="D22" i="39" s="1"/>
  <c r="D34" i="39" s="1"/>
  <c r="D46" i="39" s="1"/>
  <c r="D58" i="39" s="1"/>
  <c r="D70" i="39" s="1"/>
  <c r="D82" i="39" s="1"/>
  <c r="D94" i="39" s="1"/>
  <c r="D106" i="39" s="1"/>
  <c r="D118" i="39" s="1"/>
  <c r="D130" i="39" s="1"/>
  <c r="D142" i="39" s="1"/>
  <c r="D154" i="39" s="1"/>
  <c r="D166" i="39" s="1"/>
  <c r="D178" i="39" s="1"/>
  <c r="D190" i="39" s="1"/>
  <c r="D9" i="39"/>
  <c r="D21" i="39" s="1"/>
  <c r="D33" i="39" s="1"/>
  <c r="D45" i="39" s="1"/>
  <c r="D57" i="39" s="1"/>
  <c r="D69" i="39" s="1"/>
  <c r="D81" i="39" s="1"/>
  <c r="D93" i="39" s="1"/>
  <c r="D105" i="39" s="1"/>
  <c r="D117" i="39" s="1"/>
  <c r="D129" i="39" s="1"/>
  <c r="D141" i="39" s="1"/>
  <c r="D153" i="39" s="1"/>
  <c r="D165" i="39" s="1"/>
  <c r="D177" i="39" s="1"/>
  <c r="D189" i="39" s="1"/>
  <c r="D8" i="39"/>
  <c r="D20" i="39" s="1"/>
  <c r="D32" i="39" s="1"/>
  <c r="D44" i="39" s="1"/>
  <c r="D56" i="39" s="1"/>
  <c r="D68" i="39" s="1"/>
  <c r="D80" i="39" s="1"/>
  <c r="D92" i="39" s="1"/>
  <c r="D104" i="39" s="1"/>
  <c r="D116" i="39" s="1"/>
  <c r="D128" i="39" s="1"/>
  <c r="D140" i="39" s="1"/>
  <c r="D152" i="39" s="1"/>
  <c r="D164" i="39" s="1"/>
  <c r="D176" i="39" s="1"/>
  <c r="D188" i="39" s="1"/>
  <c r="D7" i="39"/>
  <c r="D19" i="39" s="1"/>
  <c r="D31" i="39" s="1"/>
  <c r="D43" i="39" s="1"/>
  <c r="D55" i="39" s="1"/>
  <c r="D67" i="39" s="1"/>
  <c r="D79" i="39" s="1"/>
  <c r="D91" i="39" s="1"/>
  <c r="D103" i="39" s="1"/>
  <c r="D115" i="39" s="1"/>
  <c r="D127" i="39" s="1"/>
  <c r="D139" i="39" s="1"/>
  <c r="D151" i="39" s="1"/>
  <c r="D163" i="39" s="1"/>
  <c r="D175" i="39" s="1"/>
  <c r="D187" i="39" s="1"/>
  <c r="D6" i="39"/>
  <c r="D18" i="39" s="1"/>
  <c r="D30" i="39" s="1"/>
  <c r="D42" i="39" s="1"/>
  <c r="D54" i="39" s="1"/>
  <c r="D66" i="39" s="1"/>
  <c r="D78" i="39" s="1"/>
  <c r="D90" i="39" s="1"/>
  <c r="D102" i="39" s="1"/>
  <c r="D114" i="39" s="1"/>
  <c r="D126" i="39" s="1"/>
  <c r="D138" i="39" s="1"/>
  <c r="D150" i="39" s="1"/>
  <c r="D162" i="39" s="1"/>
  <c r="D174" i="39" s="1"/>
  <c r="D186" i="39" s="1"/>
  <c r="D5" i="39"/>
  <c r="D17" i="39" s="1"/>
  <c r="D29" i="39" s="1"/>
  <c r="D41" i="39" s="1"/>
  <c r="D53" i="39" s="1"/>
  <c r="D65" i="39" s="1"/>
  <c r="D77" i="39" s="1"/>
  <c r="D89" i="39" s="1"/>
  <c r="D101" i="39" s="1"/>
  <c r="D113" i="39" s="1"/>
  <c r="D125" i="39" s="1"/>
  <c r="D137" i="39" s="1"/>
  <c r="D149" i="39" s="1"/>
  <c r="D161" i="39" s="1"/>
  <c r="D173" i="39" s="1"/>
  <c r="D185" i="39" s="1"/>
  <c r="D4" i="39"/>
  <c r="D16" i="39" s="1"/>
  <c r="D28" i="39" s="1"/>
  <c r="D40" i="39" s="1"/>
  <c r="D52" i="39" s="1"/>
  <c r="D64" i="39" s="1"/>
  <c r="D76" i="39" s="1"/>
  <c r="D88" i="39" s="1"/>
  <c r="D100" i="39" s="1"/>
  <c r="D112" i="39" s="1"/>
  <c r="D124" i="39" s="1"/>
  <c r="D136" i="39" s="1"/>
  <c r="D148" i="39" s="1"/>
  <c r="D160" i="39" s="1"/>
  <c r="D172" i="39" s="1"/>
  <c r="D184" i="39" s="1"/>
  <c r="D3" i="39"/>
  <c r="D15" i="39" s="1"/>
  <c r="D27" i="39" s="1"/>
  <c r="D39" i="39" s="1"/>
  <c r="D51" i="39" s="1"/>
  <c r="D63" i="39" s="1"/>
  <c r="D75" i="39" s="1"/>
  <c r="D87" i="39" s="1"/>
  <c r="D99" i="39" s="1"/>
  <c r="D111" i="39" s="1"/>
  <c r="D123" i="39" s="1"/>
  <c r="D135" i="39" s="1"/>
  <c r="D147" i="39" s="1"/>
  <c r="D159" i="39" s="1"/>
  <c r="D171" i="39" s="1"/>
  <c r="D183" i="39" s="1"/>
  <c r="C14" i="39"/>
  <c r="C13" i="39"/>
  <c r="C12" i="39"/>
  <c r="C11" i="39"/>
  <c r="C10" i="39"/>
  <c r="C9" i="39"/>
  <c r="C8" i="39"/>
  <c r="C7" i="39"/>
  <c r="C6" i="39"/>
  <c r="C5" i="39"/>
  <c r="C4" i="39"/>
  <c r="C3" i="39"/>
  <c r="C15" i="39" l="1"/>
  <c r="M3" i="39"/>
  <c r="C23" i="39"/>
  <c r="M11" i="39"/>
  <c r="N11" i="39" s="1"/>
  <c r="O11" i="39" s="1"/>
  <c r="P11" i="39" s="1"/>
  <c r="X577" i="38"/>
  <c r="W596" i="38"/>
  <c r="C16" i="39"/>
  <c r="M4" i="39"/>
  <c r="N4" i="39" s="1"/>
  <c r="O4" i="39" s="1"/>
  <c r="P4" i="39" s="1"/>
  <c r="C24" i="39"/>
  <c r="M12" i="39"/>
  <c r="N12" i="39" s="1"/>
  <c r="O12" i="39" s="1"/>
  <c r="P12" i="39" s="1"/>
  <c r="X558" i="38"/>
  <c r="W577" i="38"/>
  <c r="C25" i="39"/>
  <c r="M13" i="39"/>
  <c r="N13" i="39" s="1"/>
  <c r="O13" i="39" s="1"/>
  <c r="P13" i="39" s="1"/>
  <c r="W573" i="38"/>
  <c r="X554" i="38"/>
  <c r="C26" i="39"/>
  <c r="M14" i="39"/>
  <c r="N14" i="39" s="1"/>
  <c r="O14" i="39" s="1"/>
  <c r="P14" i="39" s="1"/>
  <c r="C19" i="39"/>
  <c r="M7" i="39"/>
  <c r="N7" i="39" s="1"/>
  <c r="O7" i="39" s="1"/>
  <c r="P7" i="39" s="1"/>
  <c r="W591" i="38"/>
  <c r="X572" i="38"/>
  <c r="P508" i="38"/>
  <c r="X553" i="38"/>
  <c r="W572" i="38"/>
  <c r="O508" i="38"/>
  <c r="C22" i="39"/>
  <c r="M10" i="39"/>
  <c r="N10" i="39" s="1"/>
  <c r="O10" i="39" s="1"/>
  <c r="P10" i="39" s="1"/>
  <c r="C17" i="39"/>
  <c r="M5" i="39"/>
  <c r="N5" i="39" s="1"/>
  <c r="O5" i="39" s="1"/>
  <c r="P5" i="39" s="1"/>
  <c r="H61" i="38"/>
  <c r="C20" i="39"/>
  <c r="M8" i="39"/>
  <c r="N8" i="39" s="1"/>
  <c r="O8" i="39" s="1"/>
  <c r="P8" i="39" s="1"/>
  <c r="X573" i="38"/>
  <c r="W592" i="38"/>
  <c r="C18" i="39"/>
  <c r="M6" i="39"/>
  <c r="N6" i="39" s="1"/>
  <c r="O6" i="39" s="1"/>
  <c r="P6" i="39" s="1"/>
  <c r="H60" i="38"/>
  <c r="C21" i="39"/>
  <c r="M9" i="39"/>
  <c r="N9" i="39" s="1"/>
  <c r="O9" i="39" s="1"/>
  <c r="P9" i="39" s="1"/>
  <c r="H49" i="36"/>
  <c r="G67" i="39" s="1"/>
  <c r="G66" i="7"/>
  <c r="B215" i="7"/>
  <c r="B27" i="9" s="1"/>
  <c r="B214" i="7"/>
  <c r="C32" i="39" l="1"/>
  <c r="M20" i="39"/>
  <c r="N20" i="39" s="1"/>
  <c r="O20" i="39" s="1"/>
  <c r="P20" i="39" s="1"/>
  <c r="C34" i="39"/>
  <c r="M22" i="39"/>
  <c r="N22" i="39" s="1"/>
  <c r="O22" i="39" s="1"/>
  <c r="P22" i="39" s="1"/>
  <c r="C30" i="39"/>
  <c r="M18" i="39"/>
  <c r="N18" i="39" s="1"/>
  <c r="O18" i="39" s="1"/>
  <c r="P18" i="39" s="1"/>
  <c r="M200" i="39"/>
  <c r="Q200" i="7" s="1"/>
  <c r="E172" i="38" s="1"/>
  <c r="N3" i="39"/>
  <c r="O3" i="39" s="1"/>
  <c r="P3" i="39" s="1"/>
  <c r="W581" i="38"/>
  <c r="C28" i="39"/>
  <c r="M16" i="39"/>
  <c r="N16" i="39" s="1"/>
  <c r="O16" i="39" s="1"/>
  <c r="P16" i="39" s="1"/>
  <c r="C27" i="39"/>
  <c r="M15" i="39"/>
  <c r="W580" i="38"/>
  <c r="C36" i="39"/>
  <c r="M24" i="39"/>
  <c r="N24" i="39" s="1"/>
  <c r="O24" i="39" s="1"/>
  <c r="P24" i="39" s="1"/>
  <c r="C37" i="39"/>
  <c r="M25" i="39"/>
  <c r="N25" i="39" s="1"/>
  <c r="O25" i="39" s="1"/>
  <c r="P25" i="39" s="1"/>
  <c r="C35" i="39"/>
  <c r="M23" i="39"/>
  <c r="N23" i="39" s="1"/>
  <c r="O23" i="39" s="1"/>
  <c r="P23" i="39" s="1"/>
  <c r="C31" i="39"/>
  <c r="M19" i="39"/>
  <c r="N19" i="39" s="1"/>
  <c r="O19" i="39" s="1"/>
  <c r="P19" i="39" s="1"/>
  <c r="C33" i="39"/>
  <c r="M21" i="39"/>
  <c r="N21" i="39" s="1"/>
  <c r="O21" i="39" s="1"/>
  <c r="P21" i="39" s="1"/>
  <c r="C29" i="39"/>
  <c r="M17" i="39"/>
  <c r="N17" i="39" s="1"/>
  <c r="O17" i="39" s="1"/>
  <c r="P17" i="39" s="1"/>
  <c r="C38" i="39"/>
  <c r="M26" i="39"/>
  <c r="N26" i="39" s="1"/>
  <c r="O26" i="39" s="1"/>
  <c r="P26" i="39" s="1"/>
  <c r="W585" i="38"/>
  <c r="H50" i="36"/>
  <c r="G68" i="39" s="1"/>
  <c r="G67" i="7"/>
  <c r="B26" i="9"/>
  <c r="F26" i="9" s="1"/>
  <c r="C42" i="39" l="1"/>
  <c r="M30" i="39"/>
  <c r="N30" i="39" s="1"/>
  <c r="O30" i="39" s="1"/>
  <c r="P30" i="39" s="1"/>
  <c r="C41" i="39"/>
  <c r="M29" i="39"/>
  <c r="N29" i="39" s="1"/>
  <c r="O29" i="39" s="1"/>
  <c r="P29" i="39" s="1"/>
  <c r="C49" i="39"/>
  <c r="M37" i="39"/>
  <c r="N37" i="39" s="1"/>
  <c r="O37" i="39" s="1"/>
  <c r="P37" i="39" s="1"/>
  <c r="C45" i="39"/>
  <c r="M33" i="39"/>
  <c r="N33" i="39" s="1"/>
  <c r="O33" i="39" s="1"/>
  <c r="P33" i="39" s="1"/>
  <c r="N15" i="39"/>
  <c r="O15" i="39" s="1"/>
  <c r="P15" i="39" s="1"/>
  <c r="M201" i="39"/>
  <c r="Q201" i="7" s="1"/>
  <c r="E173" i="38" s="1"/>
  <c r="C40" i="39"/>
  <c r="M28" i="39"/>
  <c r="N28" i="39" s="1"/>
  <c r="O28" i="39" s="1"/>
  <c r="P28" i="39" s="1"/>
  <c r="C44" i="39"/>
  <c r="M32" i="39"/>
  <c r="N32" i="39" s="1"/>
  <c r="O32" i="39" s="1"/>
  <c r="P32" i="39" s="1"/>
  <c r="C39" i="39"/>
  <c r="M27" i="39"/>
  <c r="C46" i="39"/>
  <c r="M34" i="39"/>
  <c r="N34" i="39" s="1"/>
  <c r="O34" i="39" s="1"/>
  <c r="P34" i="39" s="1"/>
  <c r="C43" i="39"/>
  <c r="M31" i="39"/>
  <c r="N31" i="39" s="1"/>
  <c r="O31" i="39" s="1"/>
  <c r="P31" i="39" s="1"/>
  <c r="C50" i="39"/>
  <c r="M38" i="39"/>
  <c r="N38" i="39" s="1"/>
  <c r="O38" i="39" s="1"/>
  <c r="P38" i="39" s="1"/>
  <c r="C47" i="39"/>
  <c r="M35" i="39"/>
  <c r="N35" i="39" s="1"/>
  <c r="O35" i="39" s="1"/>
  <c r="P35" i="39" s="1"/>
  <c r="M36" i="39"/>
  <c r="N36" i="39" s="1"/>
  <c r="O36" i="39" s="1"/>
  <c r="P36" i="39" s="1"/>
  <c r="C48" i="39"/>
  <c r="H51" i="36"/>
  <c r="G69" i="39" s="1"/>
  <c r="G68" i="7"/>
  <c r="G15" i="9"/>
  <c r="G14" i="9"/>
  <c r="C57" i="39" l="1"/>
  <c r="M45" i="39"/>
  <c r="N45" i="39" s="1"/>
  <c r="O45" i="39" s="1"/>
  <c r="P45" i="39" s="1"/>
  <c r="C62" i="39"/>
  <c r="M50" i="39"/>
  <c r="N50" i="39" s="1"/>
  <c r="O50" i="39" s="1"/>
  <c r="P50" i="39" s="1"/>
  <c r="C56" i="39"/>
  <c r="M44" i="39"/>
  <c r="N44" i="39" s="1"/>
  <c r="O44" i="39" s="1"/>
  <c r="P44" i="39" s="1"/>
  <c r="C59" i="39"/>
  <c r="M47" i="39"/>
  <c r="N47" i="39" s="1"/>
  <c r="O47" i="39" s="1"/>
  <c r="P47" i="39" s="1"/>
  <c r="C61" i="39"/>
  <c r="M49" i="39"/>
  <c r="N49" i="39" s="1"/>
  <c r="O49" i="39" s="1"/>
  <c r="P49" i="39" s="1"/>
  <c r="C55" i="39"/>
  <c r="M43" i="39"/>
  <c r="N43" i="39" s="1"/>
  <c r="O43" i="39" s="1"/>
  <c r="P43" i="39" s="1"/>
  <c r="C52" i="39"/>
  <c r="M40" i="39"/>
  <c r="N40" i="39" s="1"/>
  <c r="O40" i="39" s="1"/>
  <c r="P40" i="39" s="1"/>
  <c r="M48" i="39"/>
  <c r="N48" i="39" s="1"/>
  <c r="O48" i="39" s="1"/>
  <c r="P48" i="39" s="1"/>
  <c r="C60" i="39"/>
  <c r="C53" i="39"/>
  <c r="M41" i="39"/>
  <c r="N41" i="39" s="1"/>
  <c r="O41" i="39" s="1"/>
  <c r="P41" i="39" s="1"/>
  <c r="C58" i="39"/>
  <c r="M46" i="39"/>
  <c r="N46" i="39" s="1"/>
  <c r="O46" i="39" s="1"/>
  <c r="P46" i="39" s="1"/>
  <c r="C51" i="39"/>
  <c r="M39" i="39"/>
  <c r="N27" i="39"/>
  <c r="O27" i="39" s="1"/>
  <c r="P27" i="39" s="1"/>
  <c r="M202" i="39"/>
  <c r="Q202" i="7" s="1"/>
  <c r="E174" i="38" s="1"/>
  <c r="C54" i="39"/>
  <c r="M42" i="39"/>
  <c r="N42" i="39" s="1"/>
  <c r="O42" i="39" s="1"/>
  <c r="P42" i="39" s="1"/>
  <c r="H52" i="36"/>
  <c r="G70" i="39" s="1"/>
  <c r="G69" i="7"/>
  <c r="O44" i="17"/>
  <c r="O43" i="17"/>
  <c r="O42" i="17"/>
  <c r="N44" i="17"/>
  <c r="N43" i="17"/>
  <c r="N42" i="17"/>
  <c r="M44" i="17"/>
  <c r="M43" i="17"/>
  <c r="M42" i="17"/>
  <c r="N39" i="39" l="1"/>
  <c r="O39" i="39" s="1"/>
  <c r="P39" i="39" s="1"/>
  <c r="M203" i="39"/>
  <c r="Q203" i="7" s="1"/>
  <c r="E175" i="38" s="1"/>
  <c r="C63" i="39"/>
  <c r="M51" i="39"/>
  <c r="C64" i="39"/>
  <c r="M52" i="39"/>
  <c r="N52" i="39" s="1"/>
  <c r="O52" i="39" s="1"/>
  <c r="P52" i="39" s="1"/>
  <c r="C68" i="39"/>
  <c r="M56" i="39"/>
  <c r="N56" i="39" s="1"/>
  <c r="O56" i="39" s="1"/>
  <c r="P56" i="39" s="1"/>
  <c r="C71" i="39"/>
  <c r="M59" i="39"/>
  <c r="N59" i="39" s="1"/>
  <c r="O59" i="39" s="1"/>
  <c r="P59" i="39" s="1"/>
  <c r="C70" i="39"/>
  <c r="M58" i="39"/>
  <c r="N58" i="39" s="1"/>
  <c r="O58" i="39" s="1"/>
  <c r="P58" i="39" s="1"/>
  <c r="C74" i="39"/>
  <c r="M62" i="39"/>
  <c r="N62" i="39" s="1"/>
  <c r="O62" i="39" s="1"/>
  <c r="P62" i="39" s="1"/>
  <c r="C66" i="39"/>
  <c r="M54" i="39"/>
  <c r="N54" i="39" s="1"/>
  <c r="O54" i="39" s="1"/>
  <c r="P54" i="39" s="1"/>
  <c r="C65" i="39"/>
  <c r="M53" i="39"/>
  <c r="N53" i="39" s="1"/>
  <c r="O53" i="39" s="1"/>
  <c r="P53" i="39" s="1"/>
  <c r="C73" i="39"/>
  <c r="M61" i="39"/>
  <c r="N61" i="39" s="1"/>
  <c r="O61" i="39" s="1"/>
  <c r="P61" i="39" s="1"/>
  <c r="C69" i="39"/>
  <c r="M57" i="39"/>
  <c r="N57" i="39" s="1"/>
  <c r="O57" i="39" s="1"/>
  <c r="P57" i="39" s="1"/>
  <c r="C67" i="39"/>
  <c r="M55" i="39"/>
  <c r="N55" i="39" s="1"/>
  <c r="O55" i="39" s="1"/>
  <c r="P55" i="39" s="1"/>
  <c r="C72" i="39"/>
  <c r="M60" i="39"/>
  <c r="N60" i="39" s="1"/>
  <c r="O60" i="39" s="1"/>
  <c r="P60" i="39" s="1"/>
  <c r="N48" i="17"/>
  <c r="Q42" i="17"/>
  <c r="Q44" i="17"/>
  <c r="Q43" i="17"/>
  <c r="M48" i="17"/>
  <c r="H53" i="36"/>
  <c r="G71" i="39" s="1"/>
  <c r="G70" i="7"/>
  <c r="O48" i="17"/>
  <c r="B37" i="17"/>
  <c r="E37" i="17"/>
  <c r="F37" i="17"/>
  <c r="G37" i="17"/>
  <c r="D37" i="17"/>
  <c r="C37" i="17"/>
  <c r="G36" i="17"/>
  <c r="F36" i="17"/>
  <c r="E36" i="17"/>
  <c r="D36" i="17"/>
  <c r="C36" i="17"/>
  <c r="B36" i="17"/>
  <c r="G25" i="9"/>
  <c r="G24" i="9"/>
  <c r="G22" i="9"/>
  <c r="L46" i="11" s="1"/>
  <c r="G20" i="9"/>
  <c r="J46" i="11" s="1"/>
  <c r="G17" i="9"/>
  <c r="C79" i="39" l="1"/>
  <c r="M67" i="39"/>
  <c r="N67" i="39" s="1"/>
  <c r="O67" i="39" s="1"/>
  <c r="P67" i="39" s="1"/>
  <c r="C78" i="39"/>
  <c r="M66" i="39"/>
  <c r="N66" i="39" s="1"/>
  <c r="O66" i="39" s="1"/>
  <c r="P66" i="39" s="1"/>
  <c r="C80" i="39"/>
  <c r="M68" i="39"/>
  <c r="N68" i="39" s="1"/>
  <c r="O68" i="39" s="1"/>
  <c r="P68" i="39" s="1"/>
  <c r="C76" i="39"/>
  <c r="M64" i="39"/>
  <c r="N64" i="39" s="1"/>
  <c r="O64" i="39" s="1"/>
  <c r="P64" i="39" s="1"/>
  <c r="N51" i="39"/>
  <c r="O51" i="39" s="1"/>
  <c r="P51" i="39" s="1"/>
  <c r="M204" i="39"/>
  <c r="Q204" i="7" s="1"/>
  <c r="E176" i="38" s="1"/>
  <c r="C84" i="39"/>
  <c r="C85" i="39"/>
  <c r="C82" i="39"/>
  <c r="M70" i="39"/>
  <c r="N70" i="39" s="1"/>
  <c r="O70" i="39" s="1"/>
  <c r="P70" i="39" s="1"/>
  <c r="C75" i="39"/>
  <c r="M63" i="39"/>
  <c r="C81" i="39"/>
  <c r="M69" i="39"/>
  <c r="N69" i="39" s="1"/>
  <c r="O69" i="39" s="1"/>
  <c r="P69" i="39" s="1"/>
  <c r="C86" i="39"/>
  <c r="C77" i="39"/>
  <c r="M65" i="39"/>
  <c r="N65" i="39" s="1"/>
  <c r="O65" i="39" s="1"/>
  <c r="P65" i="39" s="1"/>
  <c r="C83" i="39"/>
  <c r="M71" i="39"/>
  <c r="N71" i="39" s="1"/>
  <c r="O71" i="39" s="1"/>
  <c r="P71" i="39" s="1"/>
  <c r="O46" i="11"/>
  <c r="O10" i="11"/>
  <c r="N10" i="11"/>
  <c r="N46" i="11"/>
  <c r="H54" i="36"/>
  <c r="G72" i="39" s="1"/>
  <c r="M72" i="39" s="1"/>
  <c r="N72" i="39" s="1"/>
  <c r="O72" i="39" s="1"/>
  <c r="P72" i="39" s="1"/>
  <c r="G71" i="7"/>
  <c r="H17" i="17"/>
  <c r="C89" i="39" l="1"/>
  <c r="C94" i="39"/>
  <c r="C88" i="39"/>
  <c r="C93" i="39"/>
  <c r="C96" i="39"/>
  <c r="C90" i="39"/>
  <c r="C98" i="39"/>
  <c r="C97" i="39"/>
  <c r="N63" i="39"/>
  <c r="O63" i="39" s="1"/>
  <c r="P63" i="39" s="1"/>
  <c r="O476" i="38"/>
  <c r="B40" i="38"/>
  <c r="C92" i="39"/>
  <c r="P476" i="38"/>
  <c r="B41" i="38"/>
  <c r="C95" i="39"/>
  <c r="C87" i="39"/>
  <c r="C91" i="39"/>
  <c r="H55" i="36"/>
  <c r="G73" i="39" s="1"/>
  <c r="M73" i="39" s="1"/>
  <c r="N73" i="39" s="1"/>
  <c r="O73" i="39" s="1"/>
  <c r="P73" i="39" s="1"/>
  <c r="G72" i="7"/>
  <c r="D110" i="7"/>
  <c r="D109" i="7"/>
  <c r="D108" i="7"/>
  <c r="D107" i="7"/>
  <c r="D106" i="7"/>
  <c r="D105" i="7"/>
  <c r="D104" i="7"/>
  <c r="D103" i="7"/>
  <c r="D102" i="7"/>
  <c r="D101" i="7"/>
  <c r="D100" i="7"/>
  <c r="D98" i="7"/>
  <c r="D97" i="7"/>
  <c r="D96" i="7"/>
  <c r="D95" i="7"/>
  <c r="D94" i="7"/>
  <c r="D93" i="7"/>
  <c r="D92" i="7"/>
  <c r="D91" i="7"/>
  <c r="D90" i="7"/>
  <c r="D89" i="7"/>
  <c r="D88" i="7"/>
  <c r="D86" i="7"/>
  <c r="D85" i="7"/>
  <c r="D84" i="7"/>
  <c r="D83" i="7"/>
  <c r="D82" i="7"/>
  <c r="D81" i="7"/>
  <c r="D80" i="7"/>
  <c r="D79" i="7"/>
  <c r="D78" i="7"/>
  <c r="D77" i="7"/>
  <c r="D76" i="7"/>
  <c r="D74" i="7"/>
  <c r="D73" i="7"/>
  <c r="D72" i="7"/>
  <c r="D71" i="7"/>
  <c r="D70" i="7"/>
  <c r="D69" i="7"/>
  <c r="D68" i="7"/>
  <c r="D67" i="7"/>
  <c r="D66" i="7"/>
  <c r="D65" i="7"/>
  <c r="D64" i="7"/>
  <c r="D62" i="7"/>
  <c r="D61" i="7"/>
  <c r="D60" i="7"/>
  <c r="D59" i="7"/>
  <c r="D58" i="7"/>
  <c r="D57" i="7"/>
  <c r="D56" i="7"/>
  <c r="D55" i="7"/>
  <c r="D54" i="7"/>
  <c r="D53" i="7"/>
  <c r="D52" i="7"/>
  <c r="D50" i="7"/>
  <c r="D49" i="7"/>
  <c r="D48" i="7"/>
  <c r="D47" i="7"/>
  <c r="D46" i="7"/>
  <c r="D45" i="7"/>
  <c r="D44" i="7"/>
  <c r="D43" i="7"/>
  <c r="D42" i="7"/>
  <c r="D41" i="7"/>
  <c r="D40" i="7"/>
  <c r="D38" i="7"/>
  <c r="D37" i="7"/>
  <c r="D36" i="7"/>
  <c r="D35" i="7"/>
  <c r="D34" i="7"/>
  <c r="D33" i="7"/>
  <c r="D32" i="7"/>
  <c r="D31" i="7"/>
  <c r="D30" i="7"/>
  <c r="D29" i="7"/>
  <c r="D28" i="7"/>
  <c r="D26" i="7"/>
  <c r="D25" i="7"/>
  <c r="D24" i="7"/>
  <c r="D23" i="7"/>
  <c r="D22" i="7"/>
  <c r="D21" i="7"/>
  <c r="D20" i="7"/>
  <c r="D19" i="7"/>
  <c r="D18" i="7"/>
  <c r="D17" i="7"/>
  <c r="D16" i="7"/>
  <c r="D14" i="7"/>
  <c r="D13" i="7"/>
  <c r="D12" i="7"/>
  <c r="D11" i="7"/>
  <c r="D10" i="7"/>
  <c r="D9" i="7"/>
  <c r="D8" i="7"/>
  <c r="D7" i="7"/>
  <c r="D6" i="7"/>
  <c r="D5" i="7"/>
  <c r="D4" i="7"/>
  <c r="D158" i="7"/>
  <c r="C158" i="7"/>
  <c r="D157" i="7"/>
  <c r="C157" i="7"/>
  <c r="D156" i="7"/>
  <c r="C156" i="7"/>
  <c r="D155" i="7"/>
  <c r="C155" i="7"/>
  <c r="D154" i="7"/>
  <c r="C154" i="7"/>
  <c r="D153" i="7"/>
  <c r="C153" i="7"/>
  <c r="D152" i="7"/>
  <c r="C152" i="7"/>
  <c r="D151" i="7"/>
  <c r="C151" i="7"/>
  <c r="D150" i="7"/>
  <c r="C150" i="7"/>
  <c r="D149" i="7"/>
  <c r="C149" i="7"/>
  <c r="D148" i="7"/>
  <c r="C148" i="7"/>
  <c r="D146" i="7"/>
  <c r="C146" i="7"/>
  <c r="D145" i="7"/>
  <c r="C145" i="7"/>
  <c r="D144" i="7"/>
  <c r="C144" i="7"/>
  <c r="D143" i="7"/>
  <c r="C143" i="7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4" i="7"/>
  <c r="C134" i="7"/>
  <c r="D133" i="7"/>
  <c r="C133" i="7"/>
  <c r="D132" i="7"/>
  <c r="C132" i="7"/>
  <c r="D131" i="7"/>
  <c r="C131" i="7"/>
  <c r="D130" i="7"/>
  <c r="C130" i="7"/>
  <c r="D129" i="7"/>
  <c r="C129" i="7"/>
  <c r="D128" i="7"/>
  <c r="C128" i="7"/>
  <c r="D127" i="7"/>
  <c r="C127" i="7"/>
  <c r="D126" i="7"/>
  <c r="C126" i="7"/>
  <c r="D125" i="7"/>
  <c r="C125" i="7"/>
  <c r="D124" i="7"/>
  <c r="C124" i="7"/>
  <c r="D122" i="7"/>
  <c r="C122" i="7"/>
  <c r="D121" i="7"/>
  <c r="C121" i="7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47" i="7"/>
  <c r="D135" i="7"/>
  <c r="D123" i="7"/>
  <c r="D111" i="7"/>
  <c r="D99" i="7"/>
  <c r="D87" i="7"/>
  <c r="D75" i="7"/>
  <c r="D63" i="7"/>
  <c r="D51" i="7"/>
  <c r="D39" i="7"/>
  <c r="D27" i="7"/>
  <c r="D15" i="7"/>
  <c r="D3" i="7"/>
  <c r="C147" i="7"/>
  <c r="C135" i="7"/>
  <c r="C123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M70" i="7" s="1"/>
  <c r="C69" i="7"/>
  <c r="C68" i="7"/>
  <c r="C67" i="7"/>
  <c r="C66" i="7"/>
  <c r="C65" i="7"/>
  <c r="C64" i="7"/>
  <c r="C63" i="7"/>
  <c r="M63" i="7" s="1"/>
  <c r="C62" i="7"/>
  <c r="M62" i="7" s="1"/>
  <c r="C61" i="7"/>
  <c r="M61" i="7" s="1"/>
  <c r="C60" i="7"/>
  <c r="M60" i="7" s="1"/>
  <c r="C59" i="7"/>
  <c r="M59" i="7" s="1"/>
  <c r="C58" i="7"/>
  <c r="M58" i="7" s="1"/>
  <c r="C57" i="7"/>
  <c r="M57" i="7" s="1"/>
  <c r="C56" i="7"/>
  <c r="M56" i="7" s="1"/>
  <c r="C55" i="7"/>
  <c r="M55" i="7" s="1"/>
  <c r="C54" i="7"/>
  <c r="M54" i="7" s="1"/>
  <c r="C53" i="7"/>
  <c r="M53" i="7" s="1"/>
  <c r="C52" i="7"/>
  <c r="M52" i="7" s="1"/>
  <c r="C51" i="7"/>
  <c r="C50" i="7"/>
  <c r="C49" i="7"/>
  <c r="C48" i="7"/>
  <c r="M48" i="7" s="1"/>
  <c r="C47" i="7"/>
  <c r="M47" i="7" s="1"/>
  <c r="C46" i="7"/>
  <c r="C45" i="7"/>
  <c r="C44" i="7"/>
  <c r="M44" i="7" s="1"/>
  <c r="C43" i="7"/>
  <c r="M43" i="7" s="1"/>
  <c r="C42" i="7"/>
  <c r="C41" i="7"/>
  <c r="C40" i="7"/>
  <c r="M40" i="7" s="1"/>
  <c r="C39" i="7"/>
  <c r="C38" i="7"/>
  <c r="C37" i="7"/>
  <c r="C36" i="7"/>
  <c r="C35" i="7"/>
  <c r="M35" i="7" s="1"/>
  <c r="C34" i="7"/>
  <c r="M34" i="7" s="1"/>
  <c r="C33" i="7"/>
  <c r="C32" i="7"/>
  <c r="M32" i="7" s="1"/>
  <c r="C31" i="7"/>
  <c r="M31" i="7" s="1"/>
  <c r="C30" i="7"/>
  <c r="C29" i="7"/>
  <c r="C28" i="7"/>
  <c r="C27" i="7"/>
  <c r="M27" i="7" s="1"/>
  <c r="C26" i="7"/>
  <c r="M26" i="7" s="1"/>
  <c r="C25" i="7"/>
  <c r="M25" i="7" s="1"/>
  <c r="C24" i="7"/>
  <c r="M24" i="7" s="1"/>
  <c r="C23" i="7"/>
  <c r="M23" i="7" s="1"/>
  <c r="C22" i="7"/>
  <c r="C21" i="7"/>
  <c r="C20" i="7"/>
  <c r="C19" i="7"/>
  <c r="C18" i="7"/>
  <c r="M18" i="7" s="1"/>
  <c r="C17" i="7"/>
  <c r="M17" i="7" s="1"/>
  <c r="C16" i="7"/>
  <c r="M16" i="7" s="1"/>
  <c r="C15" i="7"/>
  <c r="M15" i="7" s="1"/>
  <c r="C14" i="7"/>
  <c r="C13" i="7"/>
  <c r="C12" i="7"/>
  <c r="C11" i="7"/>
  <c r="C10" i="7"/>
  <c r="C9" i="7"/>
  <c r="M9" i="7" s="1"/>
  <c r="C8" i="7"/>
  <c r="M8" i="7" s="1"/>
  <c r="C7" i="7"/>
  <c r="M7" i="7" s="1"/>
  <c r="C6" i="7"/>
  <c r="C5" i="7"/>
  <c r="C4" i="7"/>
  <c r="C3" i="7"/>
  <c r="M3" i="7" s="1"/>
  <c r="M42" i="7" l="1"/>
  <c r="M50" i="7"/>
  <c r="M71" i="7"/>
  <c r="M33" i="7"/>
  <c r="M41" i="7"/>
  <c r="M49" i="7"/>
  <c r="M19" i="7"/>
  <c r="M28" i="7"/>
  <c r="M36" i="7"/>
  <c r="M39" i="7"/>
  <c r="M10" i="7"/>
  <c r="M45" i="7"/>
  <c r="M66" i="7"/>
  <c r="M11" i="7"/>
  <c r="M51" i="7"/>
  <c r="M20" i="7"/>
  <c r="M68" i="7"/>
  <c r="M65" i="7"/>
  <c r="M67" i="7"/>
  <c r="M72" i="7"/>
  <c r="M4" i="7"/>
  <c r="M5" i="7"/>
  <c r="M13" i="7"/>
  <c r="M21" i="7"/>
  <c r="M29" i="7"/>
  <c r="M37" i="7"/>
  <c r="M69" i="7"/>
  <c r="M64" i="7"/>
  <c r="M12" i="7"/>
  <c r="M6" i="7"/>
  <c r="M14" i="7"/>
  <c r="M22" i="7"/>
  <c r="M30" i="7"/>
  <c r="M38" i="7"/>
  <c r="M46" i="7"/>
  <c r="C41" i="38"/>
  <c r="C109" i="39"/>
  <c r="C105" i="39"/>
  <c r="C100" i="39"/>
  <c r="C99" i="39"/>
  <c r="C102" i="39"/>
  <c r="C106" i="39"/>
  <c r="C104" i="39"/>
  <c r="C103" i="39"/>
  <c r="C110" i="39"/>
  <c r="C107" i="39"/>
  <c r="C108" i="39"/>
  <c r="C101" i="39"/>
  <c r="H56" i="36"/>
  <c r="G74" i="39" s="1"/>
  <c r="M74" i="39" s="1"/>
  <c r="N74" i="39" s="1"/>
  <c r="O74" i="39" s="1"/>
  <c r="P74" i="39" s="1"/>
  <c r="G73" i="7"/>
  <c r="M73" i="7" s="1"/>
  <c r="N3" i="7"/>
  <c r="D169" i="7"/>
  <c r="D170" i="7"/>
  <c r="V41" i="32"/>
  <c r="V21" i="32"/>
  <c r="C116" i="39" l="1"/>
  <c r="C112" i="39"/>
  <c r="C119" i="39"/>
  <c r="C122" i="39"/>
  <c r="C118" i="39"/>
  <c r="C120" i="39"/>
  <c r="C117" i="39"/>
  <c r="C113" i="39"/>
  <c r="C115" i="39"/>
  <c r="C114" i="39"/>
  <c r="C111" i="39"/>
  <c r="M205" i="39"/>
  <c r="Q205" i="7" s="1"/>
  <c r="E177" i="38" s="1"/>
  <c r="C121" i="39"/>
  <c r="G74" i="7"/>
  <c r="M74" i="7" s="1"/>
  <c r="J56" i="36"/>
  <c r="H7" i="36" s="1"/>
  <c r="I7" i="36" s="1"/>
  <c r="H57" i="36" s="1"/>
  <c r="G75" i="39" s="1"/>
  <c r="M75" i="39" s="1"/>
  <c r="I56" i="36"/>
  <c r="K6" i="36" s="1"/>
  <c r="L6" i="36" s="1"/>
  <c r="C125" i="39" l="1"/>
  <c r="C134" i="39"/>
  <c r="C133" i="39"/>
  <c r="N75" i="39"/>
  <c r="O75" i="39" s="1"/>
  <c r="P75" i="39" s="1"/>
  <c r="C124" i="39"/>
  <c r="C132" i="39"/>
  <c r="C126" i="39"/>
  <c r="C128" i="39"/>
  <c r="C123" i="39"/>
  <c r="C129" i="39"/>
  <c r="C131" i="39"/>
  <c r="C127" i="39"/>
  <c r="C130" i="39"/>
  <c r="G75" i="7"/>
  <c r="M75" i="7" s="1"/>
  <c r="H58" i="36"/>
  <c r="G76" i="39" s="1"/>
  <c r="M76" i="39" s="1"/>
  <c r="N76" i="39" s="1"/>
  <c r="O76" i="39" s="1"/>
  <c r="P76" i="39" s="1"/>
  <c r="C141" i="39" l="1"/>
  <c r="C144" i="39"/>
  <c r="C146" i="39"/>
  <c r="C139" i="39"/>
  <c r="C140" i="39"/>
  <c r="C143" i="39"/>
  <c r="C145" i="39"/>
  <c r="C138" i="39"/>
  <c r="C142" i="39"/>
  <c r="C135" i="39"/>
  <c r="C136" i="39"/>
  <c r="C137" i="39"/>
  <c r="H59" i="36"/>
  <c r="G77" i="39" s="1"/>
  <c r="M77" i="39" s="1"/>
  <c r="N77" i="39" s="1"/>
  <c r="O77" i="39" s="1"/>
  <c r="P77" i="39" s="1"/>
  <c r="G76" i="7"/>
  <c r="M76" i="7" s="1"/>
  <c r="C151" i="39" l="1"/>
  <c r="C157" i="39"/>
  <c r="C150" i="39"/>
  <c r="C156" i="39"/>
  <c r="C149" i="39"/>
  <c r="C154" i="39"/>
  <c r="C152" i="39"/>
  <c r="C148" i="39"/>
  <c r="C158" i="39"/>
  <c r="C147" i="39"/>
  <c r="C155" i="39"/>
  <c r="C153" i="39"/>
  <c r="H60" i="36"/>
  <c r="G78" i="39" s="1"/>
  <c r="M78" i="39" s="1"/>
  <c r="G77" i="7"/>
  <c r="M77" i="7" s="1"/>
  <c r="C168" i="39" l="1"/>
  <c r="C165" i="39"/>
  <c r="C167" i="39"/>
  <c r="C162" i="39"/>
  <c r="C159" i="39"/>
  <c r="C166" i="39"/>
  <c r="C169" i="39"/>
  <c r="C160" i="39"/>
  <c r="C164" i="39"/>
  <c r="N78" i="39"/>
  <c r="O78" i="39" s="1"/>
  <c r="P78" i="39" s="1"/>
  <c r="C170" i="39"/>
  <c r="C161" i="39"/>
  <c r="C163" i="39"/>
  <c r="H61" i="36"/>
  <c r="G79" i="39" s="1"/>
  <c r="M79" i="39" s="1"/>
  <c r="N79" i="39" s="1"/>
  <c r="O79" i="39" s="1"/>
  <c r="P79" i="39" s="1"/>
  <c r="G78" i="7"/>
  <c r="M78" i="7" s="1"/>
  <c r="C173" i="39" l="1"/>
  <c r="C172" i="39"/>
  <c r="C174" i="39"/>
  <c r="C182" i="39"/>
  <c r="C181" i="39"/>
  <c r="C179" i="39"/>
  <c r="C178" i="39"/>
  <c r="C177" i="39"/>
  <c r="C175" i="39"/>
  <c r="C176" i="39"/>
  <c r="C171" i="39"/>
  <c r="C180" i="39"/>
  <c r="H62" i="36"/>
  <c r="G80" i="39" s="1"/>
  <c r="M80" i="39" s="1"/>
  <c r="N80" i="39" s="1"/>
  <c r="O80" i="39" s="1"/>
  <c r="P80" i="39" s="1"/>
  <c r="G79" i="7"/>
  <c r="M79" i="7" s="1"/>
  <c r="C189" i="39" l="1"/>
  <c r="C194" i="39"/>
  <c r="C183" i="39"/>
  <c r="C190" i="39"/>
  <c r="C188" i="39"/>
  <c r="C184" i="39"/>
  <c r="C187" i="39"/>
  <c r="C191" i="39"/>
  <c r="C186" i="39"/>
  <c r="C192" i="39"/>
  <c r="C193" i="39"/>
  <c r="C185" i="39"/>
  <c r="H63" i="36"/>
  <c r="G81" i="39" s="1"/>
  <c r="M81" i="39" s="1"/>
  <c r="G80" i="7"/>
  <c r="M80" i="7" s="1"/>
  <c r="N81" i="39" l="1"/>
  <c r="O81" i="39" s="1"/>
  <c r="P81" i="39" s="1"/>
  <c r="H64" i="36"/>
  <c r="G82" i="39" s="1"/>
  <c r="M82" i="39" s="1"/>
  <c r="N82" i="39" s="1"/>
  <c r="O82" i="39" s="1"/>
  <c r="P82" i="39" s="1"/>
  <c r="G81" i="7"/>
  <c r="M81" i="7" s="1"/>
  <c r="H65" i="36" l="1"/>
  <c r="G83" i="39" s="1"/>
  <c r="M83" i="39" s="1"/>
  <c r="N83" i="39" s="1"/>
  <c r="O83" i="39" s="1"/>
  <c r="P83" i="39" s="1"/>
  <c r="G82" i="7"/>
  <c r="M82" i="7" s="1"/>
  <c r="B24" i="18"/>
  <c r="B334" i="38" l="1"/>
  <c r="H66" i="36"/>
  <c r="G84" i="39" s="1"/>
  <c r="M84" i="39" s="1"/>
  <c r="N84" i="39" s="1"/>
  <c r="O84" i="39" s="1"/>
  <c r="P84" i="39" s="1"/>
  <c r="G83" i="7"/>
  <c r="M83" i="7" s="1"/>
  <c r="H67" i="36" l="1"/>
  <c r="G85" i="39" s="1"/>
  <c r="M85" i="39" s="1"/>
  <c r="N85" i="39" s="1"/>
  <c r="O85" i="39" s="1"/>
  <c r="P85" i="39" s="1"/>
  <c r="G84" i="7"/>
  <c r="M84" i="7" s="1"/>
  <c r="H68" i="36" l="1"/>
  <c r="G86" i="39" s="1"/>
  <c r="M86" i="39" s="1"/>
  <c r="G85" i="7"/>
  <c r="M85" i="7" s="1"/>
  <c r="N86" i="39" l="1"/>
  <c r="O86" i="39" s="1"/>
  <c r="P86" i="39" s="1"/>
  <c r="M206" i="39"/>
  <c r="Q206" i="7" s="1"/>
  <c r="E178" i="38" s="1"/>
  <c r="G86" i="7"/>
  <c r="M86" i="7" s="1"/>
  <c r="J68" i="36"/>
  <c r="H8" i="36" s="1"/>
  <c r="I8" i="36" s="1"/>
  <c r="H69" i="36" s="1"/>
  <c r="G87" i="39" s="1"/>
  <c r="M87" i="39" s="1"/>
  <c r="I68" i="36"/>
  <c r="K7" i="36" s="1"/>
  <c r="L7" i="36" s="1"/>
  <c r="N87" i="39" l="1"/>
  <c r="O87" i="39" s="1"/>
  <c r="P87" i="39" s="1"/>
  <c r="G87" i="7"/>
  <c r="M87" i="7" s="1"/>
  <c r="H70" i="36"/>
  <c r="G88" i="39" s="1"/>
  <c r="M88" i="39" s="1"/>
  <c r="N88" i="39" s="1"/>
  <c r="O88" i="39" s="1"/>
  <c r="P88" i="39" s="1"/>
  <c r="D29" i="34"/>
  <c r="H71" i="36" l="1"/>
  <c r="G89" i="39" s="1"/>
  <c r="M89" i="39" s="1"/>
  <c r="N89" i="39" s="1"/>
  <c r="O89" i="39" s="1"/>
  <c r="P89" i="39" s="1"/>
  <c r="G88" i="7"/>
  <c r="M88" i="7" s="1"/>
  <c r="H72" i="36" l="1"/>
  <c r="G90" i="39" s="1"/>
  <c r="M90" i="39" s="1"/>
  <c r="N90" i="39" s="1"/>
  <c r="O90" i="39" s="1"/>
  <c r="P90" i="39" s="1"/>
  <c r="G89" i="7"/>
  <c r="M89" i="7" s="1"/>
  <c r="H73" i="36" l="1"/>
  <c r="G91" i="39" s="1"/>
  <c r="M91" i="39" s="1"/>
  <c r="N91" i="39" s="1"/>
  <c r="O91" i="39" s="1"/>
  <c r="P91" i="39" s="1"/>
  <c r="G90" i="7"/>
  <c r="M90" i="7" s="1"/>
  <c r="M38" i="11"/>
  <c r="L38" i="11"/>
  <c r="K38" i="11"/>
  <c r="G57" i="38" s="1"/>
  <c r="J38" i="11"/>
  <c r="G56" i="38" s="1"/>
  <c r="I38" i="11"/>
  <c r="G55" i="38" s="1"/>
  <c r="H38" i="11"/>
  <c r="G54" i="38" s="1"/>
  <c r="G38" i="11"/>
  <c r="G53" i="38" s="1"/>
  <c r="F38" i="11"/>
  <c r="G52" i="38" s="1"/>
  <c r="E38" i="11"/>
  <c r="G51" i="38" s="1"/>
  <c r="D38" i="11"/>
  <c r="G50" i="38" s="1"/>
  <c r="C38" i="11"/>
  <c r="G49" i="38" s="1"/>
  <c r="B38" i="11"/>
  <c r="G48" i="38" s="1"/>
  <c r="G23" i="9"/>
  <c r="M46" i="11" s="1"/>
  <c r="G21" i="9"/>
  <c r="K46" i="11" s="1"/>
  <c r="G19" i="9"/>
  <c r="G18" i="9"/>
  <c r="G16" i="9"/>
  <c r="G13" i="9"/>
  <c r="G12" i="9"/>
  <c r="H15" i="17"/>
  <c r="H14" i="17"/>
  <c r="H13" i="17"/>
  <c r="H12" i="17"/>
  <c r="H11" i="17"/>
  <c r="H10" i="17"/>
  <c r="H9" i="17"/>
  <c r="H8" i="17"/>
  <c r="H7" i="17"/>
  <c r="H6" i="17"/>
  <c r="H5" i="17"/>
  <c r="H4" i="17"/>
  <c r="M504" i="38" l="1"/>
  <c r="G58" i="38"/>
  <c r="N504" i="38"/>
  <c r="G59" i="38"/>
  <c r="H74" i="36"/>
  <c r="G92" i="39" s="1"/>
  <c r="M92" i="39" s="1"/>
  <c r="N92" i="39" s="1"/>
  <c r="O92" i="39" s="1"/>
  <c r="P92" i="39" s="1"/>
  <c r="G91" i="7"/>
  <c r="M91" i="7" s="1"/>
  <c r="B213" i="7"/>
  <c r="B185" i="38" s="1"/>
  <c r="X520" i="38" l="1"/>
  <c r="W539" i="38"/>
  <c r="X539" i="38"/>
  <c r="W558" i="38"/>
  <c r="H75" i="36"/>
  <c r="G93" i="39" s="1"/>
  <c r="M93" i="39" s="1"/>
  <c r="N93" i="39" s="1"/>
  <c r="O93" i="39" s="1"/>
  <c r="P93" i="39" s="1"/>
  <c r="G92" i="7"/>
  <c r="M92" i="7" s="1"/>
  <c r="B25" i="9"/>
  <c r="F25" i="9" s="1"/>
  <c r="O4" i="11"/>
  <c r="P469" i="38" s="1"/>
  <c r="W566" i="38" l="1"/>
  <c r="W547" i="38"/>
  <c r="W528" i="38"/>
  <c r="H76" i="36"/>
  <c r="G94" i="39" s="1"/>
  <c r="M94" i="39" s="1"/>
  <c r="N94" i="39" s="1"/>
  <c r="O94" i="39" s="1"/>
  <c r="P94" i="39" s="1"/>
  <c r="G93" i="7"/>
  <c r="M93" i="7" s="1"/>
  <c r="H77" i="36" l="1"/>
  <c r="G95" i="39" s="1"/>
  <c r="M95" i="39" s="1"/>
  <c r="N95" i="39" s="1"/>
  <c r="O95" i="39" s="1"/>
  <c r="P95" i="39" s="1"/>
  <c r="G94" i="7"/>
  <c r="M94" i="7" s="1"/>
  <c r="G2" i="17"/>
  <c r="H78" i="36" l="1"/>
  <c r="G96" i="39" s="1"/>
  <c r="M96" i="39" s="1"/>
  <c r="N96" i="39" s="1"/>
  <c r="O96" i="39" s="1"/>
  <c r="P96" i="39" s="1"/>
  <c r="G95" i="7"/>
  <c r="M95" i="7" s="1"/>
  <c r="N4" i="11"/>
  <c r="O469" i="38" s="1"/>
  <c r="B200" i="7"/>
  <c r="B172" i="38" s="1"/>
  <c r="H79" i="36" l="1"/>
  <c r="G97" i="39" s="1"/>
  <c r="M97" i="39" s="1"/>
  <c r="N97" i="39" s="1"/>
  <c r="O97" i="39" s="1"/>
  <c r="P97" i="39" s="1"/>
  <c r="G96" i="7"/>
  <c r="M96" i="7" s="1"/>
  <c r="H80" i="36" l="1"/>
  <c r="G98" i="39" s="1"/>
  <c r="M98" i="39" s="1"/>
  <c r="G97" i="7"/>
  <c r="M97" i="7" s="1"/>
  <c r="N98" i="39" l="1"/>
  <c r="O98" i="39" s="1"/>
  <c r="P98" i="39" s="1"/>
  <c r="M207" i="39"/>
  <c r="Q207" i="7" s="1"/>
  <c r="E179" i="38" s="1"/>
  <c r="G98" i="7"/>
  <c r="M98" i="7" s="1"/>
  <c r="J80" i="36"/>
  <c r="H9" i="36" s="1"/>
  <c r="I9" i="36" s="1"/>
  <c r="H81" i="36" s="1"/>
  <c r="G99" i="39" s="1"/>
  <c r="M99" i="39" s="1"/>
  <c r="I80" i="36"/>
  <c r="K8" i="36" s="1"/>
  <c r="L8" i="36" s="1"/>
  <c r="A12" i="9"/>
  <c r="A36" i="9" s="1"/>
  <c r="A53" i="9" s="1"/>
  <c r="A13" i="9"/>
  <c r="A37" i="9" s="1"/>
  <c r="A54" i="9" s="1"/>
  <c r="A14" i="9"/>
  <c r="A38" i="9" s="1"/>
  <c r="A55" i="9" s="1"/>
  <c r="A15" i="9"/>
  <c r="A39" i="9" s="1"/>
  <c r="A56" i="9" s="1"/>
  <c r="A16" i="9"/>
  <c r="A40" i="9" s="1"/>
  <c r="A57" i="9" s="1"/>
  <c r="A17" i="9"/>
  <c r="A41" i="9" s="1"/>
  <c r="A58" i="9" s="1"/>
  <c r="A18" i="9"/>
  <c r="A42" i="9" s="1"/>
  <c r="A59" i="9" s="1"/>
  <c r="A19" i="9"/>
  <c r="A43" i="9" s="1"/>
  <c r="A60" i="9" s="1"/>
  <c r="A20" i="9"/>
  <c r="A44" i="9" s="1"/>
  <c r="A61" i="9" s="1"/>
  <c r="A21" i="9"/>
  <c r="A45" i="9" s="1"/>
  <c r="A62" i="9" s="1"/>
  <c r="A22" i="9"/>
  <c r="A46" i="9" s="1"/>
  <c r="A63" i="9" s="1"/>
  <c r="A23" i="9"/>
  <c r="A47" i="9" s="1"/>
  <c r="A64" i="9" s="1"/>
  <c r="A24" i="9"/>
  <c r="A48" i="9" s="1"/>
  <c r="A25" i="9"/>
  <c r="A49" i="9" s="1"/>
  <c r="N99" i="39" l="1"/>
  <c r="O99" i="39" s="1"/>
  <c r="P99" i="39" s="1"/>
  <c r="G99" i="7"/>
  <c r="M99" i="7" s="1"/>
  <c r="H82" i="36"/>
  <c r="G100" i="39" s="1"/>
  <c r="M100" i="39" s="1"/>
  <c r="N100" i="39" s="1"/>
  <c r="O100" i="39" s="1"/>
  <c r="P100" i="39" s="1"/>
  <c r="D71" i="34"/>
  <c r="D70" i="34"/>
  <c r="D68" i="34"/>
  <c r="D67" i="34"/>
  <c r="D66" i="34"/>
  <c r="D51" i="34"/>
  <c r="D48" i="34"/>
  <c r="D47" i="34"/>
  <c r="D46" i="34"/>
  <c r="D31" i="34"/>
  <c r="D30" i="34"/>
  <c r="D28" i="34"/>
  <c r="D27" i="34"/>
  <c r="D26" i="34"/>
  <c r="B21" i="34"/>
  <c r="B31" i="34" s="1"/>
  <c r="B41" i="34" s="1"/>
  <c r="B51" i="34" s="1"/>
  <c r="B61" i="34" s="1"/>
  <c r="B71" i="34" s="1"/>
  <c r="B81" i="34" s="1"/>
  <c r="B20" i="34"/>
  <c r="B30" i="34" s="1"/>
  <c r="B18" i="34"/>
  <c r="B28" i="34" s="1"/>
  <c r="B17" i="34"/>
  <c r="B27" i="34" s="1"/>
  <c r="B37" i="34" s="1"/>
  <c r="B47" i="34" s="1"/>
  <c r="B57" i="34" s="1"/>
  <c r="B67" i="34" s="1"/>
  <c r="B77" i="34" s="1"/>
  <c r="B16" i="34"/>
  <c r="B26" i="34" s="1"/>
  <c r="B36" i="34" s="1"/>
  <c r="B46" i="34" s="1"/>
  <c r="B56" i="34" s="1"/>
  <c r="B66" i="34" s="1"/>
  <c r="B76" i="34" s="1"/>
  <c r="B38" i="34" l="1"/>
  <c r="B48" i="34" s="1"/>
  <c r="B58" i="34" s="1"/>
  <c r="B68" i="34" s="1"/>
  <c r="B78" i="34" s="1"/>
  <c r="H83" i="36"/>
  <c r="G101" i="39" s="1"/>
  <c r="M101" i="39" s="1"/>
  <c r="N101" i="39" s="1"/>
  <c r="O101" i="39" s="1"/>
  <c r="P101" i="39" s="1"/>
  <c r="G100" i="7"/>
  <c r="M100" i="7" s="1"/>
  <c r="B40" i="34"/>
  <c r="B50" i="34" s="1"/>
  <c r="B60" i="34" s="1"/>
  <c r="B70" i="34" s="1"/>
  <c r="B80" i="34" s="1"/>
  <c r="H84" i="36" l="1"/>
  <c r="G102" i="39" s="1"/>
  <c r="M102" i="39" s="1"/>
  <c r="N102" i="39" s="1"/>
  <c r="O102" i="39" s="1"/>
  <c r="P102" i="39" s="1"/>
  <c r="G101" i="7"/>
  <c r="M101" i="7" s="1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H85" i="36" l="1"/>
  <c r="G103" i="39" s="1"/>
  <c r="M103" i="39" s="1"/>
  <c r="N103" i="39" s="1"/>
  <c r="O103" i="39" s="1"/>
  <c r="P103" i="39" s="1"/>
  <c r="G102" i="7"/>
  <c r="M102" i="7" s="1"/>
  <c r="L41" i="32"/>
  <c r="K41" i="32"/>
  <c r="H41" i="32"/>
  <c r="B41" i="32"/>
  <c r="H86" i="36" l="1"/>
  <c r="G104" i="39" s="1"/>
  <c r="M104" i="39" s="1"/>
  <c r="N104" i="39" s="1"/>
  <c r="O104" i="39" s="1"/>
  <c r="P104" i="39" s="1"/>
  <c r="G103" i="7"/>
  <c r="M103" i="7" s="1"/>
  <c r="B211" i="7"/>
  <c r="B183" i="38" s="1"/>
  <c r="G30" i="17"/>
  <c r="B37" i="11"/>
  <c r="G84" i="38" s="1"/>
  <c r="G105" i="38" s="1"/>
  <c r="C37" i="11"/>
  <c r="G85" i="38" s="1"/>
  <c r="G106" i="38" s="1"/>
  <c r="D37" i="11"/>
  <c r="G86" i="38" s="1"/>
  <c r="G107" i="38" s="1"/>
  <c r="E37" i="11"/>
  <c r="G87" i="38" s="1"/>
  <c r="G108" i="38" s="1"/>
  <c r="F37" i="11"/>
  <c r="G88" i="38" s="1"/>
  <c r="G109" i="38" s="1"/>
  <c r="G37" i="11"/>
  <c r="G89" i="38" s="1"/>
  <c r="G110" i="38" s="1"/>
  <c r="H37" i="11"/>
  <c r="G90" i="38" s="1"/>
  <c r="G111" i="38" s="1"/>
  <c r="I37" i="11"/>
  <c r="G91" i="38" s="1"/>
  <c r="G112" i="38" s="1"/>
  <c r="J37" i="11"/>
  <c r="G92" i="38" s="1"/>
  <c r="G113" i="38" s="1"/>
  <c r="K37" i="11"/>
  <c r="G93" i="38" s="1"/>
  <c r="G114" i="38" s="1"/>
  <c r="L37" i="11"/>
  <c r="M37" i="11"/>
  <c r="A36" i="11"/>
  <c r="G31" i="17"/>
  <c r="G32" i="17"/>
  <c r="G33" i="17"/>
  <c r="G34" i="17"/>
  <c r="G35" i="17"/>
  <c r="M47" i="9"/>
  <c r="M65" i="9" s="1"/>
  <c r="M46" i="9"/>
  <c r="M45" i="9"/>
  <c r="M41" i="9"/>
  <c r="M58" i="9" s="1"/>
  <c r="G40" i="17" l="1"/>
  <c r="M503" i="38"/>
  <c r="G94" i="38"/>
  <c r="G115" i="38" s="1"/>
  <c r="N503" i="38"/>
  <c r="G96" i="38"/>
  <c r="G116" i="38" s="1"/>
  <c r="H87" i="36"/>
  <c r="G105" i="39" s="1"/>
  <c r="M105" i="39" s="1"/>
  <c r="N105" i="39" s="1"/>
  <c r="O105" i="39" s="1"/>
  <c r="P105" i="39" s="1"/>
  <c r="G104" i="7"/>
  <c r="M104" i="7" s="1"/>
  <c r="M64" i="9"/>
  <c r="M44" i="9"/>
  <c r="M62" i="9" s="1"/>
  <c r="M42" i="9"/>
  <c r="M59" i="9" s="1"/>
  <c r="M63" i="9"/>
  <c r="M43" i="9"/>
  <c r="O3" i="7"/>
  <c r="P3" i="7" s="1"/>
  <c r="N4" i="7"/>
  <c r="O4" i="7" s="1"/>
  <c r="P4" i="7" s="1"/>
  <c r="N5" i="7"/>
  <c r="O5" i="7" s="1"/>
  <c r="P5" i="7" s="1"/>
  <c r="N6" i="7"/>
  <c r="O6" i="7" s="1"/>
  <c r="P6" i="7" s="1"/>
  <c r="N7" i="7"/>
  <c r="O7" i="7" s="1"/>
  <c r="P7" i="7" s="1"/>
  <c r="N8" i="7"/>
  <c r="O8" i="7" s="1"/>
  <c r="P8" i="7" s="1"/>
  <c r="N9" i="7"/>
  <c r="O9" i="7" s="1"/>
  <c r="P9" i="7" s="1"/>
  <c r="N10" i="7"/>
  <c r="O10" i="7" s="1"/>
  <c r="P10" i="7" s="1"/>
  <c r="N11" i="7"/>
  <c r="O11" i="7" s="1"/>
  <c r="P11" i="7" s="1"/>
  <c r="N12" i="7"/>
  <c r="O12" i="7" s="1"/>
  <c r="P12" i="7" s="1"/>
  <c r="N13" i="7"/>
  <c r="O13" i="7" s="1"/>
  <c r="P13" i="7" s="1"/>
  <c r="N14" i="7"/>
  <c r="O14" i="7" s="1"/>
  <c r="P14" i="7" s="1"/>
  <c r="N15" i="7"/>
  <c r="O15" i="7" s="1"/>
  <c r="P15" i="7" s="1"/>
  <c r="N16" i="7"/>
  <c r="O16" i="7" s="1"/>
  <c r="P16" i="7" s="1"/>
  <c r="N18" i="7"/>
  <c r="O18" i="7" s="1"/>
  <c r="P18" i="7" s="1"/>
  <c r="N20" i="7"/>
  <c r="O20" i="7" s="1"/>
  <c r="P20" i="7" s="1"/>
  <c r="N21" i="7"/>
  <c r="O21" i="7" s="1"/>
  <c r="P21" i="7" s="1"/>
  <c r="N22" i="7"/>
  <c r="O22" i="7" s="1"/>
  <c r="P22" i="7" s="1"/>
  <c r="N23" i="7"/>
  <c r="O23" i="7" s="1"/>
  <c r="P23" i="7" s="1"/>
  <c r="N24" i="7"/>
  <c r="O24" i="7" s="1"/>
  <c r="P24" i="7" s="1"/>
  <c r="N25" i="7"/>
  <c r="O25" i="7" s="1"/>
  <c r="P25" i="7" s="1"/>
  <c r="N27" i="7"/>
  <c r="O27" i="7" s="1"/>
  <c r="P27" i="7" s="1"/>
  <c r="N28" i="7"/>
  <c r="O28" i="7" s="1"/>
  <c r="P28" i="7" s="1"/>
  <c r="N29" i="7"/>
  <c r="O29" i="7" s="1"/>
  <c r="P29" i="7" s="1"/>
  <c r="N30" i="7"/>
  <c r="O30" i="7" s="1"/>
  <c r="P30" i="7" s="1"/>
  <c r="N31" i="7"/>
  <c r="O31" i="7" s="1"/>
  <c r="P31" i="7" s="1"/>
  <c r="N32" i="7"/>
  <c r="O32" i="7" s="1"/>
  <c r="P32" i="7" s="1"/>
  <c r="N33" i="7"/>
  <c r="O33" i="7" s="1"/>
  <c r="P33" i="7" s="1"/>
  <c r="N34" i="7"/>
  <c r="O34" i="7" s="1"/>
  <c r="P34" i="7" s="1"/>
  <c r="N35" i="7"/>
  <c r="O35" i="7" s="1"/>
  <c r="P35" i="7" s="1"/>
  <c r="N36" i="7"/>
  <c r="O36" i="7" s="1"/>
  <c r="P36" i="7" s="1"/>
  <c r="N37" i="7"/>
  <c r="O37" i="7" s="1"/>
  <c r="P37" i="7" s="1"/>
  <c r="N38" i="7"/>
  <c r="O38" i="7" s="1"/>
  <c r="P38" i="7" s="1"/>
  <c r="N17" i="7"/>
  <c r="O17" i="7" s="1"/>
  <c r="P17" i="7" s="1"/>
  <c r="N19" i="7"/>
  <c r="O19" i="7" s="1"/>
  <c r="P19" i="7" s="1"/>
  <c r="N26" i="7"/>
  <c r="O26" i="7" s="1"/>
  <c r="P26" i="7" s="1"/>
  <c r="T558" i="38" l="1"/>
  <c r="AA558" i="38" s="1"/>
  <c r="U539" i="38"/>
  <c r="U520" i="38"/>
  <c r="T539" i="38"/>
  <c r="AA539" i="38" s="1"/>
  <c r="H88" i="36"/>
  <c r="G106" i="39" s="1"/>
  <c r="M106" i="39" s="1"/>
  <c r="N106" i="39" s="1"/>
  <c r="O106" i="39" s="1"/>
  <c r="P106" i="39" s="1"/>
  <c r="G105" i="7"/>
  <c r="M105" i="7" s="1"/>
  <c r="G44" i="17"/>
  <c r="M61" i="9"/>
  <c r="M60" i="9"/>
  <c r="T528" i="38" l="1"/>
  <c r="AB520" i="38"/>
  <c r="AA528" i="38" s="1"/>
  <c r="T547" i="38"/>
  <c r="AB539" i="38"/>
  <c r="AA547" i="38" s="1"/>
  <c r="G226" i="38"/>
  <c r="G19" i="17"/>
  <c r="H89" i="36"/>
  <c r="G107" i="39" s="1"/>
  <c r="M107" i="39" s="1"/>
  <c r="N107" i="39" s="1"/>
  <c r="O107" i="39" s="1"/>
  <c r="P107" i="39" s="1"/>
  <c r="G106" i="7"/>
  <c r="M106" i="7" s="1"/>
  <c r="M50" i="9" l="1"/>
  <c r="G231" i="38"/>
  <c r="Q37" i="11"/>
  <c r="R503" i="38" s="1"/>
  <c r="U615" i="38" s="1"/>
  <c r="G232" i="38"/>
  <c r="P37" i="11"/>
  <c r="Q503" i="38" s="1"/>
  <c r="H90" i="36"/>
  <c r="G108" i="39" s="1"/>
  <c r="M108" i="39" s="1"/>
  <c r="N108" i="39" s="1"/>
  <c r="O108" i="39" s="1"/>
  <c r="P108" i="39" s="1"/>
  <c r="G107" i="7"/>
  <c r="M107" i="7" s="1"/>
  <c r="N37" i="11"/>
  <c r="K224" i="7"/>
  <c r="K225" i="7" s="1"/>
  <c r="K226" i="7" s="1"/>
  <c r="K227" i="7" s="1"/>
  <c r="K228" i="7" s="1"/>
  <c r="K229" i="7" s="1"/>
  <c r="K230" i="7" s="1"/>
  <c r="K231" i="7" s="1"/>
  <c r="K232" i="7" s="1"/>
  <c r="K233" i="7" s="1"/>
  <c r="K234" i="7" s="1"/>
  <c r="K235" i="7" s="1"/>
  <c r="G99" i="38" l="1"/>
  <c r="G100" i="38"/>
  <c r="S37" i="11"/>
  <c r="O503" i="38"/>
  <c r="G97" i="38"/>
  <c r="G117" i="38" s="1"/>
  <c r="U596" i="38"/>
  <c r="T615" i="38"/>
  <c r="T623" i="38" s="1"/>
  <c r="H91" i="36"/>
  <c r="G109" i="39" s="1"/>
  <c r="M109" i="39" s="1"/>
  <c r="N109" i="39" s="1"/>
  <c r="O109" i="39" s="1"/>
  <c r="P109" i="39" s="1"/>
  <c r="G108" i="7"/>
  <c r="M108" i="7" s="1"/>
  <c r="O37" i="11"/>
  <c r="M28" i="11"/>
  <c r="L23" i="11"/>
  <c r="J15" i="11"/>
  <c r="B56" i="38" s="1"/>
  <c r="K28" i="11"/>
  <c r="E57" i="38" s="1"/>
  <c r="J23" i="11"/>
  <c r="D56" i="38" s="1"/>
  <c r="D24" i="18"/>
  <c r="D25" i="18"/>
  <c r="D335" i="38" s="1"/>
  <c r="D26" i="18"/>
  <c r="D336" i="38" s="1"/>
  <c r="M32" i="11"/>
  <c r="M14" i="11"/>
  <c r="F32" i="17"/>
  <c r="E32" i="17"/>
  <c r="B32" i="17"/>
  <c r="I10" i="11"/>
  <c r="B35" i="38" s="1"/>
  <c r="B24" i="9"/>
  <c r="F24" i="9" s="1"/>
  <c r="B210" i="7"/>
  <c r="B182" i="38" s="1"/>
  <c r="B209" i="7"/>
  <c r="B181" i="38" s="1"/>
  <c r="B208" i="7"/>
  <c r="B180" i="38" s="1"/>
  <c r="E10" i="11"/>
  <c r="B31" i="38" s="1"/>
  <c r="I41" i="9"/>
  <c r="J43" i="9"/>
  <c r="K43" i="9"/>
  <c r="B207" i="7"/>
  <c r="B179" i="38" s="1"/>
  <c r="H43" i="9"/>
  <c r="H37" i="9"/>
  <c r="H36" i="9"/>
  <c r="H38" i="9"/>
  <c r="B28" i="17"/>
  <c r="H40" i="9"/>
  <c r="H41" i="9"/>
  <c r="B26" i="17"/>
  <c r="B30" i="17"/>
  <c r="B31" i="17"/>
  <c r="I43" i="9"/>
  <c r="I37" i="9"/>
  <c r="C25" i="17"/>
  <c r="C27" i="17"/>
  <c r="I39" i="9"/>
  <c r="I40" i="9"/>
  <c r="C29" i="17"/>
  <c r="C28" i="17"/>
  <c r="J36" i="9"/>
  <c r="J38" i="9"/>
  <c r="J39" i="9"/>
  <c r="D28" i="17"/>
  <c r="J42" i="9"/>
  <c r="D26" i="17"/>
  <c r="D27" i="17"/>
  <c r="D30" i="17"/>
  <c r="D31" i="17"/>
  <c r="K36" i="9"/>
  <c r="K38" i="9"/>
  <c r="K39" i="9"/>
  <c r="K40" i="9"/>
  <c r="K41" i="9"/>
  <c r="K42" i="9"/>
  <c r="L37" i="9"/>
  <c r="L36" i="9"/>
  <c r="L38" i="9"/>
  <c r="L39" i="9"/>
  <c r="L40" i="9"/>
  <c r="L41" i="9"/>
  <c r="L42" i="9"/>
  <c r="B4" i="11"/>
  <c r="B201" i="7"/>
  <c r="B173" i="38" s="1"/>
  <c r="B202" i="7"/>
  <c r="B203" i="7"/>
  <c r="B175" i="38" s="1"/>
  <c r="B204" i="7"/>
  <c r="B205" i="7"/>
  <c r="B177" i="38" s="1"/>
  <c r="B206" i="7"/>
  <c r="B178" i="38" s="1"/>
  <c r="B10" i="11"/>
  <c r="B28" i="38" s="1"/>
  <c r="C10" i="11"/>
  <c r="B29" i="38" s="1"/>
  <c r="D10" i="11"/>
  <c r="B30" i="38" s="1"/>
  <c r="I33" i="11"/>
  <c r="F55" i="38" s="1"/>
  <c r="H33" i="11"/>
  <c r="F54" i="38" s="1"/>
  <c r="G33" i="11"/>
  <c r="F53" i="38" s="1"/>
  <c r="I28" i="11"/>
  <c r="E55" i="38" s="1"/>
  <c r="H28" i="11"/>
  <c r="E54" i="38" s="1"/>
  <c r="G28" i="11"/>
  <c r="E53" i="38" s="1"/>
  <c r="I23" i="11"/>
  <c r="D55" i="38" s="1"/>
  <c r="H23" i="11"/>
  <c r="D54" i="38" s="1"/>
  <c r="G23" i="11"/>
  <c r="D53" i="38" s="1"/>
  <c r="I19" i="11"/>
  <c r="C55" i="38" s="1"/>
  <c r="H19" i="11"/>
  <c r="C54" i="38" s="1"/>
  <c r="G19" i="11"/>
  <c r="C53" i="38" s="1"/>
  <c r="I32" i="11"/>
  <c r="F91" i="38" s="1"/>
  <c r="H32" i="11"/>
  <c r="F90" i="38" s="1"/>
  <c r="G32" i="11"/>
  <c r="F89" i="38" s="1"/>
  <c r="I27" i="11"/>
  <c r="E91" i="38" s="1"/>
  <c r="H27" i="11"/>
  <c r="E90" i="38" s="1"/>
  <c r="G27" i="11"/>
  <c r="E89" i="38" s="1"/>
  <c r="I22" i="11"/>
  <c r="D91" i="38" s="1"/>
  <c r="H22" i="11"/>
  <c r="D90" i="38" s="1"/>
  <c r="G22" i="11"/>
  <c r="D89" i="38" s="1"/>
  <c r="I18" i="11"/>
  <c r="C91" i="38" s="1"/>
  <c r="H18" i="11"/>
  <c r="C90" i="38" s="1"/>
  <c r="G18" i="11"/>
  <c r="C89" i="38" s="1"/>
  <c r="I14" i="11"/>
  <c r="B91" i="38" s="1"/>
  <c r="H14" i="11"/>
  <c r="B90" i="38" s="1"/>
  <c r="G14" i="11"/>
  <c r="B89" i="38" s="1"/>
  <c r="I15" i="11"/>
  <c r="B55" i="38" s="1"/>
  <c r="H15" i="11"/>
  <c r="B54" i="38" s="1"/>
  <c r="G15" i="11"/>
  <c r="B53" i="3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C45" i="11"/>
  <c r="E45" i="11"/>
  <c r="B45" i="11"/>
  <c r="D45" i="11"/>
  <c r="F45" i="11"/>
  <c r="E25" i="17"/>
  <c r="E26" i="17"/>
  <c r="E27" i="17"/>
  <c r="E28" i="17"/>
  <c r="E29" i="17"/>
  <c r="E30" i="17"/>
  <c r="E31" i="17"/>
  <c r="F25" i="17"/>
  <c r="F26" i="17"/>
  <c r="F27" i="17"/>
  <c r="F28" i="17"/>
  <c r="F29" i="17"/>
  <c r="F30" i="17"/>
  <c r="F31" i="17"/>
  <c r="J14" i="11"/>
  <c r="B92" i="38" s="1"/>
  <c r="J27" i="11"/>
  <c r="E92" i="38" s="1"/>
  <c r="J32" i="11"/>
  <c r="F92" i="38" s="1"/>
  <c r="B25" i="18"/>
  <c r="C31" i="18"/>
  <c r="C341" i="38" s="1"/>
  <c r="D29" i="18"/>
  <c r="D339" i="38" s="1"/>
  <c r="D28" i="18"/>
  <c r="D338" i="38" s="1"/>
  <c r="E29" i="11"/>
  <c r="D27" i="18"/>
  <c r="D337" i="38" s="1"/>
  <c r="C24" i="18"/>
  <c r="C25" i="18"/>
  <c r="C335" i="38" s="1"/>
  <c r="C2" i="17"/>
  <c r="D2" i="17"/>
  <c r="B1" i="18" s="1"/>
  <c r="E2" i="17"/>
  <c r="C1" i="18" s="1"/>
  <c r="F2" i="17"/>
  <c r="D1" i="18" s="1"/>
  <c r="B2" i="17"/>
  <c r="E4" i="18"/>
  <c r="B47" i="11" s="1"/>
  <c r="E5" i="18"/>
  <c r="C47" i="11" s="1"/>
  <c r="E3" i="18"/>
  <c r="A31" i="11"/>
  <c r="A26" i="11"/>
  <c r="A21" i="11"/>
  <c r="A17" i="11"/>
  <c r="A13" i="11"/>
  <c r="B14" i="11"/>
  <c r="B84" i="38" s="1"/>
  <c r="B18" i="11"/>
  <c r="C84" i="38" s="1"/>
  <c r="B22" i="11"/>
  <c r="D84" i="38" s="1"/>
  <c r="B27" i="11"/>
  <c r="E84" i="38" s="1"/>
  <c r="B32" i="11"/>
  <c r="F84" i="38" s="1"/>
  <c r="C14" i="11"/>
  <c r="B85" i="38" s="1"/>
  <c r="C18" i="11"/>
  <c r="C85" i="38" s="1"/>
  <c r="C22" i="11"/>
  <c r="D85" i="38" s="1"/>
  <c r="C27" i="11"/>
  <c r="E85" i="38" s="1"/>
  <c r="C32" i="11"/>
  <c r="F85" i="38" s="1"/>
  <c r="D14" i="11"/>
  <c r="B86" i="38" s="1"/>
  <c r="D18" i="11"/>
  <c r="C86" i="38" s="1"/>
  <c r="D22" i="11"/>
  <c r="D86" i="38" s="1"/>
  <c r="D27" i="11"/>
  <c r="E86" i="38" s="1"/>
  <c r="D32" i="11"/>
  <c r="F86" i="38" s="1"/>
  <c r="E14" i="11"/>
  <c r="B87" i="38" s="1"/>
  <c r="E18" i="11"/>
  <c r="C87" i="38" s="1"/>
  <c r="E22" i="11"/>
  <c r="D87" i="38" s="1"/>
  <c r="E27" i="11"/>
  <c r="E87" i="38" s="1"/>
  <c r="E32" i="11"/>
  <c r="F87" i="38" s="1"/>
  <c r="F14" i="11"/>
  <c r="B88" i="38" s="1"/>
  <c r="F18" i="11"/>
  <c r="C88" i="38" s="1"/>
  <c r="F22" i="11"/>
  <c r="D88" i="38" s="1"/>
  <c r="F27" i="11"/>
  <c r="E88" i="38" s="1"/>
  <c r="F32" i="11"/>
  <c r="F88" i="38" s="1"/>
  <c r="B15" i="11"/>
  <c r="B48" i="38" s="1"/>
  <c r="B19" i="11"/>
  <c r="C48" i="38" s="1"/>
  <c r="B23" i="11"/>
  <c r="D48" i="38" s="1"/>
  <c r="B28" i="11"/>
  <c r="E48" i="38" s="1"/>
  <c r="B33" i="11"/>
  <c r="F48" i="38" s="1"/>
  <c r="C15" i="11"/>
  <c r="B49" i="38" s="1"/>
  <c r="C19" i="11"/>
  <c r="C49" i="38" s="1"/>
  <c r="C23" i="11"/>
  <c r="D49" i="38" s="1"/>
  <c r="C28" i="11"/>
  <c r="E49" i="38" s="1"/>
  <c r="C33" i="11"/>
  <c r="F49" i="38" s="1"/>
  <c r="D15" i="11"/>
  <c r="B50" i="38" s="1"/>
  <c r="D19" i="11"/>
  <c r="C50" i="38" s="1"/>
  <c r="D23" i="11"/>
  <c r="D50" i="38" s="1"/>
  <c r="D28" i="11"/>
  <c r="E50" i="38" s="1"/>
  <c r="D33" i="11"/>
  <c r="F50" i="38" s="1"/>
  <c r="E15" i="11"/>
  <c r="B51" i="38" s="1"/>
  <c r="E19" i="11"/>
  <c r="C51" i="38" s="1"/>
  <c r="E23" i="11"/>
  <c r="D51" i="38" s="1"/>
  <c r="E28" i="11"/>
  <c r="E51" i="38" s="1"/>
  <c r="E33" i="11"/>
  <c r="F51" i="38" s="1"/>
  <c r="F15" i="11"/>
  <c r="B52" i="38" s="1"/>
  <c r="F19" i="11"/>
  <c r="C52" i="38" s="1"/>
  <c r="F23" i="11"/>
  <c r="D52" i="38" s="1"/>
  <c r="F28" i="11"/>
  <c r="E52" i="38" s="1"/>
  <c r="F33" i="11"/>
  <c r="F52" i="38" s="1"/>
  <c r="B24" i="11"/>
  <c r="B29" i="11"/>
  <c r="B34" i="11"/>
  <c r="C24" i="11"/>
  <c r="C29" i="11"/>
  <c r="C34" i="11"/>
  <c r="D29" i="11"/>
  <c r="D34" i="11"/>
  <c r="E34" i="11"/>
  <c r="F34" i="11"/>
  <c r="G29" i="11"/>
  <c r="H29" i="11"/>
  <c r="I29" i="11"/>
  <c r="C27" i="18"/>
  <c r="C337" i="38" s="1"/>
  <c r="G34" i="11"/>
  <c r="B29" i="18"/>
  <c r="B339" i="38" s="1"/>
  <c r="G24" i="11"/>
  <c r="J18" i="11"/>
  <c r="C92" i="38" s="1"/>
  <c r="D29" i="17"/>
  <c r="J41" i="9"/>
  <c r="H39" i="9"/>
  <c r="B27" i="17"/>
  <c r="L43" i="9"/>
  <c r="J40" i="9"/>
  <c r="K37" i="9"/>
  <c r="J37" i="9"/>
  <c r="D25" i="17"/>
  <c r="I38" i="9"/>
  <c r="C26" i="17"/>
  <c r="C30" i="17"/>
  <c r="I42" i="9"/>
  <c r="H42" i="9"/>
  <c r="I36" i="9"/>
  <c r="C31" i="17"/>
  <c r="B29" i="17"/>
  <c r="B25" i="17"/>
  <c r="H45" i="11"/>
  <c r="M18" i="11"/>
  <c r="K33" i="11"/>
  <c r="F57" i="38" s="1"/>
  <c r="J45" i="9"/>
  <c r="I45" i="9"/>
  <c r="K15" i="11"/>
  <c r="B57" i="38" s="1"/>
  <c r="K34" i="11"/>
  <c r="F35" i="17"/>
  <c r="K22" i="11"/>
  <c r="D93" i="38" s="1"/>
  <c r="M23" i="11"/>
  <c r="M15" i="11"/>
  <c r="M19" i="11"/>
  <c r="K32" i="11"/>
  <c r="F93" i="38" s="1"/>
  <c r="C34" i="17"/>
  <c r="B33" i="17"/>
  <c r="C26" i="18"/>
  <c r="C336" i="38" s="1"/>
  <c r="C29" i="18"/>
  <c r="C339" i="38" s="1"/>
  <c r="K27" i="11"/>
  <c r="E93" i="38" s="1"/>
  <c r="B27" i="18"/>
  <c r="B337" i="38" s="1"/>
  <c r="E7" i="18"/>
  <c r="E47" i="11" s="1"/>
  <c r="B35" i="17"/>
  <c r="L15" i="11"/>
  <c r="L33" i="11"/>
  <c r="L28" i="11"/>
  <c r="L19" i="11"/>
  <c r="M200" i="7"/>
  <c r="M202" i="7"/>
  <c r="M201" i="7"/>
  <c r="M27" i="11"/>
  <c r="D35" i="17"/>
  <c r="L22" i="11"/>
  <c r="K14" i="11"/>
  <c r="B93" i="38" s="1"/>
  <c r="L14" i="11"/>
  <c r="B34" i="17"/>
  <c r="L32" i="11"/>
  <c r="C35" i="17"/>
  <c r="L18" i="11"/>
  <c r="K45" i="9"/>
  <c r="C33" i="17"/>
  <c r="K18" i="11"/>
  <c r="C93" i="38" s="1"/>
  <c r="J28" i="11"/>
  <c r="E56" i="38" s="1"/>
  <c r="D108" i="38" l="1"/>
  <c r="F106" i="38"/>
  <c r="C105" i="38"/>
  <c r="E109" i="38"/>
  <c r="E113" i="38"/>
  <c r="F108" i="38"/>
  <c r="C107" i="38"/>
  <c r="C30" i="38"/>
  <c r="B40" i="17"/>
  <c r="D106" i="38"/>
  <c r="E105" i="38"/>
  <c r="B335" i="38"/>
  <c r="E110" i="38"/>
  <c r="F109" i="38"/>
  <c r="C108" i="38"/>
  <c r="D107" i="38"/>
  <c r="E106" i="38"/>
  <c r="F105" i="38"/>
  <c r="H85" i="38"/>
  <c r="H91" i="38"/>
  <c r="D110" i="38"/>
  <c r="F112" i="38"/>
  <c r="D334" i="38"/>
  <c r="C334" i="38"/>
  <c r="D111" i="38"/>
  <c r="D109" i="38"/>
  <c r="E108" i="38"/>
  <c r="F107" i="38"/>
  <c r="C106" i="38"/>
  <c r="D105" i="38"/>
  <c r="D112" i="38"/>
  <c r="C29" i="38"/>
  <c r="P503" i="38"/>
  <c r="G98" i="38"/>
  <c r="G118" i="38" s="1"/>
  <c r="H93" i="38"/>
  <c r="M499" i="38"/>
  <c r="F58" i="38"/>
  <c r="N494" i="38"/>
  <c r="E59" i="38"/>
  <c r="M481" i="38"/>
  <c r="B58" i="38"/>
  <c r="N493" i="38"/>
  <c r="E96" i="38"/>
  <c r="B110" i="38"/>
  <c r="H53" i="38"/>
  <c r="H54" i="38"/>
  <c r="B111" i="38"/>
  <c r="M498" i="38"/>
  <c r="F94" i="38"/>
  <c r="N481" i="38"/>
  <c r="B59" i="38"/>
  <c r="F114" i="38"/>
  <c r="H51" i="38"/>
  <c r="B108" i="38"/>
  <c r="H84" i="38"/>
  <c r="B112" i="38"/>
  <c r="H55" i="38"/>
  <c r="C110" i="38"/>
  <c r="E112" i="38"/>
  <c r="U558" i="38"/>
  <c r="T577" i="38"/>
  <c r="AA577" i="38" s="1"/>
  <c r="B109" i="38"/>
  <c r="H52" i="38"/>
  <c r="N480" i="38"/>
  <c r="B96" i="38"/>
  <c r="M488" i="38"/>
  <c r="D94" i="38"/>
  <c r="H88" i="38"/>
  <c r="B114" i="38"/>
  <c r="H50" i="38"/>
  <c r="B107" i="38"/>
  <c r="H86" i="38"/>
  <c r="B105" i="38"/>
  <c r="H48" i="38"/>
  <c r="E111" i="38"/>
  <c r="N489" i="38"/>
  <c r="D59" i="38"/>
  <c r="N484" i="38"/>
  <c r="C96" i="38"/>
  <c r="H87" i="38"/>
  <c r="H89" i="38"/>
  <c r="C111" i="38"/>
  <c r="F110" i="38"/>
  <c r="E114" i="38"/>
  <c r="M494" i="38"/>
  <c r="E58" i="38"/>
  <c r="M489" i="38"/>
  <c r="D58" i="38"/>
  <c r="N498" i="38"/>
  <c r="F96" i="38"/>
  <c r="M484" i="38"/>
  <c r="C94" i="38"/>
  <c r="N485" i="38"/>
  <c r="C59" i="38"/>
  <c r="M480" i="38"/>
  <c r="B94" i="38"/>
  <c r="M485" i="38"/>
  <c r="C58" i="38"/>
  <c r="C109" i="38"/>
  <c r="E107" i="38"/>
  <c r="H49" i="38"/>
  <c r="B106" i="38"/>
  <c r="H90" i="38"/>
  <c r="C112" i="38"/>
  <c r="F111" i="38"/>
  <c r="C31" i="38"/>
  <c r="B113" i="38"/>
  <c r="F4" i="11"/>
  <c r="B176" i="38"/>
  <c r="R202" i="7"/>
  <c r="C174" i="38"/>
  <c r="R200" i="7"/>
  <c r="C172" i="38"/>
  <c r="R201" i="7"/>
  <c r="C173" i="38"/>
  <c r="B14" i="9"/>
  <c r="F14" i="9" s="1"/>
  <c r="B174" i="38"/>
  <c r="H92" i="36"/>
  <c r="G110" i="39" s="1"/>
  <c r="M110" i="39" s="1"/>
  <c r="G109" i="7"/>
  <c r="M109" i="7" s="1"/>
  <c r="M66" i="9"/>
  <c r="M70" i="9" s="1"/>
  <c r="G43" i="11"/>
  <c r="H42" i="11"/>
  <c r="D42" i="11"/>
  <c r="G42" i="11"/>
  <c r="E42" i="11"/>
  <c r="E41" i="11"/>
  <c r="F31" i="38" s="1"/>
  <c r="G41" i="11"/>
  <c r="F33" i="38" s="1"/>
  <c r="B43" i="11"/>
  <c r="B52" i="11" s="1"/>
  <c r="D41" i="11"/>
  <c r="F30" i="38" s="1"/>
  <c r="B41" i="11"/>
  <c r="F28" i="38" s="1"/>
  <c r="I42" i="11"/>
  <c r="C42" i="11"/>
  <c r="H41" i="11"/>
  <c r="F34" i="38" s="1"/>
  <c r="C43" i="11"/>
  <c r="C52" i="11" s="1"/>
  <c r="F42" i="11"/>
  <c r="C41" i="11"/>
  <c r="F29" i="38" s="1"/>
  <c r="I41" i="11"/>
  <c r="F35" i="38" s="1"/>
  <c r="L42" i="11"/>
  <c r="B42" i="11"/>
  <c r="K41" i="11"/>
  <c r="F37" i="38" s="1"/>
  <c r="F41" i="11"/>
  <c r="F32" i="38" s="1"/>
  <c r="I58" i="9"/>
  <c r="D46" i="11"/>
  <c r="C46" i="11"/>
  <c r="N39" i="7"/>
  <c r="O39" i="7" s="1"/>
  <c r="P39" i="7" s="1"/>
  <c r="E46" i="11"/>
  <c r="F46" i="11"/>
  <c r="F10" i="11"/>
  <c r="B32" i="38" s="1"/>
  <c r="C32" i="38" s="1"/>
  <c r="L56" i="9"/>
  <c r="K56" i="9"/>
  <c r="L24" i="11"/>
  <c r="M490" i="38" s="1"/>
  <c r="J34" i="11"/>
  <c r="J24" i="11"/>
  <c r="L29" i="11"/>
  <c r="M495" i="38" s="1"/>
  <c r="M34" i="11"/>
  <c r="N500" i="38" s="1"/>
  <c r="S21" i="32"/>
  <c r="C226" i="7"/>
  <c r="C228" i="7"/>
  <c r="C230" i="7"/>
  <c r="C232" i="7"/>
  <c r="C234" i="7"/>
  <c r="T21" i="32"/>
  <c r="U21" i="32"/>
  <c r="K24" i="11"/>
  <c r="D226" i="7"/>
  <c r="D228" i="7"/>
  <c r="D230" i="7"/>
  <c r="D232" i="7"/>
  <c r="D234" i="7"/>
  <c r="T41" i="32"/>
  <c r="U41" i="32"/>
  <c r="C225" i="7"/>
  <c r="C227" i="7"/>
  <c r="C229" i="7"/>
  <c r="C231" i="7"/>
  <c r="C233" i="7"/>
  <c r="C235" i="7"/>
  <c r="D225" i="7"/>
  <c r="D227" i="7"/>
  <c r="D229" i="7"/>
  <c r="D231" i="7"/>
  <c r="D233" i="7"/>
  <c r="D235" i="7"/>
  <c r="H4" i="11"/>
  <c r="B22" i="9"/>
  <c r="L4" i="11"/>
  <c r="M469" i="38" s="1"/>
  <c r="B16" i="9"/>
  <c r="B20" i="9"/>
  <c r="J4" i="11"/>
  <c r="E4" i="11"/>
  <c r="K4" i="11"/>
  <c r="I4" i="11"/>
  <c r="G10" i="11"/>
  <c r="B33" i="38" s="1"/>
  <c r="H10" i="11"/>
  <c r="B34" i="38" s="1"/>
  <c r="C35" i="38" s="1"/>
  <c r="K57" i="9"/>
  <c r="J56" i="9"/>
  <c r="H54" i="9"/>
  <c r="I59" i="9"/>
  <c r="D35" i="18"/>
  <c r="D345" i="38" s="1"/>
  <c r="I45" i="11"/>
  <c r="H44" i="9"/>
  <c r="K60" i="9"/>
  <c r="I56" i="9"/>
  <c r="K59" i="9"/>
  <c r="H60" i="9"/>
  <c r="J59" i="9"/>
  <c r="B33" i="18"/>
  <c r="B343" i="38" s="1"/>
  <c r="L47" i="9"/>
  <c r="L65" i="9" s="1"/>
  <c r="K47" i="9"/>
  <c r="K65" i="9" s="1"/>
  <c r="E15" i="18"/>
  <c r="H45" i="9"/>
  <c r="I46" i="9"/>
  <c r="I63" i="9" s="1"/>
  <c r="J57" i="9"/>
  <c r="D33" i="18"/>
  <c r="D343" i="38" s="1"/>
  <c r="M33" i="11"/>
  <c r="L46" i="9"/>
  <c r="K23" i="11"/>
  <c r="D57" i="38" s="1"/>
  <c r="D114" i="38" s="1"/>
  <c r="H46" i="9"/>
  <c r="I55" i="9"/>
  <c r="G46" i="11"/>
  <c r="C34" i="18"/>
  <c r="C344" i="38" s="1"/>
  <c r="H47" i="9"/>
  <c r="I47" i="9"/>
  <c r="I65" i="9" s="1"/>
  <c r="H56" i="9"/>
  <c r="I60" i="9"/>
  <c r="L55" i="9"/>
  <c r="H59" i="9"/>
  <c r="H55" i="9"/>
  <c r="J54" i="9"/>
  <c r="J60" i="9"/>
  <c r="G4" i="11"/>
  <c r="B17" i="9"/>
  <c r="N200" i="7"/>
  <c r="B21" i="9"/>
  <c r="C14" i="9"/>
  <c r="N201" i="7"/>
  <c r="O201" i="7" s="1"/>
  <c r="B15" i="9"/>
  <c r="C5" i="11"/>
  <c r="C13" i="9"/>
  <c r="B19" i="9"/>
  <c r="D4" i="11"/>
  <c r="K54" i="9"/>
  <c r="J58" i="9"/>
  <c r="K29" i="11"/>
  <c r="E13" i="18"/>
  <c r="C33" i="18"/>
  <c r="C343" i="38" s="1"/>
  <c r="J33" i="11"/>
  <c r="F56" i="38" s="1"/>
  <c r="F113" i="38" s="1"/>
  <c r="D32" i="18"/>
  <c r="D342" i="38" s="1"/>
  <c r="J29" i="11"/>
  <c r="E10" i="18"/>
  <c r="H24" i="11"/>
  <c r="B30" i="18"/>
  <c r="B340" i="38" s="1"/>
  <c r="G45" i="11"/>
  <c r="L44" i="9"/>
  <c r="D5" i="11"/>
  <c r="N202" i="7"/>
  <c r="O202" i="7" s="1"/>
  <c r="B32" i="18"/>
  <c r="B342" i="38" s="1"/>
  <c r="E12" i="18"/>
  <c r="B12" i="9"/>
  <c r="L57" i="9"/>
  <c r="K55" i="9"/>
  <c r="H57" i="9"/>
  <c r="H58" i="9"/>
  <c r="E11" i="18"/>
  <c r="I24" i="11"/>
  <c r="B31" i="18"/>
  <c r="B341" i="38" s="1"/>
  <c r="D32" i="17"/>
  <c r="J44" i="9"/>
  <c r="J62" i="9" s="1"/>
  <c r="J22" i="11"/>
  <c r="D92" i="38" s="1"/>
  <c r="D113" i="38" s="1"/>
  <c r="N40" i="7"/>
  <c r="O40" i="7" s="1"/>
  <c r="P40" i="7" s="1"/>
  <c r="C12" i="9"/>
  <c r="B5" i="11"/>
  <c r="B6" i="11" s="1"/>
  <c r="E24" i="11"/>
  <c r="E43" i="11" s="1"/>
  <c r="I34" i="11"/>
  <c r="D31" i="18"/>
  <c r="D341" i="38" s="1"/>
  <c r="H46" i="11"/>
  <c r="L60" i="9"/>
  <c r="C28" i="18"/>
  <c r="C338" i="38" s="1"/>
  <c r="F29" i="11"/>
  <c r="C30" i="18"/>
  <c r="C340" i="38" s="1"/>
  <c r="B18" i="9"/>
  <c r="L45" i="9"/>
  <c r="F33" i="17"/>
  <c r="F34" i="17"/>
  <c r="D24" i="11"/>
  <c r="D43" i="11" s="1"/>
  <c r="E9" i="18"/>
  <c r="D30" i="18"/>
  <c r="D340" i="38" s="1"/>
  <c r="H34" i="11"/>
  <c r="B46" i="11"/>
  <c r="L58" i="9"/>
  <c r="L59" i="9"/>
  <c r="K58" i="9"/>
  <c r="I54" i="9"/>
  <c r="E6" i="18"/>
  <c r="D47" i="11" s="1"/>
  <c r="I46" i="11"/>
  <c r="B26" i="18"/>
  <c r="B336" i="38" s="1"/>
  <c r="C32" i="17"/>
  <c r="I57" i="9"/>
  <c r="L54" i="9"/>
  <c r="J55" i="9"/>
  <c r="M4" i="11"/>
  <c r="N469" i="38" s="1"/>
  <c r="B23" i="9"/>
  <c r="C4" i="11"/>
  <c r="B13" i="9"/>
  <c r="K44" i="9"/>
  <c r="C32" i="18"/>
  <c r="C342" i="38" s="1"/>
  <c r="M24" i="11"/>
  <c r="N490" i="38" s="1"/>
  <c r="B35" i="18"/>
  <c r="B345" i="38" s="1"/>
  <c r="D33" i="17"/>
  <c r="D34" i="17"/>
  <c r="M29" i="11"/>
  <c r="N495" i="38" s="1"/>
  <c r="C35" i="18"/>
  <c r="C345" i="38" s="1"/>
  <c r="L27" i="11"/>
  <c r="E34" i="17"/>
  <c r="E35" i="17"/>
  <c r="K46" i="9"/>
  <c r="L45" i="11"/>
  <c r="L34" i="11"/>
  <c r="M500" i="38" s="1"/>
  <c r="D34" i="18"/>
  <c r="D344" i="38" s="1"/>
  <c r="M10" i="11"/>
  <c r="J47" i="9"/>
  <c r="J65" i="9" s="1"/>
  <c r="E14" i="18"/>
  <c r="E33" i="17"/>
  <c r="K19" i="11"/>
  <c r="C57" i="38" s="1"/>
  <c r="C114" i="38" s="1"/>
  <c r="K10" i="11"/>
  <c r="B37" i="38" s="1"/>
  <c r="M22" i="11"/>
  <c r="M45" i="11"/>
  <c r="I44" i="9"/>
  <c r="J19" i="11"/>
  <c r="C56" i="38" s="1"/>
  <c r="C113" i="38" s="1"/>
  <c r="J10" i="11"/>
  <c r="B36" i="38" s="1"/>
  <c r="C36" i="38" s="1"/>
  <c r="J46" i="9"/>
  <c r="J63" i="9" s="1"/>
  <c r="B34" i="18"/>
  <c r="B344" i="38" s="1"/>
  <c r="L10" i="11"/>
  <c r="G29" i="38" l="1"/>
  <c r="G35" i="38"/>
  <c r="C116" i="38"/>
  <c r="G34" i="38"/>
  <c r="C348" i="38"/>
  <c r="C349" i="38" s="1"/>
  <c r="C33" i="38"/>
  <c r="G30" i="38"/>
  <c r="D348" i="38"/>
  <c r="D115" i="38"/>
  <c r="X535" i="38"/>
  <c r="W554" i="38"/>
  <c r="B116" i="38"/>
  <c r="F115" i="38"/>
  <c r="N476" i="38"/>
  <c r="B39" i="38"/>
  <c r="N499" i="38"/>
  <c r="N508" i="38" s="1"/>
  <c r="F59" i="38"/>
  <c r="F116" i="38" s="1"/>
  <c r="W536" i="38"/>
  <c r="X517" i="38"/>
  <c r="M509" i="38"/>
  <c r="G33" i="38"/>
  <c r="U535" i="38"/>
  <c r="T554" i="38"/>
  <c r="T553" i="38"/>
  <c r="U534" i="38"/>
  <c r="X534" i="38"/>
  <c r="W553" i="38"/>
  <c r="U517" i="38"/>
  <c r="T525" i="38" s="1"/>
  <c r="T536" i="38"/>
  <c r="U516" i="38"/>
  <c r="T524" i="38" s="1"/>
  <c r="T535" i="38"/>
  <c r="M476" i="38"/>
  <c r="B38" i="38"/>
  <c r="C38" i="38" s="1"/>
  <c r="C37" i="38"/>
  <c r="B226" i="38"/>
  <c r="X516" i="38"/>
  <c r="W535" i="38"/>
  <c r="H57" i="38"/>
  <c r="H58" i="38"/>
  <c r="B115" i="38"/>
  <c r="T596" i="38"/>
  <c r="U577" i="38"/>
  <c r="W556" i="38"/>
  <c r="X537" i="38"/>
  <c r="H56" i="38"/>
  <c r="N488" i="38"/>
  <c r="N507" i="38" s="1"/>
  <c r="D96" i="38"/>
  <c r="H96" i="38" s="1"/>
  <c r="G32" i="38"/>
  <c r="C115" i="38"/>
  <c r="U537" i="38"/>
  <c r="T556" i="38"/>
  <c r="X538" i="38"/>
  <c r="W557" i="38"/>
  <c r="T557" i="38"/>
  <c r="U538" i="38"/>
  <c r="T566" i="38"/>
  <c r="AB558" i="38"/>
  <c r="AA566" i="38" s="1"/>
  <c r="W534" i="38"/>
  <c r="M508" i="38"/>
  <c r="X515" i="38"/>
  <c r="M493" i="38"/>
  <c r="M507" i="38" s="1"/>
  <c r="E94" i="38"/>
  <c r="E115" i="38" s="1"/>
  <c r="G31" i="38"/>
  <c r="W538" i="38"/>
  <c r="X519" i="38"/>
  <c r="N110" i="39"/>
  <c r="O110" i="39" s="1"/>
  <c r="P110" i="39" s="1"/>
  <c r="M208" i="39"/>
  <c r="Q208" i="7" s="1"/>
  <c r="E180" i="38" s="1"/>
  <c r="U519" i="38"/>
  <c r="T527" i="38" s="1"/>
  <c r="T538" i="38"/>
  <c r="X536" i="38"/>
  <c r="W555" i="38"/>
  <c r="N509" i="38"/>
  <c r="C34" i="38"/>
  <c r="X518" i="38"/>
  <c r="W537" i="38"/>
  <c r="U515" i="38"/>
  <c r="T534" i="38"/>
  <c r="H92" i="38"/>
  <c r="E116" i="38"/>
  <c r="D172" i="38"/>
  <c r="F172" i="38"/>
  <c r="D173" i="38"/>
  <c r="F173" i="38"/>
  <c r="D174" i="38"/>
  <c r="F174" i="38"/>
  <c r="F40" i="17"/>
  <c r="F226" i="38" s="1"/>
  <c r="J41" i="11"/>
  <c r="F36" i="38" s="1"/>
  <c r="G36" i="38" s="1"/>
  <c r="G110" i="7"/>
  <c r="M110" i="7" s="1"/>
  <c r="J92" i="36"/>
  <c r="H10" i="36" s="1"/>
  <c r="I10" i="36" s="1"/>
  <c r="H93" i="36" s="1"/>
  <c r="G111" i="39" s="1"/>
  <c r="M111" i="39" s="1"/>
  <c r="I92" i="36"/>
  <c r="K9" i="36" s="1"/>
  <c r="L9" i="36" s="1"/>
  <c r="G249" i="38"/>
  <c r="G300" i="38" s="1"/>
  <c r="O200" i="7"/>
  <c r="P200" i="7" s="1"/>
  <c r="H43" i="11"/>
  <c r="F15" i="9"/>
  <c r="J42" i="11"/>
  <c r="D51" i="11"/>
  <c r="C44" i="17"/>
  <c r="K43" i="11"/>
  <c r="J43" i="11"/>
  <c r="L41" i="11"/>
  <c r="F38" i="38" s="1"/>
  <c r="G38" i="38" s="1"/>
  <c r="K42" i="11"/>
  <c r="M41" i="11"/>
  <c r="F39" i="38" s="1"/>
  <c r="I43" i="11"/>
  <c r="L43" i="11"/>
  <c r="M43" i="11"/>
  <c r="M42" i="11"/>
  <c r="F16" i="9"/>
  <c r="D14" i="9"/>
  <c r="E14" i="9" s="1"/>
  <c r="C51" i="11"/>
  <c r="K23" i="32"/>
  <c r="E51" i="11"/>
  <c r="F51" i="11"/>
  <c r="I51" i="11"/>
  <c r="D224" i="7"/>
  <c r="C224" i="7"/>
  <c r="M47" i="11"/>
  <c r="S41" i="32"/>
  <c r="L47" i="11"/>
  <c r="P202" i="7"/>
  <c r="P201" i="7"/>
  <c r="H50" i="11"/>
  <c r="F20" i="9"/>
  <c r="F22" i="9"/>
  <c r="F50" i="11"/>
  <c r="D50" i="11"/>
  <c r="B50" i="11"/>
  <c r="C50" i="11"/>
  <c r="E50" i="11"/>
  <c r="I50" i="11"/>
  <c r="E52" i="11"/>
  <c r="H51" i="11"/>
  <c r="G51" i="11"/>
  <c r="H61" i="9"/>
  <c r="L63" i="9"/>
  <c r="B51" i="11"/>
  <c r="D52" i="11"/>
  <c r="H62" i="9"/>
  <c r="G50" i="11"/>
  <c r="L64" i="9"/>
  <c r="H64" i="9"/>
  <c r="H63" i="9"/>
  <c r="I64" i="9"/>
  <c r="J47" i="11"/>
  <c r="L62" i="9"/>
  <c r="F23" i="9"/>
  <c r="F17" i="9"/>
  <c r="F21" i="9"/>
  <c r="B44" i="17"/>
  <c r="C6" i="11"/>
  <c r="D12" i="9"/>
  <c r="E12" i="9" s="1"/>
  <c r="F12" i="9"/>
  <c r="D6" i="11"/>
  <c r="F19" i="9"/>
  <c r="C40" i="17"/>
  <c r="C226" i="38" s="1"/>
  <c r="J45" i="11"/>
  <c r="G47" i="11"/>
  <c r="G52" i="11" s="1"/>
  <c r="F18" i="9"/>
  <c r="I47" i="11"/>
  <c r="H47" i="11"/>
  <c r="K47" i="11"/>
  <c r="J61" i="9"/>
  <c r="E8" i="18"/>
  <c r="F47" i="11" s="1"/>
  <c r="B28" i="18"/>
  <c r="B338" i="38" s="1"/>
  <c r="F24" i="11"/>
  <c r="F43" i="11" s="1"/>
  <c r="L61" i="9"/>
  <c r="F13" i="9"/>
  <c r="D13" i="9"/>
  <c r="E13" i="9" s="1"/>
  <c r="I61" i="9"/>
  <c r="I62" i="9"/>
  <c r="K62" i="9"/>
  <c r="K61" i="9"/>
  <c r="K63" i="9"/>
  <c r="K64" i="9"/>
  <c r="K45" i="11"/>
  <c r="J64" i="9"/>
  <c r="F29" i="9" l="1"/>
  <c r="P14" i="11"/>
  <c r="Q480" i="38" s="1"/>
  <c r="H50" i="9"/>
  <c r="B19" i="17"/>
  <c r="C76" i="34" s="1"/>
  <c r="D116" i="38"/>
  <c r="AA535" i="38"/>
  <c r="AA536" i="38"/>
  <c r="T546" i="38"/>
  <c r="AA538" i="38"/>
  <c r="AA557" i="38"/>
  <c r="G37" i="38"/>
  <c r="B348" i="38"/>
  <c r="B349" i="38" s="1"/>
  <c r="D293" i="38" s="1"/>
  <c r="H94" i="38"/>
  <c r="T542" i="38"/>
  <c r="B231" i="38"/>
  <c r="N111" i="39"/>
  <c r="O111" i="39" s="1"/>
  <c r="P111" i="39" s="1"/>
  <c r="W544" i="38"/>
  <c r="AA553" i="38"/>
  <c r="W561" i="38"/>
  <c r="H59" i="38"/>
  <c r="G39" i="38"/>
  <c r="W542" i="38"/>
  <c r="AB534" i="38"/>
  <c r="AB517" i="38"/>
  <c r="AA525" i="38" s="1"/>
  <c r="W525" i="38"/>
  <c r="W526" i="38"/>
  <c r="AB538" i="38"/>
  <c r="W546" i="38"/>
  <c r="AB537" i="38"/>
  <c r="W545" i="38"/>
  <c r="W524" i="38"/>
  <c r="AB516" i="38"/>
  <c r="AA524" i="38" s="1"/>
  <c r="AA554" i="38"/>
  <c r="W562" i="38"/>
  <c r="AA596" i="38"/>
  <c r="T604" i="38"/>
  <c r="AB515" i="38"/>
  <c r="AA523" i="38" s="1"/>
  <c r="W523" i="38"/>
  <c r="W527" i="38"/>
  <c r="AB519" i="38"/>
  <c r="AA527" i="38" s="1"/>
  <c r="AA534" i="38"/>
  <c r="AA556" i="38"/>
  <c r="C39" i="38"/>
  <c r="C40" i="38"/>
  <c r="W543" i="38"/>
  <c r="AB535" i="38"/>
  <c r="T523" i="38"/>
  <c r="U518" i="38"/>
  <c r="T526" i="38" s="1"/>
  <c r="T537" i="38"/>
  <c r="AA537" i="38" s="1"/>
  <c r="U536" i="38"/>
  <c r="AB536" i="38" s="1"/>
  <c r="T555" i="38"/>
  <c r="T559" i="38" s="1"/>
  <c r="T585" i="38"/>
  <c r="AB577" i="38"/>
  <c r="AA585" i="38" s="1"/>
  <c r="T543" i="38"/>
  <c r="H317" i="38"/>
  <c r="F317" i="38"/>
  <c r="G317" i="38"/>
  <c r="F318" i="38"/>
  <c r="H318" i="38"/>
  <c r="G318" i="38"/>
  <c r="F316" i="38"/>
  <c r="H316" i="38"/>
  <c r="G316" i="38"/>
  <c r="C64" i="38"/>
  <c r="C121" i="38" s="1"/>
  <c r="E64" i="38"/>
  <c r="E121" i="38" s="1"/>
  <c r="D64" i="38"/>
  <c r="D121" i="38" s="1"/>
  <c r="B64" i="38"/>
  <c r="F64" i="38"/>
  <c r="F121" i="38" s="1"/>
  <c r="G64" i="38"/>
  <c r="G121" i="38" s="1"/>
  <c r="D29" i="38"/>
  <c r="G173" i="38"/>
  <c r="D65" i="38"/>
  <c r="D122" i="38" s="1"/>
  <c r="F65" i="38"/>
  <c r="F122" i="38" s="1"/>
  <c r="E65" i="38"/>
  <c r="E122" i="38" s="1"/>
  <c r="B65" i="38"/>
  <c r="G65" i="38"/>
  <c r="G122" i="38" s="1"/>
  <c r="C65" i="38"/>
  <c r="C122" i="38" s="1"/>
  <c r="D30" i="38"/>
  <c r="G174" i="38"/>
  <c r="G172" i="38"/>
  <c r="E63" i="38"/>
  <c r="E120" i="38" s="1"/>
  <c r="D63" i="38"/>
  <c r="D120" i="38" s="1"/>
  <c r="G63" i="38"/>
  <c r="G120" i="38" s="1"/>
  <c r="B63" i="38"/>
  <c r="F63" i="38"/>
  <c r="F120" i="38" s="1"/>
  <c r="C63" i="38"/>
  <c r="C120" i="38" s="1"/>
  <c r="D28" i="38"/>
  <c r="W42" i="32"/>
  <c r="V42" i="32"/>
  <c r="G111" i="7"/>
  <c r="M111" i="7" s="1"/>
  <c r="H94" i="36"/>
  <c r="G112" i="39" s="1"/>
  <c r="M112" i="39" s="1"/>
  <c r="N112" i="39" s="1"/>
  <c r="O112" i="39" s="1"/>
  <c r="P112" i="39" s="1"/>
  <c r="M51" i="9"/>
  <c r="N14" i="11"/>
  <c r="U42" i="32"/>
  <c r="L43" i="32"/>
  <c r="N41" i="7"/>
  <c r="O41" i="7" s="1"/>
  <c r="P41" i="7" s="1"/>
  <c r="L52" i="11"/>
  <c r="M52" i="11"/>
  <c r="D40" i="17"/>
  <c r="E44" i="17"/>
  <c r="J51" i="11"/>
  <c r="M51" i="11"/>
  <c r="M50" i="11"/>
  <c r="K51" i="11"/>
  <c r="L51" i="11"/>
  <c r="L50" i="11"/>
  <c r="K52" i="11"/>
  <c r="J50" i="11"/>
  <c r="F52" i="11"/>
  <c r="J52" i="11"/>
  <c r="I52" i="11"/>
  <c r="H52" i="11"/>
  <c r="K50" i="11"/>
  <c r="D44" i="17"/>
  <c r="E40" i="17"/>
  <c r="N18" i="11"/>
  <c r="N42" i="7"/>
  <c r="O42" i="7" s="1"/>
  <c r="P42" i="7" s="1"/>
  <c r="F44" i="17"/>
  <c r="B99" i="38" l="1"/>
  <c r="Q14" i="11"/>
  <c r="R480" i="38" s="1"/>
  <c r="B232" i="38"/>
  <c r="C231" i="38"/>
  <c r="I50" i="9"/>
  <c r="M73" i="9"/>
  <c r="G250" i="38" s="1"/>
  <c r="G301" i="38" s="1"/>
  <c r="AA543" i="38"/>
  <c r="AA544" i="38"/>
  <c r="E293" i="38"/>
  <c r="D294" i="38"/>
  <c r="E294" i="38" s="1"/>
  <c r="T540" i="38"/>
  <c r="AA546" i="38"/>
  <c r="Q473" i="38"/>
  <c r="R473" i="38" s="1"/>
  <c r="O480" i="38"/>
  <c r="B97" i="38"/>
  <c r="U540" i="38"/>
  <c r="T544" i="38"/>
  <c r="AA545" i="38"/>
  <c r="AA542" i="38"/>
  <c r="U521" i="38"/>
  <c r="O484" i="38"/>
  <c r="C97" i="38"/>
  <c r="C117" i="38" s="1"/>
  <c r="E226" i="38"/>
  <c r="D226" i="38"/>
  <c r="T545" i="38"/>
  <c r="AB518" i="38"/>
  <c r="AA526" i="38" s="1"/>
  <c r="T610" i="38"/>
  <c r="U591" i="38"/>
  <c r="AA555" i="38"/>
  <c r="I318" i="38"/>
  <c r="I316" i="38"/>
  <c r="I317" i="38"/>
  <c r="E29" i="38"/>
  <c r="E30" i="38"/>
  <c r="B121" i="38"/>
  <c r="H64" i="38"/>
  <c r="B120" i="38"/>
  <c r="H63" i="38"/>
  <c r="B122" i="38"/>
  <c r="H65" i="38"/>
  <c r="Q32" i="11"/>
  <c r="P32" i="11"/>
  <c r="P18" i="11"/>
  <c r="H95" i="36"/>
  <c r="G113" i="39" s="1"/>
  <c r="M113" i="39" s="1"/>
  <c r="N113" i="39" s="1"/>
  <c r="O113" i="39" s="1"/>
  <c r="P113" i="39" s="1"/>
  <c r="G112" i="7"/>
  <c r="M112" i="7" s="1"/>
  <c r="Q7" i="11"/>
  <c r="C19" i="17"/>
  <c r="N22" i="11"/>
  <c r="O18" i="11"/>
  <c r="O14" i="11"/>
  <c r="H16" i="17"/>
  <c r="N45" i="11" s="1"/>
  <c r="O32" i="11"/>
  <c r="N32" i="11"/>
  <c r="M79" i="9" l="1"/>
  <c r="S14" i="11"/>
  <c r="B100" i="38"/>
  <c r="E231" i="38"/>
  <c r="K50" i="9"/>
  <c r="D231" i="38"/>
  <c r="J50" i="9"/>
  <c r="I18" i="17"/>
  <c r="J18" i="17" s="1"/>
  <c r="D19" i="17"/>
  <c r="I19" i="17" s="1"/>
  <c r="C232" i="38"/>
  <c r="P498" i="38"/>
  <c r="F98" i="38"/>
  <c r="F118" i="38" s="1"/>
  <c r="P22" i="11"/>
  <c r="P484" i="38"/>
  <c r="C98" i="38"/>
  <c r="C118" i="38" s="1"/>
  <c r="E19" i="17"/>
  <c r="U554" i="38"/>
  <c r="T573" i="38"/>
  <c r="AA573" i="38" s="1"/>
  <c r="Q484" i="38"/>
  <c r="C99" i="38"/>
  <c r="O488" i="38"/>
  <c r="D97" i="38"/>
  <c r="D117" i="38" s="1"/>
  <c r="Q498" i="38"/>
  <c r="F99" i="38"/>
  <c r="B117" i="38"/>
  <c r="P480" i="38"/>
  <c r="B98" i="38"/>
  <c r="P27" i="11"/>
  <c r="O498" i="38"/>
  <c r="F97" i="38"/>
  <c r="F117" i="38" s="1"/>
  <c r="H18" i="17"/>
  <c r="S32" i="11"/>
  <c r="R498" i="38"/>
  <c r="U614" i="38" s="1"/>
  <c r="F100" i="38"/>
  <c r="U610" i="38"/>
  <c r="T572" i="38"/>
  <c r="AA572" i="38" s="1"/>
  <c r="U553" i="38"/>
  <c r="C77" i="34"/>
  <c r="Q18" i="11"/>
  <c r="H96" i="36"/>
  <c r="G114" i="39" s="1"/>
  <c r="M114" i="39" s="1"/>
  <c r="N114" i="39" s="1"/>
  <c r="O114" i="39" s="1"/>
  <c r="P114" i="39" s="1"/>
  <c r="G113" i="7"/>
  <c r="M113" i="7" s="1"/>
  <c r="O22" i="11"/>
  <c r="N27" i="11"/>
  <c r="N43" i="7"/>
  <c r="O43" i="7" s="1"/>
  <c r="P43" i="7" s="1"/>
  <c r="O45" i="11"/>
  <c r="K66" i="9"/>
  <c r="K70" i="9" s="1"/>
  <c r="J19" i="17" l="1"/>
  <c r="H192" i="39" s="1"/>
  <c r="H231" i="38"/>
  <c r="H19" i="17"/>
  <c r="Q45" i="11" s="1"/>
  <c r="D232" i="38"/>
  <c r="Q22" i="11"/>
  <c r="R488" i="38" s="1"/>
  <c r="U612" i="38" s="1"/>
  <c r="H184" i="39"/>
  <c r="H191" i="39"/>
  <c r="H183" i="39"/>
  <c r="H189" i="39"/>
  <c r="H188" i="39"/>
  <c r="H187" i="39"/>
  <c r="H186" i="39"/>
  <c r="H193" i="39"/>
  <c r="H185" i="39"/>
  <c r="H193" i="7"/>
  <c r="H234" i="7" s="1"/>
  <c r="H187" i="7"/>
  <c r="H228" i="7" s="1"/>
  <c r="H189" i="7"/>
  <c r="H230" i="7" s="1"/>
  <c r="H191" i="7"/>
  <c r="H232" i="7" s="1"/>
  <c r="H185" i="7"/>
  <c r="H226" i="7" s="1"/>
  <c r="H186" i="7"/>
  <c r="H227" i="7" s="1"/>
  <c r="H184" i="7"/>
  <c r="H225" i="7" s="1"/>
  <c r="H192" i="7"/>
  <c r="H233" i="7" s="1"/>
  <c r="H183" i="7"/>
  <c r="H224" i="7" s="1"/>
  <c r="P45" i="11"/>
  <c r="Q493" i="38"/>
  <c r="E99" i="38"/>
  <c r="AB554" i="38"/>
  <c r="AA562" i="38" s="1"/>
  <c r="T562" i="38"/>
  <c r="U592" i="38"/>
  <c r="T611" i="38"/>
  <c r="T576" i="38"/>
  <c r="U557" i="38"/>
  <c r="T565" i="38" s="1"/>
  <c r="Q488" i="38"/>
  <c r="D99" i="38"/>
  <c r="H99" i="38" s="1"/>
  <c r="O493" i="38"/>
  <c r="E97" i="38"/>
  <c r="E117" i="38" s="1"/>
  <c r="T574" i="38"/>
  <c r="U555" i="38"/>
  <c r="T563" i="38" s="1"/>
  <c r="T592" i="38"/>
  <c r="AA592" i="38" s="1"/>
  <c r="U573" i="38"/>
  <c r="T618" i="38"/>
  <c r="U595" i="38"/>
  <c r="T614" i="38"/>
  <c r="T622" i="38" s="1"/>
  <c r="U572" i="38"/>
  <c r="T591" i="38"/>
  <c r="P488" i="38"/>
  <c r="D98" i="38"/>
  <c r="D118" i="38" s="1"/>
  <c r="R484" i="38"/>
  <c r="C100" i="38"/>
  <c r="B118" i="38"/>
  <c r="Q27" i="11"/>
  <c r="E232" i="38"/>
  <c r="P41" i="11"/>
  <c r="P50" i="11" s="1"/>
  <c r="T561" i="38"/>
  <c r="AB553" i="38"/>
  <c r="AA561" i="38" s="1"/>
  <c r="U576" i="38"/>
  <c r="T595" i="38"/>
  <c r="S18" i="11"/>
  <c r="H97" i="36"/>
  <c r="G115" i="39" s="1"/>
  <c r="M115" i="39" s="1"/>
  <c r="G114" i="7"/>
  <c r="M114" i="7" s="1"/>
  <c r="J66" i="9"/>
  <c r="J70" i="9" s="1"/>
  <c r="I66" i="9"/>
  <c r="I70" i="9" s="1"/>
  <c r="N41" i="11"/>
  <c r="F40" i="38" s="1"/>
  <c r="G40" i="38" s="1"/>
  <c r="O27" i="11"/>
  <c r="N44" i="7"/>
  <c r="O44" i="7" s="1"/>
  <c r="P44" i="7" s="1"/>
  <c r="N45" i="7"/>
  <c r="O45" i="7" s="1"/>
  <c r="P45" i="7" s="1"/>
  <c r="H194" i="7" l="1"/>
  <c r="H235" i="7" s="1"/>
  <c r="H190" i="7"/>
  <c r="H231" i="7" s="1"/>
  <c r="H188" i="7"/>
  <c r="H229" i="7" s="1"/>
  <c r="H194" i="39"/>
  <c r="H190" i="39"/>
  <c r="S22" i="11"/>
  <c r="D100" i="38"/>
  <c r="T584" i="38"/>
  <c r="Q507" i="38"/>
  <c r="H97" i="38"/>
  <c r="T603" i="38"/>
  <c r="F42" i="38"/>
  <c r="N115" i="39"/>
  <c r="O115" i="39" s="1"/>
  <c r="P115" i="39" s="1"/>
  <c r="U574" i="38"/>
  <c r="T582" i="38" s="1"/>
  <c r="T593" i="38"/>
  <c r="T580" i="38"/>
  <c r="AB572" i="38"/>
  <c r="AA580" i="38" s="1"/>
  <c r="AA591" i="38"/>
  <c r="T599" i="38"/>
  <c r="T575" i="38"/>
  <c r="T578" i="38" s="1"/>
  <c r="U556" i="38"/>
  <c r="T564" i="38" s="1"/>
  <c r="O507" i="38"/>
  <c r="T581" i="38"/>
  <c r="AB573" i="38"/>
  <c r="AA581" i="38" s="1"/>
  <c r="U593" i="38"/>
  <c r="T612" i="38"/>
  <c r="S27" i="11"/>
  <c r="R493" i="38"/>
  <c r="U613" i="38" s="1"/>
  <c r="E100" i="38"/>
  <c r="Q41" i="11"/>
  <c r="F43" i="38" s="1"/>
  <c r="T600" i="38"/>
  <c r="P493" i="38"/>
  <c r="E98" i="38"/>
  <c r="E118" i="38" s="1"/>
  <c r="U611" i="38"/>
  <c r="H232" i="38"/>
  <c r="T613" i="38"/>
  <c r="U594" i="38"/>
  <c r="H98" i="36"/>
  <c r="G116" i="39" s="1"/>
  <c r="M116" i="39" s="1"/>
  <c r="N116" i="39" s="1"/>
  <c r="O116" i="39" s="1"/>
  <c r="P116" i="39" s="1"/>
  <c r="G115" i="7"/>
  <c r="M115" i="7" s="1"/>
  <c r="K51" i="9"/>
  <c r="K73" i="9" s="1"/>
  <c r="E250" i="38" s="1"/>
  <c r="E249" i="38"/>
  <c r="E300" i="38" s="1"/>
  <c r="N50" i="11"/>
  <c r="O41" i="11"/>
  <c r="F41" i="38" s="1"/>
  <c r="G41" i="38" s="1"/>
  <c r="L224" i="7"/>
  <c r="L225" i="7" s="1"/>
  <c r="L226" i="7" s="1"/>
  <c r="L227" i="7" s="1"/>
  <c r="L228" i="7" s="1"/>
  <c r="L229" i="7" s="1"/>
  <c r="L230" i="7" s="1"/>
  <c r="L231" i="7" s="1"/>
  <c r="L232" i="7" s="1"/>
  <c r="L233" i="7" s="1"/>
  <c r="L234" i="7" s="1"/>
  <c r="L235" i="7" s="1"/>
  <c r="N46" i="7"/>
  <c r="O46" i="7" s="1"/>
  <c r="P46" i="7" s="1"/>
  <c r="H100" i="38" l="1"/>
  <c r="T601" i="38"/>
  <c r="G43" i="38"/>
  <c r="T621" i="38"/>
  <c r="Q50" i="11"/>
  <c r="G42" i="38"/>
  <c r="U575" i="38"/>
  <c r="T594" i="38"/>
  <c r="T602" i="38" s="1"/>
  <c r="P507" i="38"/>
  <c r="T616" i="38"/>
  <c r="U597" i="38"/>
  <c r="U559" i="38"/>
  <c r="H98" i="38"/>
  <c r="T619" i="38"/>
  <c r="U616" i="38"/>
  <c r="E301" i="38"/>
  <c r="T620" i="38"/>
  <c r="R507" i="38"/>
  <c r="H99" i="36"/>
  <c r="G117" i="39" s="1"/>
  <c r="M117" i="39" s="1"/>
  <c r="N117" i="39" s="1"/>
  <c r="O117" i="39" s="1"/>
  <c r="P117" i="39" s="1"/>
  <c r="G116" i="7"/>
  <c r="M116" i="7" s="1"/>
  <c r="D249" i="38"/>
  <c r="D300" i="38" s="1"/>
  <c r="J51" i="9"/>
  <c r="J73" i="9" s="1"/>
  <c r="D250" i="38" s="1"/>
  <c r="D301" i="38" s="1"/>
  <c r="C249" i="38"/>
  <c r="C300" i="38" s="1"/>
  <c r="I51" i="9"/>
  <c r="K79" i="9"/>
  <c r="O50" i="11"/>
  <c r="N47" i="7"/>
  <c r="O47" i="7" s="1"/>
  <c r="P47" i="7" s="1"/>
  <c r="I73" i="9" l="1"/>
  <c r="C250" i="38" s="1"/>
  <c r="C301" i="38" s="1"/>
  <c r="T597" i="38"/>
  <c r="T583" i="38"/>
  <c r="U578" i="38"/>
  <c r="H100" i="36"/>
  <c r="G118" i="39" s="1"/>
  <c r="M118" i="39" s="1"/>
  <c r="N118" i="39" s="1"/>
  <c r="O118" i="39" s="1"/>
  <c r="P118" i="39" s="1"/>
  <c r="G117" i="7"/>
  <c r="M117" i="7" s="1"/>
  <c r="J79" i="9"/>
  <c r="N48" i="7"/>
  <c r="O48" i="7" s="1"/>
  <c r="P48" i="7" s="1"/>
  <c r="I79" i="9" l="1"/>
  <c r="H101" i="36"/>
  <c r="G119" i="39" s="1"/>
  <c r="M119" i="39" s="1"/>
  <c r="N119" i="39" s="1"/>
  <c r="O119" i="39" s="1"/>
  <c r="P119" i="39" s="1"/>
  <c r="G118" i="7"/>
  <c r="M118" i="7" s="1"/>
  <c r="N49" i="7"/>
  <c r="O49" i="7" s="1"/>
  <c r="P49" i="7" s="1"/>
  <c r="H102" i="36" l="1"/>
  <c r="G120" i="39" s="1"/>
  <c r="M120" i="39" s="1"/>
  <c r="N120" i="39" s="1"/>
  <c r="O120" i="39" s="1"/>
  <c r="P120" i="39" s="1"/>
  <c r="G119" i="7"/>
  <c r="M119" i="7" s="1"/>
  <c r="N50" i="7"/>
  <c r="O50" i="7" s="1"/>
  <c r="P50" i="7" s="1"/>
  <c r="M203" i="7"/>
  <c r="R203" i="7" l="1"/>
  <c r="C175" i="38"/>
  <c r="H103" i="36"/>
  <c r="G121" i="39" s="1"/>
  <c r="M121" i="39" s="1"/>
  <c r="N121" i="39" s="1"/>
  <c r="O121" i="39" s="1"/>
  <c r="P121" i="39" s="1"/>
  <c r="G120" i="7"/>
  <c r="M120" i="7" s="1"/>
  <c r="E5" i="11"/>
  <c r="E6" i="11" s="1"/>
  <c r="C15" i="9"/>
  <c r="N203" i="7"/>
  <c r="D175" i="38" l="1"/>
  <c r="F175" i="38"/>
  <c r="H104" i="36"/>
  <c r="G122" i="39" s="1"/>
  <c r="M122" i="39" s="1"/>
  <c r="G121" i="7"/>
  <c r="M121" i="7" s="1"/>
  <c r="O203" i="7"/>
  <c r="P203" i="7" s="1"/>
  <c r="D15" i="9"/>
  <c r="E15" i="9" s="1"/>
  <c r="N51" i="7"/>
  <c r="O51" i="7" s="1"/>
  <c r="P51" i="7" s="1"/>
  <c r="N52" i="7"/>
  <c r="O52" i="7" s="1"/>
  <c r="P52" i="7" s="1"/>
  <c r="N122" i="39" l="1"/>
  <c r="O122" i="39" s="1"/>
  <c r="P122" i="39" s="1"/>
  <c r="M209" i="39"/>
  <c r="Q209" i="7" s="1"/>
  <c r="E181" i="38" s="1"/>
  <c r="H319" i="38"/>
  <c r="G319" i="38"/>
  <c r="F319" i="38"/>
  <c r="G66" i="38"/>
  <c r="G123" i="38" s="1"/>
  <c r="F66" i="38"/>
  <c r="F123" i="38" s="1"/>
  <c r="C66" i="38"/>
  <c r="C123" i="38" s="1"/>
  <c r="D66" i="38"/>
  <c r="D123" i="38" s="1"/>
  <c r="B66" i="38"/>
  <c r="E66" i="38"/>
  <c r="E123" i="38" s="1"/>
  <c r="D31" i="38"/>
  <c r="E31" i="38" s="1"/>
  <c r="G175" i="38"/>
  <c r="G122" i="7"/>
  <c r="M122" i="7" s="1"/>
  <c r="J104" i="36"/>
  <c r="H11" i="36" s="1"/>
  <c r="I11" i="36" s="1"/>
  <c r="H105" i="36" s="1"/>
  <c r="G123" i="39" s="1"/>
  <c r="M123" i="39" s="1"/>
  <c r="I104" i="36"/>
  <c r="K10" i="36" s="1"/>
  <c r="L10" i="36" s="1"/>
  <c r="N54" i="7"/>
  <c r="O54" i="7" s="1"/>
  <c r="P54" i="7" s="1"/>
  <c r="N55" i="7"/>
  <c r="O55" i="7" s="1"/>
  <c r="P55" i="7" s="1"/>
  <c r="N123" i="39" l="1"/>
  <c r="O123" i="39" s="1"/>
  <c r="P123" i="39" s="1"/>
  <c r="I319" i="38"/>
  <c r="B123" i="38"/>
  <c r="H66" i="38"/>
  <c r="G123" i="7"/>
  <c r="M123" i="7" s="1"/>
  <c r="H106" i="36"/>
  <c r="G124" i="39" s="1"/>
  <c r="M124" i="39" s="1"/>
  <c r="N124" i="39" s="1"/>
  <c r="O124" i="39" s="1"/>
  <c r="P124" i="39" s="1"/>
  <c r="N53" i="7"/>
  <c r="O53" i="7" s="1"/>
  <c r="P53" i="7" s="1"/>
  <c r="N56" i="7"/>
  <c r="O56" i="7" s="1"/>
  <c r="P56" i="7" s="1"/>
  <c r="H107" i="36" l="1"/>
  <c r="G125" i="39" s="1"/>
  <c r="M125" i="39" s="1"/>
  <c r="N125" i="39" s="1"/>
  <c r="O125" i="39" s="1"/>
  <c r="P125" i="39" s="1"/>
  <c r="G124" i="7"/>
  <c r="M124" i="7" s="1"/>
  <c r="N57" i="7"/>
  <c r="O57" i="7" s="1"/>
  <c r="P57" i="7" s="1"/>
  <c r="H108" i="36" l="1"/>
  <c r="G126" i="39" s="1"/>
  <c r="M126" i="39" s="1"/>
  <c r="N126" i="39" s="1"/>
  <c r="O126" i="39" s="1"/>
  <c r="P126" i="39" s="1"/>
  <c r="G125" i="7"/>
  <c r="M125" i="7" s="1"/>
  <c r="N58" i="7"/>
  <c r="O58" i="7" s="1"/>
  <c r="P58" i="7" s="1"/>
  <c r="H109" i="36" l="1"/>
  <c r="G127" i="39" s="1"/>
  <c r="M127" i="39" s="1"/>
  <c r="N127" i="39" s="1"/>
  <c r="O127" i="39" s="1"/>
  <c r="P127" i="39" s="1"/>
  <c r="G126" i="7"/>
  <c r="M126" i="7" s="1"/>
  <c r="N59" i="7"/>
  <c r="O59" i="7" s="1"/>
  <c r="P59" i="7" s="1"/>
  <c r="H110" i="36" l="1"/>
  <c r="G128" i="39" s="1"/>
  <c r="M128" i="39" s="1"/>
  <c r="N128" i="39" s="1"/>
  <c r="O128" i="39" s="1"/>
  <c r="P128" i="39" s="1"/>
  <c r="G127" i="7"/>
  <c r="M127" i="7" s="1"/>
  <c r="N60" i="7"/>
  <c r="O60" i="7" s="1"/>
  <c r="P60" i="7" s="1"/>
  <c r="H111" i="36" l="1"/>
  <c r="G129" i="39" s="1"/>
  <c r="M129" i="39" s="1"/>
  <c r="N129" i="39" s="1"/>
  <c r="O129" i="39" s="1"/>
  <c r="P129" i="39" s="1"/>
  <c r="G128" i="7"/>
  <c r="M128" i="7" s="1"/>
  <c r="N61" i="7"/>
  <c r="O61" i="7" s="1"/>
  <c r="P61" i="7" s="1"/>
  <c r="H112" i="36" l="1"/>
  <c r="G130" i="39" s="1"/>
  <c r="M130" i="39" s="1"/>
  <c r="N130" i="39" s="1"/>
  <c r="O130" i="39" s="1"/>
  <c r="P130" i="39" s="1"/>
  <c r="G129" i="7"/>
  <c r="M129" i="7" s="1"/>
  <c r="N62" i="7"/>
  <c r="O62" i="7" s="1"/>
  <c r="P62" i="7" s="1"/>
  <c r="M204" i="7"/>
  <c r="R204" i="7" l="1"/>
  <c r="C176" i="38"/>
  <c r="H113" i="36"/>
  <c r="G131" i="39" s="1"/>
  <c r="M131" i="39" s="1"/>
  <c r="N131" i="39" s="1"/>
  <c r="O131" i="39" s="1"/>
  <c r="P131" i="39" s="1"/>
  <c r="G130" i="7"/>
  <c r="M130" i="7" s="1"/>
  <c r="C16" i="9"/>
  <c r="F5" i="11"/>
  <c r="F6" i="11" s="1"/>
  <c r="N204" i="7"/>
  <c r="D176" i="38" l="1"/>
  <c r="F176" i="38"/>
  <c r="H114" i="36"/>
  <c r="G132" i="39" s="1"/>
  <c r="M132" i="39" s="1"/>
  <c r="N132" i="39" s="1"/>
  <c r="O132" i="39" s="1"/>
  <c r="P132" i="39" s="1"/>
  <c r="G131" i="7"/>
  <c r="M131" i="7" s="1"/>
  <c r="O204" i="7"/>
  <c r="P204" i="7" s="1"/>
  <c r="D16" i="9"/>
  <c r="E16" i="9" s="1"/>
  <c r="N63" i="7"/>
  <c r="O63" i="7" s="1"/>
  <c r="P63" i="7" s="1"/>
  <c r="N64" i="7"/>
  <c r="O64" i="7" s="1"/>
  <c r="P64" i="7" s="1"/>
  <c r="H320" i="38" l="1"/>
  <c r="G320" i="38"/>
  <c r="F320" i="38"/>
  <c r="B67" i="38"/>
  <c r="G67" i="38"/>
  <c r="G124" i="38" s="1"/>
  <c r="F67" i="38"/>
  <c r="F124" i="38" s="1"/>
  <c r="D67" i="38"/>
  <c r="D124" i="38" s="1"/>
  <c r="C67" i="38"/>
  <c r="C124" i="38" s="1"/>
  <c r="E67" i="38"/>
  <c r="E124" i="38" s="1"/>
  <c r="D32" i="38"/>
  <c r="E32" i="38" s="1"/>
  <c r="G176" i="38"/>
  <c r="H115" i="36"/>
  <c r="G133" i="39" s="1"/>
  <c r="M133" i="39" s="1"/>
  <c r="N133" i="39" s="1"/>
  <c r="O133" i="39" s="1"/>
  <c r="P133" i="39" s="1"/>
  <c r="G132" i="7"/>
  <c r="M132" i="7" s="1"/>
  <c r="N65" i="7"/>
  <c r="O65" i="7" s="1"/>
  <c r="P65" i="7" s="1"/>
  <c r="N66" i="7"/>
  <c r="O66" i="7" s="1"/>
  <c r="P66" i="7" s="1"/>
  <c r="I320" i="38" l="1"/>
  <c r="B124" i="38"/>
  <c r="H67" i="38"/>
  <c r="H116" i="36"/>
  <c r="G134" i="39" s="1"/>
  <c r="M134" i="39" s="1"/>
  <c r="G133" i="7"/>
  <c r="M133" i="7" s="1"/>
  <c r="N67" i="7"/>
  <c r="O67" i="7" s="1"/>
  <c r="P67" i="7" s="1"/>
  <c r="N134" i="39" l="1"/>
  <c r="O134" i="39" s="1"/>
  <c r="P134" i="39" s="1"/>
  <c r="M210" i="39"/>
  <c r="Q210" i="7" s="1"/>
  <c r="E182" i="38" s="1"/>
  <c r="G134" i="7"/>
  <c r="M134" i="7" s="1"/>
  <c r="J116" i="36"/>
  <c r="H12" i="36" s="1"/>
  <c r="I12" i="36" s="1"/>
  <c r="H117" i="36" s="1"/>
  <c r="G135" i="39" s="1"/>
  <c r="M135" i="39" s="1"/>
  <c r="I116" i="36"/>
  <c r="K11" i="36" s="1"/>
  <c r="L11" i="36" s="1"/>
  <c r="N68" i="7"/>
  <c r="O68" i="7" s="1"/>
  <c r="P68" i="7" s="1"/>
  <c r="N135" i="39" l="1"/>
  <c r="O135" i="39" s="1"/>
  <c r="P135" i="39" s="1"/>
  <c r="G135" i="7"/>
  <c r="M135" i="7" s="1"/>
  <c r="H118" i="36"/>
  <c r="G136" i="39" s="1"/>
  <c r="M136" i="39" s="1"/>
  <c r="N136" i="39" s="1"/>
  <c r="O136" i="39" s="1"/>
  <c r="P136" i="39" s="1"/>
  <c r="N69" i="7"/>
  <c r="O69" i="7" s="1"/>
  <c r="P69" i="7" s="1"/>
  <c r="H119" i="36" l="1"/>
  <c r="G137" i="39" s="1"/>
  <c r="M137" i="39" s="1"/>
  <c r="N137" i="39" s="1"/>
  <c r="O137" i="39" s="1"/>
  <c r="P137" i="39" s="1"/>
  <c r="G136" i="7"/>
  <c r="M136" i="7" s="1"/>
  <c r="N70" i="7"/>
  <c r="O70" i="7" s="1"/>
  <c r="P70" i="7" s="1"/>
  <c r="H120" i="36" l="1"/>
  <c r="G138" i="39" s="1"/>
  <c r="M138" i="39" s="1"/>
  <c r="N138" i="39" s="1"/>
  <c r="O138" i="39" s="1"/>
  <c r="P138" i="39" s="1"/>
  <c r="G137" i="7"/>
  <c r="M137" i="7" s="1"/>
  <c r="N71" i="7"/>
  <c r="O71" i="7" s="1"/>
  <c r="P71" i="7" s="1"/>
  <c r="H121" i="36" l="1"/>
  <c r="G139" i="39" s="1"/>
  <c r="M139" i="39" s="1"/>
  <c r="N139" i="39" s="1"/>
  <c r="O139" i="39" s="1"/>
  <c r="P139" i="39" s="1"/>
  <c r="G138" i="7"/>
  <c r="M138" i="7" s="1"/>
  <c r="N72" i="7"/>
  <c r="O72" i="7" s="1"/>
  <c r="P72" i="7" s="1"/>
  <c r="H122" i="36" l="1"/>
  <c r="G140" i="39" s="1"/>
  <c r="M140" i="39" s="1"/>
  <c r="N140" i="39" s="1"/>
  <c r="O140" i="39" s="1"/>
  <c r="P140" i="39" s="1"/>
  <c r="G139" i="7"/>
  <c r="M139" i="7" s="1"/>
  <c r="N73" i="7"/>
  <c r="O73" i="7" s="1"/>
  <c r="P73" i="7" s="1"/>
  <c r="H123" i="36" l="1"/>
  <c r="G141" i="39" s="1"/>
  <c r="M141" i="39" s="1"/>
  <c r="N141" i="39" s="1"/>
  <c r="O141" i="39" s="1"/>
  <c r="P141" i="39" s="1"/>
  <c r="G140" i="7"/>
  <c r="M140" i="7" s="1"/>
  <c r="N74" i="7"/>
  <c r="O74" i="7" s="1"/>
  <c r="P74" i="7" s="1"/>
  <c r="M205" i="7"/>
  <c r="R205" i="7" l="1"/>
  <c r="C177" i="38"/>
  <c r="H124" i="36"/>
  <c r="G142" i="39" s="1"/>
  <c r="M142" i="39" s="1"/>
  <c r="N142" i="39" s="1"/>
  <c r="O142" i="39" s="1"/>
  <c r="P142" i="39" s="1"/>
  <c r="G141" i="7"/>
  <c r="M141" i="7" s="1"/>
  <c r="N205" i="7"/>
  <c r="G5" i="11"/>
  <c r="G6" i="11" s="1"/>
  <c r="C17" i="9"/>
  <c r="D177" i="38" l="1"/>
  <c r="F177" i="38"/>
  <c r="H125" i="36"/>
  <c r="G143" i="39" s="1"/>
  <c r="M143" i="39" s="1"/>
  <c r="N143" i="39" s="1"/>
  <c r="O143" i="39" s="1"/>
  <c r="P143" i="39" s="1"/>
  <c r="G142" i="7"/>
  <c r="M142" i="7" s="1"/>
  <c r="O205" i="7"/>
  <c r="P205" i="7" s="1"/>
  <c r="D17" i="9"/>
  <c r="E17" i="9" s="1"/>
  <c r="N75" i="7"/>
  <c r="O75" i="7" s="1"/>
  <c r="P75" i="7" s="1"/>
  <c r="H321" i="38" l="1"/>
  <c r="G321" i="38"/>
  <c r="F321" i="38"/>
  <c r="G68" i="38"/>
  <c r="G125" i="38" s="1"/>
  <c r="D68" i="38"/>
  <c r="D125" i="38" s="1"/>
  <c r="E68" i="38"/>
  <c r="E125" i="38" s="1"/>
  <c r="F68" i="38"/>
  <c r="F125" i="38" s="1"/>
  <c r="C68" i="38"/>
  <c r="C125" i="38" s="1"/>
  <c r="D33" i="38"/>
  <c r="E33" i="38" s="1"/>
  <c r="B68" i="38"/>
  <c r="G177" i="38"/>
  <c r="H126" i="36"/>
  <c r="G144" i="39" s="1"/>
  <c r="M144" i="39" s="1"/>
  <c r="N144" i="39" s="1"/>
  <c r="O144" i="39" s="1"/>
  <c r="P144" i="39" s="1"/>
  <c r="G143" i="7"/>
  <c r="M143" i="7" s="1"/>
  <c r="N77" i="7"/>
  <c r="O77" i="7" s="1"/>
  <c r="P77" i="7" s="1"/>
  <c r="N78" i="7"/>
  <c r="O78" i="7" s="1"/>
  <c r="P78" i="7" s="1"/>
  <c r="I321" i="38" l="1"/>
  <c r="B125" i="38"/>
  <c r="H68" i="38"/>
  <c r="H127" i="36"/>
  <c r="G145" i="39" s="1"/>
  <c r="M145" i="39" s="1"/>
  <c r="N145" i="39" s="1"/>
  <c r="O145" i="39" s="1"/>
  <c r="P145" i="39" s="1"/>
  <c r="G144" i="7"/>
  <c r="M144" i="7" s="1"/>
  <c r="N76" i="7"/>
  <c r="O76" i="7" s="1"/>
  <c r="P76" i="7" s="1"/>
  <c r="N79" i="7"/>
  <c r="O79" i="7" s="1"/>
  <c r="P79" i="7" s="1"/>
  <c r="H128" i="36" l="1"/>
  <c r="G146" i="39" s="1"/>
  <c r="M146" i="39" s="1"/>
  <c r="G145" i="7"/>
  <c r="M145" i="7" s="1"/>
  <c r="N80" i="7"/>
  <c r="O80" i="7" s="1"/>
  <c r="P80" i="7" s="1"/>
  <c r="N146" i="39" l="1"/>
  <c r="O146" i="39" s="1"/>
  <c r="P146" i="39" s="1"/>
  <c r="M211" i="39"/>
  <c r="Q211" i="7" s="1"/>
  <c r="E183" i="38" s="1"/>
  <c r="G146" i="7"/>
  <c r="M146" i="7" s="1"/>
  <c r="J128" i="36"/>
  <c r="H13" i="36" s="1"/>
  <c r="I13" i="36" s="1"/>
  <c r="H129" i="36" s="1"/>
  <c r="G147" i="39" s="1"/>
  <c r="M147" i="39" s="1"/>
  <c r="I128" i="36"/>
  <c r="K12" i="36" s="1"/>
  <c r="L12" i="36" s="1"/>
  <c r="N81" i="7"/>
  <c r="O81" i="7" s="1"/>
  <c r="P81" i="7" s="1"/>
  <c r="N147" i="39" l="1"/>
  <c r="O147" i="39" s="1"/>
  <c r="P147" i="39" s="1"/>
  <c r="N146" i="7"/>
  <c r="O146" i="7" s="1"/>
  <c r="P146" i="7" s="1"/>
  <c r="G147" i="7"/>
  <c r="M147" i="7" s="1"/>
  <c r="H130" i="36"/>
  <c r="G148" i="39" s="1"/>
  <c r="M148" i="39" s="1"/>
  <c r="N148" i="39" s="1"/>
  <c r="O148" i="39" s="1"/>
  <c r="P148" i="39" s="1"/>
  <c r="N82" i="7"/>
  <c r="O82" i="7" s="1"/>
  <c r="P82" i="7" s="1"/>
  <c r="N147" i="7" l="1"/>
  <c r="O147" i="7" s="1"/>
  <c r="P147" i="7" s="1"/>
  <c r="H131" i="36"/>
  <c r="G149" i="39" s="1"/>
  <c r="M149" i="39" s="1"/>
  <c r="N149" i="39" s="1"/>
  <c r="O149" i="39" s="1"/>
  <c r="P149" i="39" s="1"/>
  <c r="G148" i="7"/>
  <c r="M148" i="7" s="1"/>
  <c r="N83" i="7"/>
  <c r="O83" i="7" s="1"/>
  <c r="P83" i="7" s="1"/>
  <c r="N148" i="7" l="1"/>
  <c r="O148" i="7" s="1"/>
  <c r="P148" i="7" s="1"/>
  <c r="H132" i="36"/>
  <c r="G150" i="39" s="1"/>
  <c r="M150" i="39" s="1"/>
  <c r="N150" i="39" s="1"/>
  <c r="O150" i="39" s="1"/>
  <c r="P150" i="39" s="1"/>
  <c r="G149" i="7"/>
  <c r="M149" i="7" s="1"/>
  <c r="N84" i="7"/>
  <c r="O84" i="7" s="1"/>
  <c r="P84" i="7" s="1"/>
  <c r="N149" i="7" l="1"/>
  <c r="O149" i="7" s="1"/>
  <c r="P149" i="7" s="1"/>
  <c r="H133" i="36"/>
  <c r="G151" i="39" s="1"/>
  <c r="M151" i="39" s="1"/>
  <c r="N151" i="39" s="1"/>
  <c r="O151" i="39" s="1"/>
  <c r="P151" i="39" s="1"/>
  <c r="G150" i="7"/>
  <c r="M150" i="7" s="1"/>
  <c r="N85" i="7"/>
  <c r="O85" i="7" s="1"/>
  <c r="P85" i="7" s="1"/>
  <c r="N150" i="7" l="1"/>
  <c r="O150" i="7" s="1"/>
  <c r="P150" i="7" s="1"/>
  <c r="H134" i="36"/>
  <c r="G152" i="39" s="1"/>
  <c r="M152" i="39" s="1"/>
  <c r="N152" i="39" s="1"/>
  <c r="O152" i="39" s="1"/>
  <c r="P152" i="39" s="1"/>
  <c r="G151" i="7"/>
  <c r="M151" i="7" s="1"/>
  <c r="N86" i="7"/>
  <c r="O86" i="7" s="1"/>
  <c r="P86" i="7" s="1"/>
  <c r="M206" i="7"/>
  <c r="R206" i="7" l="1"/>
  <c r="C178" i="38"/>
  <c r="N151" i="7"/>
  <c r="O151" i="7" s="1"/>
  <c r="P151" i="7" s="1"/>
  <c r="H135" i="36"/>
  <c r="G153" i="39" s="1"/>
  <c r="M153" i="39" s="1"/>
  <c r="N153" i="39" s="1"/>
  <c r="O153" i="39" s="1"/>
  <c r="P153" i="39" s="1"/>
  <c r="G152" i="7"/>
  <c r="M152" i="7" s="1"/>
  <c r="C18" i="9"/>
  <c r="H5" i="11"/>
  <c r="H6" i="11" s="1"/>
  <c r="N206" i="7"/>
  <c r="D178" i="38" l="1"/>
  <c r="F178" i="38"/>
  <c r="N152" i="7"/>
  <c r="O152" i="7" s="1"/>
  <c r="P152" i="7" s="1"/>
  <c r="H136" i="36"/>
  <c r="G154" i="39" s="1"/>
  <c r="M154" i="39" s="1"/>
  <c r="N154" i="39" s="1"/>
  <c r="O154" i="39" s="1"/>
  <c r="P154" i="39" s="1"/>
  <c r="G153" i="7"/>
  <c r="M153" i="7" s="1"/>
  <c r="O206" i="7"/>
  <c r="P206" i="7" s="1"/>
  <c r="D18" i="9"/>
  <c r="E18" i="9" s="1"/>
  <c r="N87" i="7"/>
  <c r="O87" i="7" s="1"/>
  <c r="P87" i="7" s="1"/>
  <c r="N88" i="7"/>
  <c r="O88" i="7" s="1"/>
  <c r="P88" i="7" s="1"/>
  <c r="H322" i="38" l="1"/>
  <c r="G322" i="38"/>
  <c r="F322" i="38"/>
  <c r="G69" i="38"/>
  <c r="G126" i="38" s="1"/>
  <c r="E69" i="38"/>
  <c r="E126" i="38" s="1"/>
  <c r="C69" i="38"/>
  <c r="C126" i="38" s="1"/>
  <c r="F69" i="38"/>
  <c r="F126" i="38" s="1"/>
  <c r="D69" i="38"/>
  <c r="D126" i="38" s="1"/>
  <c r="B69" i="38"/>
  <c r="D34" i="38"/>
  <c r="G178" i="38"/>
  <c r="N153" i="7"/>
  <c r="O153" i="7" s="1"/>
  <c r="P153" i="7" s="1"/>
  <c r="H137" i="36"/>
  <c r="G155" i="39" s="1"/>
  <c r="M155" i="39" s="1"/>
  <c r="N155" i="39" s="1"/>
  <c r="O155" i="39" s="1"/>
  <c r="P155" i="39" s="1"/>
  <c r="G154" i="7"/>
  <c r="M154" i="7" s="1"/>
  <c r="N89" i="7"/>
  <c r="O89" i="7" s="1"/>
  <c r="P89" i="7" s="1"/>
  <c r="N90" i="7"/>
  <c r="O90" i="7" s="1"/>
  <c r="P90" i="7" s="1"/>
  <c r="I322" i="38" l="1"/>
  <c r="B126" i="38"/>
  <c r="H69" i="38"/>
  <c r="E34" i="38"/>
  <c r="N154" i="7"/>
  <c r="O154" i="7" s="1"/>
  <c r="P154" i="7" s="1"/>
  <c r="H138" i="36"/>
  <c r="G156" i="39" s="1"/>
  <c r="M156" i="39" s="1"/>
  <c r="N156" i="39" s="1"/>
  <c r="O156" i="39" s="1"/>
  <c r="P156" i="39" s="1"/>
  <c r="G155" i="7"/>
  <c r="M155" i="7" s="1"/>
  <c r="N91" i="7"/>
  <c r="O91" i="7" s="1"/>
  <c r="P91" i="7" s="1"/>
  <c r="N155" i="7" l="1"/>
  <c r="O155" i="7" s="1"/>
  <c r="P155" i="7" s="1"/>
  <c r="H139" i="36"/>
  <c r="G157" i="39" s="1"/>
  <c r="M157" i="39" s="1"/>
  <c r="N157" i="39" s="1"/>
  <c r="O157" i="39" s="1"/>
  <c r="P157" i="39" s="1"/>
  <c r="G156" i="7"/>
  <c r="M156" i="7" s="1"/>
  <c r="N92" i="7"/>
  <c r="O92" i="7" s="1"/>
  <c r="P92" i="7" s="1"/>
  <c r="N156" i="7" l="1"/>
  <c r="O156" i="7" s="1"/>
  <c r="P156" i="7" s="1"/>
  <c r="H140" i="36"/>
  <c r="G158" i="39" s="1"/>
  <c r="M158" i="39" s="1"/>
  <c r="G157" i="7"/>
  <c r="M157" i="7" s="1"/>
  <c r="N93" i="7"/>
  <c r="O93" i="7" s="1"/>
  <c r="P93" i="7" s="1"/>
  <c r="N158" i="39" l="1"/>
  <c r="O158" i="39" s="1"/>
  <c r="P158" i="39" s="1"/>
  <c r="M212" i="39"/>
  <c r="Q212" i="7" s="1"/>
  <c r="E184" i="38" s="1"/>
  <c r="N157" i="7"/>
  <c r="O157" i="7" s="1"/>
  <c r="P157" i="7" s="1"/>
  <c r="G158" i="7"/>
  <c r="M158" i="7" s="1"/>
  <c r="J140" i="36"/>
  <c r="H14" i="36" s="1"/>
  <c r="I14" i="36" s="1"/>
  <c r="H141" i="36" s="1"/>
  <c r="G159" i="39" s="1"/>
  <c r="M159" i="39" s="1"/>
  <c r="I140" i="36"/>
  <c r="K13" i="36" s="1"/>
  <c r="L13" i="36" s="1"/>
  <c r="N94" i="7"/>
  <c r="O94" i="7" s="1"/>
  <c r="P94" i="7" s="1"/>
  <c r="N159" i="39" l="1"/>
  <c r="O159" i="39" s="1"/>
  <c r="P159" i="39" s="1"/>
  <c r="N158" i="7"/>
  <c r="O158" i="7" s="1"/>
  <c r="P158" i="7" s="1"/>
  <c r="G159" i="7"/>
  <c r="M159" i="7" s="1"/>
  <c r="H142" i="36"/>
  <c r="G160" i="39" s="1"/>
  <c r="M160" i="39" s="1"/>
  <c r="N160" i="39" s="1"/>
  <c r="O160" i="39" s="1"/>
  <c r="P160" i="39" s="1"/>
  <c r="N95" i="7"/>
  <c r="O95" i="7" s="1"/>
  <c r="P95" i="7" s="1"/>
  <c r="H143" i="36" l="1"/>
  <c r="G161" i="39" s="1"/>
  <c r="M161" i="39" s="1"/>
  <c r="N161" i="39" s="1"/>
  <c r="O161" i="39" s="1"/>
  <c r="P161" i="39" s="1"/>
  <c r="G160" i="7"/>
  <c r="M160" i="7" s="1"/>
  <c r="N159" i="7"/>
  <c r="O159" i="7" s="1"/>
  <c r="P159" i="7" s="1"/>
  <c r="N96" i="7"/>
  <c r="O96" i="7" s="1"/>
  <c r="P96" i="7" s="1"/>
  <c r="N160" i="7" l="1"/>
  <c r="O160" i="7" s="1"/>
  <c r="P160" i="7" s="1"/>
  <c r="H144" i="36"/>
  <c r="G162" i="39" s="1"/>
  <c r="M162" i="39" s="1"/>
  <c r="N162" i="39" s="1"/>
  <c r="O162" i="39" s="1"/>
  <c r="P162" i="39" s="1"/>
  <c r="G161" i="7"/>
  <c r="M161" i="7" s="1"/>
  <c r="N97" i="7"/>
  <c r="O97" i="7" s="1"/>
  <c r="P97" i="7" s="1"/>
  <c r="N161" i="7" l="1"/>
  <c r="O161" i="7" s="1"/>
  <c r="P161" i="7" s="1"/>
  <c r="H145" i="36"/>
  <c r="G163" i="39" s="1"/>
  <c r="M163" i="39" s="1"/>
  <c r="N163" i="39" s="1"/>
  <c r="O163" i="39" s="1"/>
  <c r="P163" i="39" s="1"/>
  <c r="G162" i="7"/>
  <c r="M162" i="7" s="1"/>
  <c r="N98" i="7"/>
  <c r="O98" i="7" s="1"/>
  <c r="P98" i="7" s="1"/>
  <c r="M207" i="7"/>
  <c r="R207" i="7" l="1"/>
  <c r="C179" i="38"/>
  <c r="N162" i="7"/>
  <c r="O162" i="7" s="1"/>
  <c r="P162" i="7" s="1"/>
  <c r="H146" i="36"/>
  <c r="G164" i="39" s="1"/>
  <c r="M164" i="39" s="1"/>
  <c r="N164" i="39" s="1"/>
  <c r="O164" i="39" s="1"/>
  <c r="P164" i="39" s="1"/>
  <c r="G163" i="7"/>
  <c r="M163" i="7" s="1"/>
  <c r="I5" i="11"/>
  <c r="I6" i="11" s="1"/>
  <c r="C19" i="9"/>
  <c r="N207" i="7"/>
  <c r="O207" i="7" s="1"/>
  <c r="P207" i="7" s="1"/>
  <c r="D179" i="38" l="1"/>
  <c r="F179" i="38"/>
  <c r="N163" i="7"/>
  <c r="O163" i="7" s="1"/>
  <c r="P163" i="7" s="1"/>
  <c r="H147" i="36"/>
  <c r="G165" i="39" s="1"/>
  <c r="M165" i="39" s="1"/>
  <c r="N165" i="39" s="1"/>
  <c r="O165" i="39" s="1"/>
  <c r="P165" i="39" s="1"/>
  <c r="G164" i="7"/>
  <c r="M164" i="7" s="1"/>
  <c r="D19" i="9"/>
  <c r="E19" i="9" s="1"/>
  <c r="N99" i="7"/>
  <c r="O99" i="7" s="1"/>
  <c r="P99" i="7" s="1"/>
  <c r="H323" i="38" l="1"/>
  <c r="F323" i="38"/>
  <c r="G323" i="38"/>
  <c r="B70" i="38"/>
  <c r="E70" i="38"/>
  <c r="E127" i="38" s="1"/>
  <c r="F70" i="38"/>
  <c r="F127" i="38" s="1"/>
  <c r="G70" i="38"/>
  <c r="G127" i="38" s="1"/>
  <c r="C70" i="38"/>
  <c r="C127" i="38" s="1"/>
  <c r="D70" i="38"/>
  <c r="D127" i="38" s="1"/>
  <c r="D35" i="38"/>
  <c r="E35" i="38" s="1"/>
  <c r="G179" i="38"/>
  <c r="N164" i="7"/>
  <c r="O164" i="7" s="1"/>
  <c r="P164" i="7" s="1"/>
  <c r="H148" i="36"/>
  <c r="G166" i="39" s="1"/>
  <c r="M166" i="39" s="1"/>
  <c r="N166" i="39" s="1"/>
  <c r="O166" i="39" s="1"/>
  <c r="P166" i="39" s="1"/>
  <c r="G165" i="7"/>
  <c r="M165" i="7" s="1"/>
  <c r="N101" i="7"/>
  <c r="O101" i="7" s="1"/>
  <c r="P101" i="7" s="1"/>
  <c r="I323" i="38" l="1"/>
  <c r="B127" i="38"/>
  <c r="H70" i="38"/>
  <c r="N165" i="7"/>
  <c r="O165" i="7" s="1"/>
  <c r="P165" i="7" s="1"/>
  <c r="H149" i="36"/>
  <c r="G167" i="39" s="1"/>
  <c r="M167" i="39" s="1"/>
  <c r="N167" i="39" s="1"/>
  <c r="O167" i="39" s="1"/>
  <c r="P167" i="39" s="1"/>
  <c r="G166" i="7"/>
  <c r="M166" i="7" s="1"/>
  <c r="N100" i="7"/>
  <c r="O100" i="7" s="1"/>
  <c r="P100" i="7" s="1"/>
  <c r="N102" i="7"/>
  <c r="O102" i="7" s="1"/>
  <c r="P102" i="7" s="1"/>
  <c r="N166" i="7" l="1"/>
  <c r="O166" i="7" s="1"/>
  <c r="P166" i="7" s="1"/>
  <c r="H150" i="36"/>
  <c r="G168" i="39" s="1"/>
  <c r="M168" i="39" s="1"/>
  <c r="N168" i="39" s="1"/>
  <c r="O168" i="39" s="1"/>
  <c r="P168" i="39" s="1"/>
  <c r="G167" i="7"/>
  <c r="M167" i="7" s="1"/>
  <c r="N103" i="7"/>
  <c r="O103" i="7" s="1"/>
  <c r="P103" i="7" s="1"/>
  <c r="H151" i="36" l="1"/>
  <c r="G169" i="39" s="1"/>
  <c r="M169" i="39" s="1"/>
  <c r="N169" i="39" s="1"/>
  <c r="O169" i="39" s="1"/>
  <c r="P169" i="39" s="1"/>
  <c r="G168" i="7"/>
  <c r="M168" i="7" s="1"/>
  <c r="N167" i="7"/>
  <c r="O167" i="7" s="1"/>
  <c r="P167" i="7" s="1"/>
  <c r="N104" i="7"/>
  <c r="O104" i="7" s="1"/>
  <c r="P104" i="7" s="1"/>
  <c r="N105" i="7"/>
  <c r="O105" i="7" s="1"/>
  <c r="P105" i="7" s="1"/>
  <c r="N168" i="7" l="1"/>
  <c r="O168" i="7" s="1"/>
  <c r="P168" i="7" s="1"/>
  <c r="H152" i="36"/>
  <c r="G170" i="39" s="1"/>
  <c r="M170" i="39" s="1"/>
  <c r="G169" i="7"/>
  <c r="M169" i="7" s="1"/>
  <c r="N106" i="7"/>
  <c r="O106" i="7" s="1"/>
  <c r="P106" i="7" s="1"/>
  <c r="N170" i="39" l="1"/>
  <c r="O170" i="39" s="1"/>
  <c r="P170" i="39" s="1"/>
  <c r="M213" i="39"/>
  <c r="Q213" i="7" s="1"/>
  <c r="E185" i="38" s="1"/>
  <c r="N169" i="7"/>
  <c r="O169" i="7" s="1"/>
  <c r="P169" i="7" s="1"/>
  <c r="J152" i="36"/>
  <c r="H15" i="36" s="1"/>
  <c r="I15" i="36" s="1"/>
  <c r="H153" i="36" s="1"/>
  <c r="G171" i="39" s="1"/>
  <c r="G170" i="7"/>
  <c r="M170" i="7" s="1"/>
  <c r="I152" i="36"/>
  <c r="K14" i="36" s="1"/>
  <c r="L14" i="36" s="1"/>
  <c r="N107" i="7"/>
  <c r="O107" i="7" s="1"/>
  <c r="P107" i="7" s="1"/>
  <c r="M171" i="39" l="1"/>
  <c r="N171" i="39" s="1"/>
  <c r="O171" i="39" s="1"/>
  <c r="P171" i="39" s="1"/>
  <c r="H154" i="36"/>
  <c r="G172" i="39" s="1"/>
  <c r="G171" i="7"/>
  <c r="M171" i="7" s="1"/>
  <c r="N171" i="7" s="1"/>
  <c r="O171" i="7" s="1"/>
  <c r="P171" i="7" s="1"/>
  <c r="N170" i="7"/>
  <c r="O170" i="7" s="1"/>
  <c r="P170" i="7" s="1"/>
  <c r="N108" i="7"/>
  <c r="O108" i="7" s="1"/>
  <c r="P108" i="7" s="1"/>
  <c r="M172" i="39" l="1"/>
  <c r="N172" i="39" s="1"/>
  <c r="O172" i="39" s="1"/>
  <c r="P172" i="39" s="1"/>
  <c r="G172" i="7"/>
  <c r="M172" i="7" s="1"/>
  <c r="N172" i="7" s="1"/>
  <c r="O172" i="7" s="1"/>
  <c r="P172" i="7" s="1"/>
  <c r="H155" i="36"/>
  <c r="G173" i="39" s="1"/>
  <c r="N109" i="7"/>
  <c r="O109" i="7" s="1"/>
  <c r="P109" i="7" s="1"/>
  <c r="M173" i="39" l="1"/>
  <c r="N173" i="39" s="1"/>
  <c r="O173" i="39" s="1"/>
  <c r="P173" i="39" s="1"/>
  <c r="H156" i="36"/>
  <c r="G174" i="39" s="1"/>
  <c r="G173" i="7"/>
  <c r="M173" i="7" s="1"/>
  <c r="N173" i="7" s="1"/>
  <c r="O173" i="7" s="1"/>
  <c r="P173" i="7" s="1"/>
  <c r="N110" i="7"/>
  <c r="O110" i="7" s="1"/>
  <c r="P110" i="7" s="1"/>
  <c r="M208" i="7"/>
  <c r="M174" i="39" l="1"/>
  <c r="N174" i="39" s="1"/>
  <c r="O174" i="39" s="1"/>
  <c r="P174" i="39" s="1"/>
  <c r="R208" i="7"/>
  <c r="C180" i="38"/>
  <c r="G174" i="7"/>
  <c r="M174" i="7" s="1"/>
  <c r="N174" i="7" s="1"/>
  <c r="O174" i="7" s="1"/>
  <c r="P174" i="7" s="1"/>
  <c r="H157" i="36"/>
  <c r="G175" i="39" s="1"/>
  <c r="J5" i="11"/>
  <c r="J6" i="11" s="1"/>
  <c r="C20" i="9"/>
  <c r="N208" i="7"/>
  <c r="O208" i="7" s="1"/>
  <c r="P208" i="7" s="1"/>
  <c r="M175" i="39" l="1"/>
  <c r="N175" i="39" s="1"/>
  <c r="O175" i="39" s="1"/>
  <c r="P175" i="39" s="1"/>
  <c r="D180" i="38"/>
  <c r="F180" i="38"/>
  <c r="H158" i="36"/>
  <c r="G176" i="39" s="1"/>
  <c r="G175" i="7"/>
  <c r="M175" i="7" s="1"/>
  <c r="N175" i="7" s="1"/>
  <c r="O175" i="7" s="1"/>
  <c r="P175" i="7" s="1"/>
  <c r="D20" i="9"/>
  <c r="E20" i="9" s="1"/>
  <c r="N111" i="7"/>
  <c r="O111" i="7" s="1"/>
  <c r="P111" i="7" s="1"/>
  <c r="N112" i="7"/>
  <c r="O112" i="7" s="1"/>
  <c r="P112" i="7" s="1"/>
  <c r="M176" i="39" l="1"/>
  <c r="N176" i="39" s="1"/>
  <c r="O176" i="39" s="1"/>
  <c r="P176" i="39" s="1"/>
  <c r="G324" i="38"/>
  <c r="H324" i="38"/>
  <c r="F324" i="38"/>
  <c r="G71" i="38"/>
  <c r="G128" i="38" s="1"/>
  <c r="C71" i="38"/>
  <c r="C128" i="38" s="1"/>
  <c r="B71" i="38"/>
  <c r="D36" i="38"/>
  <c r="E36" i="38" s="1"/>
  <c r="E71" i="38"/>
  <c r="E128" i="38" s="1"/>
  <c r="D71" i="38"/>
  <c r="D128" i="38" s="1"/>
  <c r="F71" i="38"/>
  <c r="F128" i="38" s="1"/>
  <c r="G180" i="38"/>
  <c r="H159" i="36"/>
  <c r="G177" i="39" s="1"/>
  <c r="G176" i="7"/>
  <c r="M176" i="7" s="1"/>
  <c r="N176" i="7" s="1"/>
  <c r="O176" i="7" s="1"/>
  <c r="P176" i="7" s="1"/>
  <c r="N113" i="7"/>
  <c r="O113" i="7" s="1"/>
  <c r="P113" i="7" s="1"/>
  <c r="M177" i="39" l="1"/>
  <c r="N177" i="39" s="1"/>
  <c r="O177" i="39" s="1"/>
  <c r="P177" i="39" s="1"/>
  <c r="I324" i="38"/>
  <c r="B128" i="38"/>
  <c r="H71" i="38"/>
  <c r="H160" i="36"/>
  <c r="G178" i="39" s="1"/>
  <c r="G177" i="7"/>
  <c r="M177" i="7" s="1"/>
  <c r="N177" i="7" s="1"/>
  <c r="O177" i="7" s="1"/>
  <c r="P177" i="7" s="1"/>
  <c r="N114" i="7"/>
  <c r="O114" i="7" s="1"/>
  <c r="P114" i="7" s="1"/>
  <c r="M178" i="39" l="1"/>
  <c r="N178" i="39" s="1"/>
  <c r="O178" i="39" s="1"/>
  <c r="P178" i="39" s="1"/>
  <c r="H161" i="36"/>
  <c r="G179" i="39" s="1"/>
  <c r="G178" i="7"/>
  <c r="M178" i="7" s="1"/>
  <c r="N178" i="7" s="1"/>
  <c r="O178" i="7" s="1"/>
  <c r="P178" i="7" s="1"/>
  <c r="N115" i="7"/>
  <c r="O115" i="7" s="1"/>
  <c r="P115" i="7" s="1"/>
  <c r="N116" i="7"/>
  <c r="O116" i="7" s="1"/>
  <c r="P116" i="7" s="1"/>
  <c r="M179" i="39" l="1"/>
  <c r="N179" i="39" s="1"/>
  <c r="O179" i="39" s="1"/>
  <c r="P179" i="39" s="1"/>
  <c r="H162" i="36"/>
  <c r="G180" i="39" s="1"/>
  <c r="G179" i="7"/>
  <c r="M179" i="7" s="1"/>
  <c r="N179" i="7" s="1"/>
  <c r="O179" i="7" s="1"/>
  <c r="P179" i="7" s="1"/>
  <c r="N117" i="7"/>
  <c r="O117" i="7" s="1"/>
  <c r="P117" i="7" s="1"/>
  <c r="M180" i="39" l="1"/>
  <c r="N180" i="39" s="1"/>
  <c r="O180" i="39" s="1"/>
  <c r="P180" i="39" s="1"/>
  <c r="H163" i="36"/>
  <c r="G181" i="39" s="1"/>
  <c r="G180" i="7"/>
  <c r="M180" i="7" s="1"/>
  <c r="N180" i="7" s="1"/>
  <c r="O180" i="7" s="1"/>
  <c r="P180" i="7" s="1"/>
  <c r="N118" i="7"/>
  <c r="O118" i="7" s="1"/>
  <c r="P118" i="7" s="1"/>
  <c r="M181" i="39" l="1"/>
  <c r="N181" i="39" s="1"/>
  <c r="O181" i="39" s="1"/>
  <c r="P181" i="39" s="1"/>
  <c r="H164" i="36"/>
  <c r="G182" i="39" s="1"/>
  <c r="M182" i="39" s="1"/>
  <c r="G181" i="7"/>
  <c r="M181" i="7" s="1"/>
  <c r="N181" i="7" s="1"/>
  <c r="O181" i="7" s="1"/>
  <c r="P181" i="7" s="1"/>
  <c r="N119" i="7"/>
  <c r="O119" i="7" s="1"/>
  <c r="P119" i="7" s="1"/>
  <c r="J164" i="36" l="1"/>
  <c r="H16" i="36" s="1"/>
  <c r="I16" i="36" s="1"/>
  <c r="H165" i="36" s="1"/>
  <c r="G183" i="39" s="1"/>
  <c r="G182" i="7"/>
  <c r="M182" i="7" s="1"/>
  <c r="N182" i="7" s="1"/>
  <c r="O182" i="7" s="1"/>
  <c r="P182" i="7" s="1"/>
  <c r="I164" i="36"/>
  <c r="K15" i="36" s="1"/>
  <c r="L15" i="36" s="1"/>
  <c r="N120" i="7"/>
  <c r="O120" i="7" s="1"/>
  <c r="P120" i="7" s="1"/>
  <c r="M214" i="39" l="1"/>
  <c r="Q214" i="7" s="1"/>
  <c r="E186" i="38" s="1"/>
  <c r="N182" i="39"/>
  <c r="O182" i="39" s="1"/>
  <c r="P182" i="39" s="1"/>
  <c r="M214" i="7"/>
  <c r="G183" i="7"/>
  <c r="H166" i="36"/>
  <c r="G184" i="39" s="1"/>
  <c r="N121" i="7"/>
  <c r="O121" i="7" s="1"/>
  <c r="P121" i="7" s="1"/>
  <c r="N214" i="7" l="1"/>
  <c r="O214" i="7" s="1"/>
  <c r="P214" i="7" s="1"/>
  <c r="G224" i="7"/>
  <c r="R214" i="7"/>
  <c r="C186" i="38"/>
  <c r="F186" i="38" s="1"/>
  <c r="Z589" i="38" s="1"/>
  <c r="Y608" i="38" s="1"/>
  <c r="C26" i="9"/>
  <c r="D26" i="9" s="1"/>
  <c r="E26" i="9" s="1"/>
  <c r="P5" i="11"/>
  <c r="P6" i="11" s="1"/>
  <c r="G184" i="7"/>
  <c r="H167" i="36"/>
  <c r="G185" i="39" s="1"/>
  <c r="N122" i="7"/>
  <c r="O122" i="7" s="1"/>
  <c r="P122" i="7" s="1"/>
  <c r="M209" i="7"/>
  <c r="Q470" i="38" l="1"/>
  <c r="Q474" i="38" s="1"/>
  <c r="Q476" i="38" s="1"/>
  <c r="R209" i="7"/>
  <c r="C181" i="38"/>
  <c r="G225" i="7"/>
  <c r="D42" i="38"/>
  <c r="G185" i="7"/>
  <c r="H168" i="36"/>
  <c r="G186" i="39" s="1"/>
  <c r="K5" i="11"/>
  <c r="C21" i="9"/>
  <c r="N209" i="7"/>
  <c r="O209" i="7" s="1"/>
  <c r="P209" i="7" s="1"/>
  <c r="G226" i="7" l="1"/>
  <c r="D181" i="38"/>
  <c r="F181" i="38"/>
  <c r="G186" i="7"/>
  <c r="H169" i="36"/>
  <c r="G187" i="39" s="1"/>
  <c r="D21" i="9"/>
  <c r="E21" i="9" s="1"/>
  <c r="K6" i="11"/>
  <c r="H325" i="38" l="1"/>
  <c r="F325" i="38"/>
  <c r="G325" i="38"/>
  <c r="E72" i="38"/>
  <c r="E129" i="38" s="1"/>
  <c r="G72" i="38"/>
  <c r="G129" i="38" s="1"/>
  <c r="D37" i="38"/>
  <c r="E37" i="38" s="1"/>
  <c r="C72" i="38"/>
  <c r="C129" i="38" s="1"/>
  <c r="F72" i="38"/>
  <c r="F129" i="38" s="1"/>
  <c r="D72" i="38"/>
  <c r="D129" i="38" s="1"/>
  <c r="B72" i="38"/>
  <c r="G181" i="38"/>
  <c r="G227" i="7"/>
  <c r="H170" i="36"/>
  <c r="G188" i="39" s="1"/>
  <c r="G187" i="7"/>
  <c r="N123" i="7"/>
  <c r="O123" i="7" s="1"/>
  <c r="P123" i="7" s="1"/>
  <c r="I325" i="38" l="1"/>
  <c r="B129" i="38"/>
  <c r="H72" i="38"/>
  <c r="G228" i="7"/>
  <c r="H171" i="36"/>
  <c r="G189" i="39" s="1"/>
  <c r="G188" i="7"/>
  <c r="N124" i="7"/>
  <c r="O124" i="7" s="1"/>
  <c r="P124" i="7" s="1"/>
  <c r="G229" i="7" l="1"/>
  <c r="H172" i="36"/>
  <c r="G190" i="39" s="1"/>
  <c r="G189" i="7"/>
  <c r="N125" i="7"/>
  <c r="O125" i="7" s="1"/>
  <c r="P125" i="7" s="1"/>
  <c r="G230" i="7" l="1"/>
  <c r="H173" i="36"/>
  <c r="G191" i="39" s="1"/>
  <c r="G190" i="7"/>
  <c r="N126" i="7"/>
  <c r="O126" i="7" s="1"/>
  <c r="P126" i="7" s="1"/>
  <c r="G231" i="7" l="1"/>
  <c r="H174" i="36"/>
  <c r="G192" i="39" s="1"/>
  <c r="G191" i="7"/>
  <c r="N127" i="7"/>
  <c r="O127" i="7" s="1"/>
  <c r="P127" i="7" s="1"/>
  <c r="G232" i="7" l="1"/>
  <c r="H175" i="36"/>
  <c r="G193" i="39" s="1"/>
  <c r="G192" i="7"/>
  <c r="N128" i="7"/>
  <c r="O128" i="7" s="1"/>
  <c r="P128" i="7" s="1"/>
  <c r="G233" i="7" l="1"/>
  <c r="H176" i="36"/>
  <c r="G194" i="39" s="1"/>
  <c r="G193" i="7"/>
  <c r="N129" i="7"/>
  <c r="O129" i="7" s="1"/>
  <c r="P129" i="7" s="1"/>
  <c r="G198" i="39" l="1"/>
  <c r="G234" i="7"/>
  <c r="G194" i="7"/>
  <c r="J176" i="36"/>
  <c r="I176" i="36"/>
  <c r="K16" i="36" s="1"/>
  <c r="L16" i="36" s="1"/>
  <c r="N130" i="7"/>
  <c r="O130" i="7" s="1"/>
  <c r="P130" i="7" s="1"/>
  <c r="G235" i="7" l="1"/>
  <c r="G198" i="7"/>
  <c r="N131" i="7"/>
  <c r="O131" i="7" s="1"/>
  <c r="P131" i="7" s="1"/>
  <c r="N132" i="7" l="1"/>
  <c r="O132" i="7" s="1"/>
  <c r="P132" i="7" s="1"/>
  <c r="N133" i="7" l="1"/>
  <c r="O133" i="7" s="1"/>
  <c r="P133" i="7" s="1"/>
  <c r="N134" i="7" l="1"/>
  <c r="O134" i="7" s="1"/>
  <c r="P134" i="7" s="1"/>
  <c r="M210" i="7"/>
  <c r="C182" i="38" l="1"/>
  <c r="D182" i="38" s="1"/>
  <c r="C22" i="9"/>
  <c r="D22" i="9" s="1"/>
  <c r="E22" i="9" s="1"/>
  <c r="R210" i="7"/>
  <c r="N136" i="7"/>
  <c r="O136" i="7" s="1"/>
  <c r="P136" i="7" s="1"/>
  <c r="L5" i="11"/>
  <c r="M470" i="38" s="1"/>
  <c r="M471" i="38" s="1"/>
  <c r="N210" i="7"/>
  <c r="O210" i="7" s="1"/>
  <c r="P210" i="7" s="1"/>
  <c r="N135" i="7"/>
  <c r="O135" i="7" s="1"/>
  <c r="P135" i="7" s="1"/>
  <c r="F182" i="38" l="1"/>
  <c r="Z513" i="38" s="1"/>
  <c r="Y532" i="38" s="1"/>
  <c r="Y535" i="38" s="1"/>
  <c r="AC535" i="38" s="1"/>
  <c r="L6" i="11"/>
  <c r="Z516" i="38" l="1"/>
  <c r="Y524" i="38" s="1"/>
  <c r="B73" i="38"/>
  <c r="B130" i="38" s="1"/>
  <c r="H326" i="38"/>
  <c r="G182" i="38"/>
  <c r="Z517" i="38"/>
  <c r="Y525" i="38" s="1"/>
  <c r="E73" i="38"/>
  <c r="E130" i="38" s="1"/>
  <c r="Z518" i="38"/>
  <c r="Y526" i="38" s="1"/>
  <c r="D73" i="38"/>
  <c r="D130" i="38" s="1"/>
  <c r="C73" i="38"/>
  <c r="C130" i="38" s="1"/>
  <c r="Z515" i="38"/>
  <c r="Y523" i="38" s="1"/>
  <c r="Y539" i="38"/>
  <c r="AC539" i="38" s="1"/>
  <c r="D38" i="38"/>
  <c r="E38" i="38" s="1"/>
  <c r="G326" i="38"/>
  <c r="Z520" i="38"/>
  <c r="Y528" i="38" s="1"/>
  <c r="Y534" i="38"/>
  <c r="AC534" i="38" s="1"/>
  <c r="Y536" i="38"/>
  <c r="AC536" i="38" s="1"/>
  <c r="F73" i="38"/>
  <c r="F130" i="38" s="1"/>
  <c r="G73" i="38"/>
  <c r="G130" i="38" s="1"/>
  <c r="F326" i="38"/>
  <c r="Z519" i="38"/>
  <c r="Y527" i="38" s="1"/>
  <c r="Y537" i="38"/>
  <c r="AC537" i="38" s="1"/>
  <c r="Y538" i="38"/>
  <c r="AC538" i="38" s="1"/>
  <c r="N137" i="7"/>
  <c r="O137" i="7" s="1"/>
  <c r="P137" i="7" s="1"/>
  <c r="N138" i="7"/>
  <c r="O138" i="7" s="1"/>
  <c r="P138" i="7" s="1"/>
  <c r="AD516" i="38" l="1"/>
  <c r="AC524" i="38" s="1"/>
  <c r="AD515" i="38"/>
  <c r="AC523" i="38" s="1"/>
  <c r="AD520" i="38"/>
  <c r="AC528" i="38" s="1"/>
  <c r="AD519" i="38"/>
  <c r="AC527" i="38" s="1"/>
  <c r="AD517" i="38"/>
  <c r="AC525" i="38" s="1"/>
  <c r="AD518" i="38"/>
  <c r="AC526" i="38" s="1"/>
  <c r="I326" i="38"/>
  <c r="H73" i="38"/>
  <c r="N139" i="7"/>
  <c r="O139" i="7" s="1"/>
  <c r="P139" i="7" s="1"/>
  <c r="N140" i="7" l="1"/>
  <c r="O140" i="7" s="1"/>
  <c r="P140" i="7" s="1"/>
  <c r="N141" i="7"/>
  <c r="O141" i="7" s="1"/>
  <c r="P141" i="7" s="1"/>
  <c r="N142" i="7" l="1"/>
  <c r="O142" i="7" s="1"/>
  <c r="P142" i="7" s="1"/>
  <c r="N143" i="7" l="1"/>
  <c r="O143" i="7" s="1"/>
  <c r="P143" i="7" s="1"/>
  <c r="N144" i="7" l="1"/>
  <c r="O144" i="7" s="1"/>
  <c r="P144" i="7" s="1"/>
  <c r="N145" i="7" l="1"/>
  <c r="O145" i="7" s="1"/>
  <c r="P145" i="7" s="1"/>
  <c r="P183" i="7" l="1"/>
  <c r="C158" i="38" s="1"/>
  <c r="M211" i="7"/>
  <c r="R211" i="7" l="1"/>
  <c r="C183" i="38"/>
  <c r="C23" i="9"/>
  <c r="N211" i="7"/>
  <c r="O211" i="7" s="1"/>
  <c r="P211" i="7" s="1"/>
  <c r="M5" i="11"/>
  <c r="N470" i="38" s="1"/>
  <c r="N471" i="38" s="1"/>
  <c r="D183" i="38" l="1"/>
  <c r="F183" i="38"/>
  <c r="Z532" i="38" s="1"/>
  <c r="M6" i="11"/>
  <c r="D23" i="9"/>
  <c r="E23" i="9" s="1"/>
  <c r="Y551" i="38" l="1"/>
  <c r="Z538" i="38"/>
  <c r="Z536" i="38"/>
  <c r="Z534" i="38"/>
  <c r="Z539" i="38"/>
  <c r="Z537" i="38"/>
  <c r="Z535" i="38"/>
  <c r="H327" i="38"/>
  <c r="F327" i="38"/>
  <c r="G327" i="38"/>
  <c r="E75" i="38"/>
  <c r="E132" i="38" s="1"/>
  <c r="D75" i="38"/>
  <c r="D132" i="38" s="1"/>
  <c r="F75" i="38"/>
  <c r="F132" i="38" s="1"/>
  <c r="G75" i="38"/>
  <c r="G132" i="38" s="1"/>
  <c r="D39" i="38"/>
  <c r="E39" i="38" s="1"/>
  <c r="C75" i="38"/>
  <c r="C132" i="38" s="1"/>
  <c r="B75" i="38"/>
  <c r="G183" i="38"/>
  <c r="M212" i="7"/>
  <c r="Y545" i="38" l="1"/>
  <c r="AD537" i="38"/>
  <c r="AC545" i="38" s="1"/>
  <c r="Y546" i="38"/>
  <c r="AD538" i="38"/>
  <c r="AC546" i="38" s="1"/>
  <c r="AD539" i="38"/>
  <c r="AC547" i="38" s="1"/>
  <c r="Y547" i="38"/>
  <c r="Y557" i="38"/>
  <c r="AC557" i="38" s="1"/>
  <c r="Y553" i="38"/>
  <c r="AC553" i="38" s="1"/>
  <c r="Y558" i="38"/>
  <c r="AC558" i="38" s="1"/>
  <c r="Y554" i="38"/>
  <c r="AC554" i="38" s="1"/>
  <c r="Y555" i="38"/>
  <c r="AC555" i="38" s="1"/>
  <c r="Y556" i="38"/>
  <c r="AC556" i="38" s="1"/>
  <c r="AD534" i="38"/>
  <c r="AC542" i="38" s="1"/>
  <c r="Y542" i="38"/>
  <c r="Y543" i="38"/>
  <c r="AD535" i="38"/>
  <c r="AC543" i="38" s="1"/>
  <c r="AD536" i="38"/>
  <c r="AC544" i="38" s="1"/>
  <c r="Y544" i="38"/>
  <c r="I327" i="38"/>
  <c r="R212" i="7"/>
  <c r="C184" i="38"/>
  <c r="B132" i="38"/>
  <c r="H75" i="38"/>
  <c r="N212" i="7"/>
  <c r="O212" i="7" s="1"/>
  <c r="P212" i="7" s="1"/>
  <c r="N5" i="11"/>
  <c r="C24" i="9"/>
  <c r="D24" i="9" s="1"/>
  <c r="E24" i="9" s="1"/>
  <c r="O470" i="38" l="1"/>
  <c r="O471" i="38" s="1"/>
  <c r="N6" i="11"/>
  <c r="D184" i="38"/>
  <c r="F184" i="38"/>
  <c r="Z551" i="38" s="1"/>
  <c r="N29" i="11"/>
  <c r="O495" i="38" s="1"/>
  <c r="N34" i="11"/>
  <c r="O500" i="38" s="1"/>
  <c r="N24" i="11"/>
  <c r="O490" i="38" s="1"/>
  <c r="X555" i="38" l="1"/>
  <c r="Z555" i="38" s="1"/>
  <c r="W574" i="38"/>
  <c r="AA574" i="38" s="1"/>
  <c r="O509" i="38"/>
  <c r="X557" i="38"/>
  <c r="Z557" i="38" s="1"/>
  <c r="W576" i="38"/>
  <c r="AA576" i="38" s="1"/>
  <c r="X556" i="38"/>
  <c r="W575" i="38"/>
  <c r="Y570" i="38"/>
  <c r="Z553" i="38"/>
  <c r="Z554" i="38"/>
  <c r="Z558" i="38"/>
  <c r="F328" i="38"/>
  <c r="G328" i="38"/>
  <c r="H328" i="38"/>
  <c r="F76" i="38"/>
  <c r="F133" i="38" s="1"/>
  <c r="E76" i="38"/>
  <c r="E133" i="38" s="1"/>
  <c r="B76" i="38"/>
  <c r="G76" i="38"/>
  <c r="G133" i="38" s="1"/>
  <c r="D40" i="38"/>
  <c r="E40" i="38" s="1"/>
  <c r="D76" i="38"/>
  <c r="D133" i="38" s="1"/>
  <c r="C76" i="38"/>
  <c r="C133" i="38" s="1"/>
  <c r="G184" i="38"/>
  <c r="E16" i="18"/>
  <c r="N47" i="11" s="1"/>
  <c r="N43" i="11"/>
  <c r="AA575" i="38" l="1"/>
  <c r="AB556" i="38"/>
  <c r="AA564" i="38" s="1"/>
  <c r="W564" i="38"/>
  <c r="W565" i="38"/>
  <c r="AB557" i="38"/>
  <c r="AA565" i="38" s="1"/>
  <c r="Z556" i="38"/>
  <c r="Y564" i="38" s="1"/>
  <c r="W563" i="38"/>
  <c r="AB555" i="38"/>
  <c r="AA563" i="38" s="1"/>
  <c r="AD553" i="38"/>
  <c r="AC561" i="38" s="1"/>
  <c r="Y561" i="38"/>
  <c r="AD555" i="38"/>
  <c r="AC563" i="38" s="1"/>
  <c r="Y563" i="38"/>
  <c r="Y566" i="38"/>
  <c r="AD558" i="38"/>
  <c r="AC566" i="38" s="1"/>
  <c r="Y577" i="38"/>
  <c r="AC577" i="38" s="1"/>
  <c r="Y572" i="38"/>
  <c r="AC572" i="38" s="1"/>
  <c r="Y574" i="38"/>
  <c r="AC574" i="38" s="1"/>
  <c r="Y576" i="38"/>
  <c r="AC576" i="38" s="1"/>
  <c r="Y573" i="38"/>
  <c r="AC573" i="38" s="1"/>
  <c r="Y575" i="38"/>
  <c r="AC575" i="38" s="1"/>
  <c r="Y562" i="38"/>
  <c r="AD554" i="38"/>
  <c r="AC562" i="38" s="1"/>
  <c r="AD557" i="38"/>
  <c r="AC565" i="38" s="1"/>
  <c r="Y565" i="38"/>
  <c r="I328" i="38"/>
  <c r="B133" i="38"/>
  <c r="H76" i="38"/>
  <c r="N52" i="11"/>
  <c r="AD556" i="38" l="1"/>
  <c r="AC564" i="38" s="1"/>
  <c r="M213" i="7" l="1"/>
  <c r="M217" i="7" s="1"/>
  <c r="R213" i="7" l="1"/>
  <c r="C185" i="38"/>
  <c r="N213" i="7"/>
  <c r="N217" i="7"/>
  <c r="C25" i="9"/>
  <c r="D25" i="9" s="1"/>
  <c r="E25" i="9" s="1"/>
  <c r="O5" i="11"/>
  <c r="P470" i="38" l="1"/>
  <c r="P471" i="38" s="1"/>
  <c r="O6" i="11"/>
  <c r="D185" i="38"/>
  <c r="F185" i="38"/>
  <c r="Z570" i="38" s="1"/>
  <c r="O213" i="7"/>
  <c r="P213" i="7" s="1"/>
  <c r="Z572" i="38" l="1"/>
  <c r="Z577" i="38"/>
  <c r="Y589" i="38"/>
  <c r="Z573" i="38"/>
  <c r="H329" i="38"/>
  <c r="F329" i="38"/>
  <c r="G329" i="38"/>
  <c r="F77" i="38"/>
  <c r="F134" i="38" s="1"/>
  <c r="G77" i="38"/>
  <c r="G134" i="38" s="1"/>
  <c r="E77" i="38"/>
  <c r="E134" i="38" s="1"/>
  <c r="D41" i="38"/>
  <c r="C77" i="38"/>
  <c r="C134" i="38" s="1"/>
  <c r="D77" i="38"/>
  <c r="D134" i="38" s="1"/>
  <c r="B77" i="38"/>
  <c r="G185" i="38"/>
  <c r="O29" i="11"/>
  <c r="P495" i="38" s="1"/>
  <c r="O24" i="11"/>
  <c r="P490" i="38" s="1"/>
  <c r="O34" i="11"/>
  <c r="P500" i="38" s="1"/>
  <c r="X574" i="38" l="1"/>
  <c r="W593" i="38"/>
  <c r="AA593" i="38" s="1"/>
  <c r="P509" i="38"/>
  <c r="X575" i="38"/>
  <c r="W594" i="38"/>
  <c r="AA594" i="38" s="1"/>
  <c r="W595" i="38"/>
  <c r="AA595" i="38" s="1"/>
  <c r="X576" i="38"/>
  <c r="Y596" i="38"/>
  <c r="AC596" i="38" s="1"/>
  <c r="Y591" i="38"/>
  <c r="AC591" i="38" s="1"/>
  <c r="Y592" i="38"/>
  <c r="AC592" i="38" s="1"/>
  <c r="AD577" i="38"/>
  <c r="AC585" i="38" s="1"/>
  <c r="Y585" i="38"/>
  <c r="Y581" i="38"/>
  <c r="AD573" i="38"/>
  <c r="AC581" i="38" s="1"/>
  <c r="Y580" i="38"/>
  <c r="AD572" i="38"/>
  <c r="AC580" i="38" s="1"/>
  <c r="I329" i="38"/>
  <c r="B134" i="38"/>
  <c r="H77" i="38"/>
  <c r="E41" i="38"/>
  <c r="E42" i="38"/>
  <c r="E17" i="18"/>
  <c r="O47" i="11" s="1"/>
  <c r="O43" i="11"/>
  <c r="Y594" i="38" l="1"/>
  <c r="AC594" i="38" s="1"/>
  <c r="Y593" i="38"/>
  <c r="AC593" i="38" s="1"/>
  <c r="Y595" i="38"/>
  <c r="AC595" i="38" s="1"/>
  <c r="W584" i="38"/>
  <c r="AB576" i="38"/>
  <c r="AA584" i="38" s="1"/>
  <c r="Z576" i="38"/>
  <c r="AB575" i="38"/>
  <c r="AA583" i="38" s="1"/>
  <c r="W583" i="38"/>
  <c r="Z575" i="38"/>
  <c r="W582" i="38"/>
  <c r="AB574" i="38"/>
  <c r="AA582" i="38" s="1"/>
  <c r="Z574" i="38"/>
  <c r="O52" i="11"/>
  <c r="Y583" i="38" l="1"/>
  <c r="AD575" i="38"/>
  <c r="AC583" i="38" s="1"/>
  <c r="Y584" i="38"/>
  <c r="AD576" i="38"/>
  <c r="AC584" i="38" s="1"/>
  <c r="AD574" i="38"/>
  <c r="AC582" i="38" s="1"/>
  <c r="Y582" i="38"/>
  <c r="E80" i="34"/>
  <c r="H66" i="9" l="1"/>
  <c r="H65" i="9"/>
  <c r="H70" i="9" l="1"/>
  <c r="H51" i="9" l="1"/>
  <c r="H73" i="9" s="1"/>
  <c r="B250" i="38" s="1"/>
  <c r="B249" i="38" l="1"/>
  <c r="B300" i="38" s="1"/>
  <c r="H300" i="38" s="1"/>
  <c r="B301" i="38"/>
  <c r="H79" i="9"/>
  <c r="H249" i="38" l="1"/>
  <c r="N42" i="11"/>
  <c r="O42" i="11"/>
  <c r="O51" i="11" l="1"/>
  <c r="N51" i="11"/>
  <c r="E76" i="34" l="1"/>
  <c r="E81" i="34" l="1"/>
  <c r="E78" i="34"/>
  <c r="E77" i="34" l="1"/>
  <c r="C82" i="34"/>
  <c r="L66" i="9"/>
  <c r="L70" i="9" s="1"/>
  <c r="L51" i="9" l="1"/>
  <c r="L73" i="9" l="1"/>
  <c r="S73" i="9" s="1"/>
  <c r="T73" i="9" s="1"/>
  <c r="U73" i="9" s="1"/>
  <c r="Q183" i="7" l="1"/>
  <c r="Q183" i="39"/>
  <c r="L79" i="9"/>
  <c r="N79" i="9" s="1"/>
  <c r="G73" i="9"/>
  <c r="F250" i="38"/>
  <c r="Q184" i="39" l="1"/>
  <c r="M183" i="39"/>
  <c r="F301" i="38"/>
  <c r="H301" i="38" s="1"/>
  <c r="H250" i="38"/>
  <c r="Q184" i="7"/>
  <c r="M183" i="7"/>
  <c r="M224" i="7"/>
  <c r="N85" i="9"/>
  <c r="Q185" i="39" l="1"/>
  <c r="M184" i="39"/>
  <c r="Q185" i="7"/>
  <c r="M184" i="7"/>
  <c r="M225" i="7"/>
  <c r="B303" i="38"/>
  <c r="B309" i="38" s="1"/>
  <c r="Q489" i="38"/>
  <c r="D303" i="38"/>
  <c r="D309" i="38" s="1"/>
  <c r="B354" i="38" s="1"/>
  <c r="Q485" i="38"/>
  <c r="C303" i="38"/>
  <c r="C309" i="38" s="1"/>
  <c r="Q499" i="38"/>
  <c r="F303" i="38"/>
  <c r="F309" i="38" s="1"/>
  <c r="E303" i="38"/>
  <c r="E309" i="38" s="1"/>
  <c r="C354" i="38" s="1"/>
  <c r="Q504" i="38"/>
  <c r="G303" i="38"/>
  <c r="G309" i="38" s="1"/>
  <c r="Q186" i="7" l="1"/>
  <c r="M185" i="7"/>
  <c r="M226" i="7"/>
  <c r="Q186" i="39"/>
  <c r="M185" i="39"/>
  <c r="W611" i="38"/>
  <c r="X592" i="38"/>
  <c r="W615" i="38"/>
  <c r="X596" i="38"/>
  <c r="Q494" i="38"/>
  <c r="H309" i="38"/>
  <c r="C78" i="38"/>
  <c r="C135" i="38" s="1"/>
  <c r="H303" i="38"/>
  <c r="P34" i="11"/>
  <c r="P24" i="11"/>
  <c r="Q490" i="38" s="1"/>
  <c r="G78" i="38"/>
  <c r="G135" i="38" s="1"/>
  <c r="E354" i="38"/>
  <c r="D78" i="38"/>
  <c r="D135" i="38" s="1"/>
  <c r="F78" i="38"/>
  <c r="F135" i="38" s="1"/>
  <c r="Q34" i="11"/>
  <c r="P29" i="11"/>
  <c r="Q481" i="38"/>
  <c r="Q187" i="7" l="1"/>
  <c r="M186" i="7"/>
  <c r="M227" i="7"/>
  <c r="Q187" i="39"/>
  <c r="M186" i="39"/>
  <c r="E78" i="38"/>
  <c r="E135" i="38" s="1"/>
  <c r="AB592" i="38"/>
  <c r="AA600" i="38" s="1"/>
  <c r="W600" i="38"/>
  <c r="Z592" i="38"/>
  <c r="W612" i="38"/>
  <c r="X593" i="38"/>
  <c r="AA611" i="38"/>
  <c r="Y611" i="38"/>
  <c r="AC611" i="38" s="1"/>
  <c r="Z596" i="38"/>
  <c r="W604" i="38"/>
  <c r="AB596" i="38"/>
  <c r="AA604" i="38" s="1"/>
  <c r="W610" i="38"/>
  <c r="X591" i="38"/>
  <c r="AA615" i="38"/>
  <c r="Y615" i="38"/>
  <c r="AC615" i="38" s="1"/>
  <c r="Q508" i="38"/>
  <c r="E18" i="18"/>
  <c r="P47" i="11" s="1"/>
  <c r="Q495" i="38"/>
  <c r="D9" i="34"/>
  <c r="E40" i="34" s="1"/>
  <c r="G40" i="34" s="1"/>
  <c r="R500" i="38"/>
  <c r="X614" i="38" s="1"/>
  <c r="Q500" i="38"/>
  <c r="B78" i="38"/>
  <c r="S34" i="11"/>
  <c r="S35" i="11" s="1"/>
  <c r="P43" i="11"/>
  <c r="Q188" i="39" l="1"/>
  <c r="M187" i="39"/>
  <c r="Q188" i="7"/>
  <c r="M187" i="7"/>
  <c r="M228" i="7"/>
  <c r="W613" i="38"/>
  <c r="X594" i="38"/>
  <c r="Y600" i="38"/>
  <c r="AD592" i="38"/>
  <c r="AC600" i="38" s="1"/>
  <c r="Z591" i="38"/>
  <c r="AB591" i="38"/>
  <c r="AA599" i="38" s="1"/>
  <c r="W599" i="38"/>
  <c r="AD596" i="38"/>
  <c r="AC604" i="38" s="1"/>
  <c r="Y604" i="38"/>
  <c r="Z593" i="38"/>
  <c r="W601" i="38"/>
  <c r="AB593" i="38"/>
  <c r="AA601" i="38" s="1"/>
  <c r="W614" i="38"/>
  <c r="W622" i="38" s="1"/>
  <c r="X595" i="38"/>
  <c r="AB614" i="38"/>
  <c r="Y610" i="38"/>
  <c r="AC610" i="38" s="1"/>
  <c r="AA610" i="38"/>
  <c r="Y612" i="38"/>
  <c r="AC612" i="38" s="1"/>
  <c r="AA612" i="38"/>
  <c r="Q509" i="38"/>
  <c r="E50" i="34"/>
  <c r="G50" i="34" s="1"/>
  <c r="B135" i="38"/>
  <c r="H78" i="38"/>
  <c r="Q189" i="7" l="1"/>
  <c r="M188" i="7"/>
  <c r="M229" i="7"/>
  <c r="Q189" i="39"/>
  <c r="M188" i="39"/>
  <c r="AD593" i="38"/>
  <c r="AC601" i="38" s="1"/>
  <c r="Y601" i="38"/>
  <c r="AB594" i="38"/>
  <c r="AA602" i="38" s="1"/>
  <c r="Z594" i="38"/>
  <c r="W602" i="38"/>
  <c r="Z595" i="38"/>
  <c r="W603" i="38"/>
  <c r="AB595" i="38"/>
  <c r="AA603" i="38" s="1"/>
  <c r="Y613" i="38"/>
  <c r="AC613" i="38" s="1"/>
  <c r="AA613" i="38"/>
  <c r="Y614" i="38"/>
  <c r="AC614" i="38" s="1"/>
  <c r="AA614" i="38"/>
  <c r="AA622" i="38" s="1"/>
  <c r="AD591" i="38"/>
  <c r="AC599" i="38" s="1"/>
  <c r="Y599" i="38"/>
  <c r="Q190" i="7" l="1"/>
  <c r="M189" i="7"/>
  <c r="M230" i="7"/>
  <c r="Q190" i="39"/>
  <c r="M189" i="39"/>
  <c r="AD595" i="38"/>
  <c r="AC603" i="38" s="1"/>
  <c r="Y603" i="38"/>
  <c r="Y602" i="38"/>
  <c r="AD594" i="38"/>
  <c r="AC602" i="38" s="1"/>
  <c r="E79" i="34"/>
  <c r="E82" i="34" s="1"/>
  <c r="C93" i="34" s="1"/>
  <c r="Q191" i="7" l="1"/>
  <c r="M190" i="7"/>
  <c r="M231" i="7"/>
  <c r="Q191" i="39"/>
  <c r="M190" i="39"/>
  <c r="Q192" i="39" l="1"/>
  <c r="M191" i="39"/>
  <c r="Q192" i="7"/>
  <c r="M191" i="7"/>
  <c r="M232" i="7"/>
  <c r="Q193" i="7" l="1"/>
  <c r="M192" i="7"/>
  <c r="M233" i="7"/>
  <c r="Q193" i="39"/>
  <c r="M192" i="39"/>
  <c r="Q194" i="39" l="1"/>
  <c r="M194" i="39" s="1"/>
  <c r="M193" i="39"/>
  <c r="Q194" i="7"/>
  <c r="M193" i="7"/>
  <c r="M234" i="7"/>
  <c r="M194" i="7" l="1"/>
  <c r="M235" i="7"/>
  <c r="N235" i="7" s="1"/>
  <c r="C188" i="38" s="1"/>
  <c r="E188" i="38" s="1"/>
  <c r="F188" i="38" s="1"/>
  <c r="M198" i="39"/>
  <c r="M215" i="39"/>
  <c r="Q215" i="7" s="1"/>
  <c r="E187" i="38" l="1"/>
  <c r="M215" i="7"/>
  <c r="M198" i="7"/>
  <c r="C187" i="38" l="1"/>
  <c r="F187" i="38" s="1"/>
  <c r="Z608" i="38" s="1"/>
  <c r="Z614" i="38" s="1"/>
  <c r="C27" i="9"/>
  <c r="G27" i="9" s="1"/>
  <c r="Q5" i="11"/>
  <c r="M219" i="7"/>
  <c r="N219" i="7" s="1"/>
  <c r="R215" i="7"/>
  <c r="Q8" i="11" l="1"/>
  <c r="R470" i="38"/>
  <c r="R474" i="38" s="1"/>
  <c r="R476" i="38" s="1"/>
  <c r="Q10" i="11"/>
  <c r="D43" i="38" s="1"/>
  <c r="E43" i="38" s="1"/>
  <c r="G76" i="9"/>
  <c r="AD614" i="38"/>
  <c r="AC622" i="38" s="1"/>
  <c r="Y622" i="38"/>
  <c r="G79" i="9" l="1"/>
  <c r="H82" i="9" l="1"/>
  <c r="M82" i="9"/>
  <c r="L82" i="9"/>
  <c r="J82" i="9"/>
  <c r="K82" i="9"/>
  <c r="I82" i="9"/>
  <c r="J76" i="9" l="1"/>
  <c r="D304" i="38"/>
  <c r="D310" i="38" s="1"/>
  <c r="B355" i="38" s="1"/>
  <c r="E355" i="38" s="1"/>
  <c r="I76" i="9"/>
  <c r="Q19" i="11" s="1"/>
  <c r="C304" i="38"/>
  <c r="C310" i="38" s="1"/>
  <c r="L76" i="9"/>
  <c r="Q33" i="11" s="1"/>
  <c r="F304" i="38"/>
  <c r="F310" i="38" s="1"/>
  <c r="M76" i="9"/>
  <c r="Q38" i="11" s="1"/>
  <c r="G304" i="38"/>
  <c r="G310" i="38" s="1"/>
  <c r="K76" i="9"/>
  <c r="E304" i="38"/>
  <c r="E310" i="38" s="1"/>
  <c r="C355" i="38" s="1"/>
  <c r="B304" i="38"/>
  <c r="H76" i="9"/>
  <c r="N82" i="9"/>
  <c r="Q15" i="11" l="1"/>
  <c r="N76" i="9"/>
  <c r="B310" i="38"/>
  <c r="H310" i="38" s="1"/>
  <c r="H304" i="38"/>
  <c r="R485" i="38"/>
  <c r="X611" i="38" s="1"/>
  <c r="C6" i="34"/>
  <c r="S19" i="11"/>
  <c r="S20" i="11" s="1"/>
  <c r="C79" i="38"/>
  <c r="C136" i="38" s="1"/>
  <c r="R504" i="38"/>
  <c r="X615" i="38" s="1"/>
  <c r="S38" i="11"/>
  <c r="S39" i="11" s="1"/>
  <c r="G79" i="38"/>
  <c r="G136" i="38" s="1"/>
  <c r="C10" i="34"/>
  <c r="Q28" i="11"/>
  <c r="C19" i="18"/>
  <c r="Q29" i="11" s="1"/>
  <c r="R499" i="38"/>
  <c r="F79" i="38"/>
  <c r="F136" i="38" s="1"/>
  <c r="C9" i="34"/>
  <c r="Q23" i="11"/>
  <c r="B19" i="18"/>
  <c r="C21" i="34" l="1"/>
  <c r="E21" i="34" s="1"/>
  <c r="Q24" i="11"/>
  <c r="E19" i="18"/>
  <c r="Q47" i="11" s="1"/>
  <c r="D8" i="34"/>
  <c r="E39" i="34" s="1"/>
  <c r="R495" i="38"/>
  <c r="X613" i="38" s="1"/>
  <c r="S29" i="11"/>
  <c r="S30" i="11" s="1"/>
  <c r="C17" i="34"/>
  <c r="E17" i="34" s="1"/>
  <c r="Q46" i="11"/>
  <c r="O76" i="9"/>
  <c r="Q76" i="9" s="1"/>
  <c r="R489" i="38"/>
  <c r="D79" i="38"/>
  <c r="D136" i="38" s="1"/>
  <c r="C7" i="34"/>
  <c r="C20" i="34"/>
  <c r="E20" i="34" s="1"/>
  <c r="C30" i="34"/>
  <c r="E30" i="34" s="1"/>
  <c r="G30" i="34" s="1"/>
  <c r="R494" i="38"/>
  <c r="C8" i="34"/>
  <c r="E79" i="38"/>
  <c r="E136" i="38" s="1"/>
  <c r="AB615" i="38"/>
  <c r="AA623" i="38" s="1"/>
  <c r="Z615" i="38"/>
  <c r="W623" i="38"/>
  <c r="AB611" i="38"/>
  <c r="AA619" i="38" s="1"/>
  <c r="Z611" i="38"/>
  <c r="W619" i="38"/>
  <c r="R481" i="38"/>
  <c r="S15" i="11"/>
  <c r="S16" i="11" s="1"/>
  <c r="Q42" i="11"/>
  <c r="Q54" i="11"/>
  <c r="C5" i="34"/>
  <c r="B79" i="38"/>
  <c r="Q51" i="11" l="1"/>
  <c r="C31" i="34"/>
  <c r="E31" i="34" s="1"/>
  <c r="G31" i="34" s="1"/>
  <c r="AD611" i="38"/>
  <c r="AC619" i="38" s="1"/>
  <c r="Y619" i="38"/>
  <c r="G17" i="34"/>
  <c r="H79" i="38"/>
  <c r="B136" i="38"/>
  <c r="G20" i="34"/>
  <c r="E60" i="34"/>
  <c r="C11" i="34"/>
  <c r="C16" i="34"/>
  <c r="C26" i="34" s="1"/>
  <c r="R508" i="38"/>
  <c r="X610" i="38"/>
  <c r="C19" i="34"/>
  <c r="E19" i="34" s="1"/>
  <c r="C18" i="34"/>
  <c r="E18" i="34" s="1"/>
  <c r="W621" i="38"/>
  <c r="Z613" i="38"/>
  <c r="AB613" i="38"/>
  <c r="AA621" i="38" s="1"/>
  <c r="E41" i="34"/>
  <c r="R490" i="38"/>
  <c r="S24" i="11"/>
  <c r="S25" i="11" s="1"/>
  <c r="S42" i="11" s="1"/>
  <c r="Q43" i="11"/>
  <c r="Q52" i="11" s="1"/>
  <c r="D7" i="34"/>
  <c r="AD615" i="38"/>
  <c r="AC623" i="38" s="1"/>
  <c r="Y623" i="38"/>
  <c r="C27" i="34"/>
  <c r="E27" i="34" s="1"/>
  <c r="G27" i="34" s="1"/>
  <c r="E49" i="34"/>
  <c r="G49" i="34" s="1"/>
  <c r="G39" i="34"/>
  <c r="G21" i="34"/>
  <c r="E61" i="34"/>
  <c r="E26" i="34" l="1"/>
  <c r="X612" i="38"/>
  <c r="R509" i="38"/>
  <c r="G18" i="34"/>
  <c r="E38" i="34"/>
  <c r="D11" i="34"/>
  <c r="AD613" i="38"/>
  <c r="AC621" i="38" s="1"/>
  <c r="Y621" i="38"/>
  <c r="C29" i="34"/>
  <c r="E29" i="34" s="1"/>
  <c r="G29" i="34" s="1"/>
  <c r="E57" i="34"/>
  <c r="G19" i="34"/>
  <c r="E16" i="34"/>
  <c r="C22" i="34"/>
  <c r="C28" i="34"/>
  <c r="E28" i="34" s="1"/>
  <c r="G28" i="34" s="1"/>
  <c r="Z610" i="38"/>
  <c r="W618" i="38"/>
  <c r="AB610" i="38"/>
  <c r="AA618" i="38" s="1"/>
  <c r="G61" i="34"/>
  <c r="E71" i="34"/>
  <c r="G71" i="34" s="1"/>
  <c r="E51" i="34"/>
  <c r="G51" i="34" s="1"/>
  <c r="G41" i="34"/>
  <c r="E70" i="34"/>
  <c r="G70" i="34" s="1"/>
  <c r="G60" i="34"/>
  <c r="E37" i="34"/>
  <c r="G57" i="34" l="1"/>
  <c r="E67" i="34"/>
  <c r="G67" i="34" s="1"/>
  <c r="G37" i="34"/>
  <c r="E47" i="34"/>
  <c r="G47" i="34" s="1"/>
  <c r="G16" i="34"/>
  <c r="G22" i="34" s="1"/>
  <c r="E22" i="34"/>
  <c r="E56" i="34"/>
  <c r="Z612" i="38"/>
  <c r="AB612" i="38"/>
  <c r="AA620" i="38" s="1"/>
  <c r="W620" i="38"/>
  <c r="Y618" i="38"/>
  <c r="AD610" i="38"/>
  <c r="AC618" i="38" s="1"/>
  <c r="E59" i="34"/>
  <c r="E58" i="34"/>
  <c r="E36" i="34"/>
  <c r="G26" i="34"/>
  <c r="G32" i="34" s="1"/>
  <c r="E32" i="34"/>
  <c r="G38" i="34"/>
  <c r="E48" i="34"/>
  <c r="G48" i="34" s="1"/>
  <c r="C32" i="34"/>
  <c r="C87" i="34" l="1"/>
  <c r="AD612" i="38"/>
  <c r="AC620" i="38" s="1"/>
  <c r="Y620" i="38"/>
  <c r="E46" i="34"/>
  <c r="G46" i="34" s="1"/>
  <c r="G52" i="34" s="1"/>
  <c r="C90" i="34" s="1"/>
  <c r="G36" i="34"/>
  <c r="G42" i="34" s="1"/>
  <c r="C89" i="34" s="1"/>
  <c r="G56" i="34"/>
  <c r="E66" i="34"/>
  <c r="E62" i="34"/>
  <c r="G58" i="34"/>
  <c r="E68" i="34"/>
  <c r="G68" i="34" s="1"/>
  <c r="G59" i="34"/>
  <c r="E69" i="34"/>
  <c r="G69" i="34" s="1"/>
  <c r="G66" i="34" l="1"/>
  <c r="G72" i="34" s="1"/>
  <c r="C91" i="34" s="1"/>
  <c r="E72" i="34"/>
  <c r="G62" i="34"/>
  <c r="C88" i="34" s="1"/>
  <c r="C94" i="34" l="1"/>
</calcChain>
</file>

<file path=xl/comments1.xml><?xml version="1.0" encoding="utf-8"?>
<comments xmlns="http://schemas.openxmlformats.org/spreadsheetml/2006/main">
  <authors>
    <author>Andrew Belsito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2013 Descision and 2013 Chp 2 Appendices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</commentList>
</comments>
</file>

<file path=xl/comments2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3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4.xml><?xml version="1.0" encoding="utf-8"?>
<comments xmlns="http://schemas.openxmlformats.org/spreadsheetml/2006/main">
  <authors>
    <author>Andrew Belsito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Rate Classes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Not uplifted Billed kWh or kW - read at meter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Removed Traffic Lights Consumption
</t>
        </r>
      </text>
    </comment>
    <comment ref="H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J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</commentList>
</comments>
</file>

<file path=xl/comments5.xml><?xml version="1.0" encoding="utf-8"?>
<comments xmlns="http://schemas.openxmlformats.org/spreadsheetml/2006/main">
  <authors>
    <author>Andrew Belsito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Yearly Average customers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Devices from 2003-2016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 for 2017 &amp; 2018
</t>
        </r>
      </text>
    </comment>
  </commentList>
</comments>
</file>

<file path=xl/comments6.xml><?xml version="1.0" encoding="utf-8"?>
<comments xmlns="http://schemas.openxmlformats.org/spreadsheetml/2006/main">
  <authors>
    <author>Andrew Belsito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Converts kwh to kW's for these classes
</t>
        </r>
      </text>
    </comment>
  </commentList>
</comments>
</file>

<file path=xl/sharedStrings.xml><?xml version="1.0" encoding="utf-8"?>
<sst xmlns="http://schemas.openxmlformats.org/spreadsheetml/2006/main" count="946" uniqueCount="324">
  <si>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</si>
  <si>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</si>
  <si>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</si>
  <si>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</si>
  <si>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</si>
  <si>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</si>
  <si>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</si>
  <si>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</si>
  <si>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</si>
  <si>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</si>
  <si>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</si>
  <si>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</si>
  <si>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</si>
  <si>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</si>
  <si>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</si>
  <si>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</si>
  <si>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</si>
  <si>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</si>
  <si>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</si>
  <si>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Check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</si>
  <si>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</si>
  <si>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</si>
  <si>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</si>
  <si>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</si>
  <si>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</si>
  <si>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</si>
  <si>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</si>
  <si>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</si>
  <si>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</si>
  <si>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</si>
  <si>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</si>
  <si>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</si>
  <si>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</si>
  <si>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</si>
  <si>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</si>
  <si>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</si>
  <si>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</si>
  <si>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</si>
  <si>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</si>
  <si>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</si>
  <si>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</si>
  <si>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</si>
  <si>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</si>
  <si>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</si>
  <si>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</si>
  <si>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</si>
  <si>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</si>
  <si>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</si>
  <si>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</si>
  <si>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</si>
  <si>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</si>
  <si>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</si>
  <si>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</si>
  <si>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</si>
  <si>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</si>
  <si>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</si>
  <si>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</si>
  <si>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</si>
  <si>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</si>
  <si>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</si>
  <si>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</si>
  <si>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</si>
  <si>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</si>
  <si>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</si>
  <si>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</si>
  <si>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Purchased kWh</t>
  </si>
  <si>
    <t>Street Lights</t>
  </si>
  <si>
    <t>Weather Normal</t>
  </si>
  <si>
    <t>Total Annual CDM Results</t>
  </si>
  <si>
    <t>Increase over previous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</si>
  <si>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</si>
  <si>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</si>
  <si>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</si>
  <si>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</si>
  <si>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</si>
  <si>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</si>
  <si>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</si>
  <si>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</si>
  <si>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</si>
  <si>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</si>
  <si>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</si>
  <si>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</si>
  <si>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</si>
  <si>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</si>
  <si>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</si>
  <si>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</si>
  <si>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</si>
  <si>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</si>
  <si>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</si>
  <si>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</si>
  <si>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</si>
  <si>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</si>
  <si>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</si>
  <si>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</si>
  <si>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</si>
  <si>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</si>
  <si>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</si>
  <si>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</si>
  <si>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</si>
  <si>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</si>
  <si>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</si>
  <si>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</si>
  <si>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Number of Customers</t>
  </si>
  <si>
    <t>% Variance (Abs)</t>
  </si>
  <si>
    <t>Mean Average Percent Error</t>
  </si>
  <si>
    <t>CDM</t>
  </si>
  <si>
    <t xml:space="preserve">2008 Actual </t>
  </si>
  <si>
    <t xml:space="preserve">2010 Actual </t>
  </si>
  <si>
    <t xml:space="preserve">2011 Actual 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</si>
  <si>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</si>
  <si>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</si>
  <si>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</si>
  <si>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</si>
  <si>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</si>
  <si>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CDM Activity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</si>
  <si>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</si>
  <si>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</si>
  <si>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</si>
  <si>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</si>
  <si>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</si>
  <si>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</si>
  <si>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</si>
  <si>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</si>
  <si>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</si>
  <si>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</si>
  <si>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</si>
  <si>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</si>
  <si>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</si>
  <si>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</si>
  <si>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</si>
  <si>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</si>
  <si>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</si>
  <si>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4751 - Smart Metering Entity charge</t>
  </si>
  <si>
    <t>General Service &lt; 50 kW</t>
  </si>
  <si>
    <t xml:space="preserve">2013 Actual </t>
  </si>
  <si>
    <t xml:space="preserve">2014 Actual </t>
  </si>
  <si>
    <t>Regional Employment (000's)</t>
  </si>
  <si>
    <t>Regional Unemployment (000's)</t>
  </si>
  <si>
    <t>Weather Normal Projection</t>
  </si>
  <si>
    <t>Residential</t>
  </si>
  <si>
    <t>USL</t>
  </si>
  <si>
    <t>Sentinel Lights</t>
  </si>
  <si>
    <t>Check totals above should be zero</t>
  </si>
  <si>
    <t>Year</t>
  </si>
  <si>
    <t>Growth 
(GWh)</t>
  </si>
  <si>
    <t>Customer/
Connection
Count</t>
  </si>
  <si>
    <t xml:space="preserve">Growth </t>
  </si>
  <si>
    <t>Billed Energy (GWh) and Customer Count / Connections</t>
  </si>
  <si>
    <t>Sentinel Lighting</t>
  </si>
  <si>
    <t xml:space="preserve">Unmetered Scattered Load </t>
  </si>
  <si>
    <t>Number of Customers/Connections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</si>
  <si>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</si>
  <si>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</si>
  <si>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</si>
  <si>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</si>
  <si>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</si>
  <si>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</si>
  <si>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</si>
  <si>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</si>
  <si>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Non-normalized Weather Billed Energy Forecast (GWh)</t>
  </si>
  <si>
    <t>Weather Normalized Billed Energy Forecast (GWh)</t>
  </si>
  <si>
    <t>Billed Annual kW</t>
  </si>
  <si>
    <t>Variance</t>
  </si>
  <si>
    <t>res</t>
  </si>
  <si>
    <t>&lt;50</t>
  </si>
  <si>
    <t>&gt;50</t>
  </si>
  <si>
    <t>Sent</t>
  </si>
  <si>
    <t>SL</t>
  </si>
  <si>
    <t>Q1</t>
  </si>
  <si>
    <t>Q2</t>
  </si>
  <si>
    <t>Q3</t>
  </si>
  <si>
    <t>Q4</t>
  </si>
  <si>
    <t xml:space="preserve">From OEB RRR </t>
  </si>
  <si>
    <t>Cost of Power 2018</t>
  </si>
  <si>
    <t>2015 Actual</t>
  </si>
  <si>
    <t>2016 Actual</t>
  </si>
  <si>
    <t>2018 Test Weather Normal</t>
  </si>
  <si>
    <t>Current Rates Effective May 1, 2017</t>
  </si>
  <si>
    <t>Distribution Revenue at Current Rates</t>
  </si>
  <si>
    <t>2017  Loss Factor</t>
  </si>
  <si>
    <t>2018 Forecasted Metered kWhs</t>
  </si>
  <si>
    <t>2018 %RPP</t>
  </si>
  <si>
    <t>Smart Meter Entity Charge</t>
  </si>
  <si>
    <t>Customers</t>
  </si>
  <si>
    <t>Total IESO/OPA Annual CDM Results 2011 to 2014 programs</t>
  </si>
  <si>
    <t>PUC  Load Forecast for 2018 Rate Application</t>
  </si>
  <si>
    <t>First Year Results</t>
  </si>
  <si>
    <t>2017 Programs</t>
  </si>
  <si>
    <t>2018 Programs</t>
  </si>
  <si>
    <t>2013 Board Approved</t>
  </si>
  <si>
    <t xml:space="preserve">Transformer Ownership Allowance </t>
  </si>
  <si>
    <t>Rseidential</t>
  </si>
  <si>
    <t>GS &lt; 50 kW</t>
  </si>
  <si>
    <t>GS &gt; 50 kW</t>
  </si>
  <si>
    <t>2018 Load Forecast</t>
  </si>
  <si>
    <t>2018  Loss Factor</t>
  </si>
  <si>
    <t>Table 3-2: Summary of Load and Customer/Connection Forecast</t>
  </si>
  <si>
    <t>Billed 
Actual
(GWh)</t>
  </si>
  <si>
    <t>Billed 
Weather 
Normal
(GWh)</t>
  </si>
  <si>
    <t>2017 Bridge</t>
  </si>
  <si>
    <t>2018 Test</t>
  </si>
  <si>
    <t>Table 3-3 Billed Energy by Rate Class</t>
  </si>
  <si>
    <t>Billed Energy (GWh) - Actual</t>
  </si>
  <si>
    <t>Billed Energy (GWh) - Weather Normal</t>
  </si>
  <si>
    <t>Actual Annual Energy Usage per Customer/Connection (kWh per customer/connection)</t>
  </si>
  <si>
    <t>Normalized Annual Energy Usage per Customer/Connection (kWh per customer/connection)</t>
  </si>
  <si>
    <t>Predicted 
Weather 
Normal</t>
  </si>
  <si>
    <t>Weather 
Normal Conversion 
Factor</t>
  </si>
  <si>
    <t>Actual 
Weather 
Normal</t>
  </si>
  <si>
    <t>Total Including Persistence</t>
  </si>
  <si>
    <t>2018 Test - kWh</t>
  </si>
  <si>
    <t>2018 Test - kW Annual</t>
  </si>
  <si>
    <t>2018 Test - kW Monthly</t>
  </si>
  <si>
    <t>Weather Adjustment (GWh)</t>
  </si>
  <si>
    <t>CDM Adjustment (GWh)</t>
  </si>
  <si>
    <t>Actual</t>
  </si>
  <si>
    <t>Billing Quantiites</t>
  </si>
  <si>
    <t>Customers / 
Connections</t>
  </si>
  <si>
    <t>Units</t>
  </si>
  <si>
    <t>Annual Usage Per Customer / Connection</t>
  </si>
  <si>
    <t>Annual Usage Per Customer / Connection Weather Normal</t>
  </si>
  <si>
    <t xml:space="preserve">Weather </t>
  </si>
  <si>
    <t xml:space="preserve">Normal Conversion </t>
  </si>
  <si>
    <t>Factor</t>
  </si>
  <si>
    <t>Total Annual CDM Results  (kWh)</t>
  </si>
  <si>
    <t>OPA Annual CDM Final Results 2006 to 2010 programs (kWh)</t>
  </si>
  <si>
    <t>IESO Annual Final CDM Results 2015 programs  (kWh)</t>
  </si>
  <si>
    <t>IESO Annual Final CDM Results 2016 programs  (kWh)</t>
  </si>
  <si>
    <t>OPA/IESO Annual CDM Final Results 2011 to 2014 programs  (kWh)</t>
  </si>
  <si>
    <t>2018 - 20 year trend</t>
  </si>
  <si>
    <t>Geometric Mean</t>
  </si>
  <si>
    <t>Forecast Number of Customers/Connections</t>
  </si>
  <si>
    <t xml:space="preserve">Annual kWh Usage Per Customer/Connection </t>
  </si>
  <si>
    <t>Forecast Annual kWh Usage per Customers/Connection</t>
  </si>
  <si>
    <t>NON-normalized Weather Billed Energy Forecast (GWh)</t>
  </si>
  <si>
    <t>Weather Sensitivity</t>
  </si>
  <si>
    <t>Table 3-5: Annual Usage by Rate Class</t>
  </si>
  <si>
    <t>Table 3-6: CDM Activity Variable Supporting Data</t>
  </si>
  <si>
    <t>Table 3-7: Statistcial Results</t>
  </si>
  <si>
    <t xml:space="preserve">Table 3-8: Total System Purchases </t>
  </si>
  <si>
    <t>Table 3-9: Historical Customer/Connection Data</t>
  </si>
  <si>
    <t>Table 3-10: Growth Rate in Customer/Connections</t>
  </si>
  <si>
    <t>Table 3-11: Customer/Connection Forecast</t>
  </si>
  <si>
    <t>Table 3-12: 2016 Actual Annual Usage per Customer</t>
  </si>
  <si>
    <t>Table 3-13: Forecast Annual kWh Usage per Customer/Connection</t>
  </si>
  <si>
    <t>Table 3-14: Non-normalized Weather Billed Energy Forecast</t>
  </si>
  <si>
    <t>Table 3-15: Weather Sensitivity by Rate Class</t>
  </si>
  <si>
    <t>Table 3-16: 2017-2018 Expected Full Year Total kWh Savings</t>
  </si>
  <si>
    <t>Table 3-17: 2017-2018 Expected Full Year Residential kWh Savings</t>
  </si>
  <si>
    <t>Table 3-18: 2017-2018 Expected Full Year GS &lt; 50 KW kWh Savings</t>
  </si>
  <si>
    <t>Table 3-19: 2017-2018 Expected Full Year GS &gt; 50 KW kWh Savings</t>
  </si>
  <si>
    <t>Table 3-20: Manual CDM Adjustment by Rate Class (kWh)</t>
  </si>
  <si>
    <t>Table 3-21: 2017 Expected CDM Savings by Rate Class for LRAM Variance Account</t>
  </si>
  <si>
    <t>Table 3-4: Number of Customers/Connections</t>
  </si>
  <si>
    <t xml:space="preserve">Table 3-22: Alignment of Non-normal to Weather Normal Forecast </t>
  </si>
  <si>
    <t>Table 3-23: Historical Annual kW per Applicable Rate Class</t>
  </si>
  <si>
    <t>Ratio of kW to kWh</t>
  </si>
  <si>
    <t>Used for Forecast</t>
  </si>
  <si>
    <t>Predicted Billed kW</t>
  </si>
  <si>
    <t>Table 3-24: Historical kW/kWh Ratio per Applicable Rate Class</t>
  </si>
  <si>
    <t>Table 3-25: kW Forecast by Applicable Rate Class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</si>
  <si>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</si>
  <si>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</si>
  <si>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</si>
  <si>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</si>
  <si>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</si>
  <si>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</si>
  <si>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  classes</t>
  </si>
  <si>
    <t xml:space="preserve">  Connections </t>
  </si>
  <si>
    <t>Table 3-28: Comparison 2013 Board Approved to 2013 Actual</t>
  </si>
  <si>
    <t>2013 Actual</t>
  </si>
  <si>
    <t>Volume Weather Normal</t>
  </si>
  <si>
    <t>Table 3-30: Comparison 2013 Actual to 2014 Actual</t>
  </si>
  <si>
    <t>2014 Actual</t>
  </si>
  <si>
    <t>Table 3-32: Comparison 2014 Actual to 2015 Actual</t>
  </si>
  <si>
    <t>Table 3-34: Comparison 2015 Actual to 2016 Actual</t>
  </si>
  <si>
    <t>Table 3-36: Comparison 2016 Actual to 2017 Bridge</t>
  </si>
  <si>
    <t>Table 3-38: Comparison 2017 Bridge to 2018 Test</t>
  </si>
  <si>
    <t>Street Light Adj</t>
  </si>
  <si>
    <t>Avereage Street Light Volume from 2003 to 20116</t>
  </si>
  <si>
    <t>Montly Adjustment</t>
  </si>
  <si>
    <t>Total OPA Annual CDM Results 2006 to 2010 programs</t>
  </si>
  <si>
    <t>Total IESO Annual CDM Results 2015 programs</t>
  </si>
  <si>
    <t>Total IESO Annual CDM Results 2016 programs</t>
  </si>
  <si>
    <t>Reflects 2017 actual</t>
  </si>
  <si>
    <t>Average 2003 to 2016</t>
  </si>
  <si>
    <t>Table 3-1: Summary of Operating Revenue</t>
  </si>
  <si>
    <t>2018 Test at Current Rates</t>
  </si>
  <si>
    <t>2018 Test at Proposed Rates</t>
  </si>
  <si>
    <t>General Service &lt;50 kW</t>
  </si>
  <si>
    <t>Street Lighting</t>
  </si>
  <si>
    <t>Unmetered Scattered Load</t>
  </si>
  <si>
    <t>Late Payment Charges</t>
  </si>
  <si>
    <t>Miscellaneous Service Revenue</t>
  </si>
  <si>
    <t>Other Operating Revenues</t>
  </si>
  <si>
    <t>Other Income or Deductions</t>
  </si>
  <si>
    <t>Grand Total</t>
  </si>
  <si>
    <t>Distribution Throughput Revenue</t>
  </si>
  <si>
    <t>Table 3-27: Distribution Revenue - 2013 Board Approved vs 2013 Actual</t>
  </si>
  <si>
    <t>Difference $</t>
  </si>
  <si>
    <t>Difference %</t>
  </si>
  <si>
    <t>Table 3-29: Distribution Revenue - 2013 Actual vs 2014 Actual</t>
  </si>
  <si>
    <t>Table 3-31: Distribution Revenue - 2014 Actual vs 2015 Actual</t>
  </si>
  <si>
    <t>Table 3-33: Distribution Revenue - 2015 Actual vs 2016 Actual</t>
  </si>
  <si>
    <t>Table 3-35: Distribution Revenue - 2016 Actual vs 2017 Bridge</t>
  </si>
  <si>
    <t>Table 3-37: Distribution Revenue - 2017 Bridge vs 2018 Test</t>
  </si>
  <si>
    <t>Table 3-41: Comparison 2013 Board Approved to 2013 Actual</t>
  </si>
  <si>
    <t>Other Distribution Revenue</t>
  </si>
  <si>
    <t>Specific Service Charges</t>
  </si>
  <si>
    <t>Table 3-42: Comparison 2013 Actual to 2014 Actual</t>
  </si>
  <si>
    <t>Table 3-43: Comparison 2014 Actual to 2015 Actual</t>
  </si>
  <si>
    <t>Table 3-44: Comparison 2015 Actual to 2016 Actual</t>
  </si>
  <si>
    <t>Table 3-45: Comparison 2016 Actual to 2017 Bridge</t>
  </si>
  <si>
    <t>Table 3-46: Comparison 2017 Bridge to 2018 Test</t>
  </si>
  <si>
    <t>Smart meter &amp; LRAM riders</t>
  </si>
  <si>
    <t>Total Distribution</t>
  </si>
  <si>
    <t xml:space="preserve">Table 3-26: Forecast Summary </t>
  </si>
  <si>
    <t>General Service 50 to 4,999 kW</t>
  </si>
  <si>
    <r>
      <t>General Service</t>
    </r>
    <r>
      <rPr>
        <b/>
        <sz val="10.199999999999999"/>
        <rFont val="Times New Roman"/>
        <family val="1"/>
      </rPr>
      <t xml:space="preserve"> </t>
    </r>
    <r>
      <rPr>
        <b/>
        <sz val="12"/>
        <rFont val="Times New Roman"/>
        <family val="1"/>
      </rPr>
      <t>50 to 4,999 kW</t>
    </r>
  </si>
  <si>
    <r>
      <t xml:space="preserve">General Service </t>
    </r>
    <r>
      <rPr>
        <sz val="10"/>
        <rFont val="Calibri"/>
        <family val="2"/>
      </rPr>
      <t>50 to 4,999 kW</t>
    </r>
  </si>
  <si>
    <t>Total to 2017</t>
  </si>
  <si>
    <t>2017 Actual</t>
  </si>
  <si>
    <t>PUC Distribution Inc. Weather Normal Load Forecast for 2018 Rate Application</t>
  </si>
  <si>
    <t>Total IESO Annual CDM Results 2017 programs 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</si>
</sst>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0.0000"/>
    <numFmt numFmtId="168" formatCode="#,##0.0000"/>
    <numFmt numFmtId="169" formatCode="0.0000%"/>
    <numFmt numFmtId="170" formatCode="#,##0.0000_);\(#,##0.0000\)"/>
    <numFmt numFmtId="171" formatCode="_(* #,##0_);_(* \(#,##0\);_(* &quot;-&quot;??_);_(@_)"/>
    <numFmt numFmtId="172" formatCode="_(* #,##0.0_);_(* \(#,##0.0\);_(* &quot;-&quot;??_);_(@_)"/>
    <numFmt numFmtId="173" formatCode="_(* #,##0.0000_);_(* \(#,##0.0000\);_(* &quot;-&quot;??_);_(@_)"/>
    <numFmt numFmtId="174" formatCode="_-* #,##0_-;\-* #,##0_-;_-* &quot;-&quot;??_-;_-@_-"/>
    <numFmt numFmtId="175" formatCode="&quot;$&quot;#,##0.00000_);\(&quot;$&quot;#,##0.00000\)"/>
    <numFmt numFmtId="176" formatCode="#,##0.00000_);\(#,##0.00000\)"/>
    <numFmt numFmtId="177" formatCode="&quot;$&quot;#,##0.0000_);\(&quot;$&quot;#,##0.0000\)"/>
    <numFmt numFmtId="178" formatCode="0.0%;\(0.0%\)"/>
    <numFmt numFmtId="179" formatCode="#,##0.0"/>
    <numFmt numFmtId="180" formatCode="#,##0.0;\(#,##0.0\)"/>
    <numFmt numFmtId="181" formatCode="0.0;\(0.0\)"/>
    <numFmt numFmtId="182" formatCode="&quot;£ &quot;#,##0.00;[Red]\-&quot;£ &quot;#,##0.00"/>
    <numFmt numFmtId="183" formatCode="##\-#"/>
    <numFmt numFmtId="184" formatCode="mm/dd/yyyy"/>
    <numFmt numFmtId="185" formatCode="0\-0"/>
    <numFmt numFmtId="186" formatCode="0;\(0\)"/>
    <numFmt numFmtId="187" formatCode="_(* #,##0.000_);_(* \(#,##0.000\);_(* &quot;-&quot;??_);_(@_)"/>
    <numFmt numFmtId="188" formatCode="#,000;\(#,000\)"/>
    <numFmt numFmtId="189" formatCode="0.0000%;\(0.0%\)"/>
    <numFmt numFmtId="190" formatCode="#,##0.000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1"/>
      <color indexed="52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.199999999999999"/>
      <name val="Times New Roman"/>
      <family val="1"/>
    </font>
    <font>
      <sz val="10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7" borderId="1" applyNumberFormat="0" applyProtection="0">
      <alignment horizontal="left" vertical="center"/>
    </xf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2" fontId="7" fillId="0" borderId="0"/>
    <xf numFmtId="179" fontId="7" fillId="0" borderId="0"/>
    <xf numFmtId="184" fontId="7" fillId="0" borderId="0"/>
    <xf numFmtId="185" fontId="7" fillId="0" borderId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8" borderId="0" applyNumberFormat="0" applyBorder="0" applyAlignment="0" applyProtection="0"/>
    <xf numFmtId="0" fontId="43" fillId="42" borderId="0" applyNumberFormat="0" applyBorder="0" applyAlignment="0" applyProtection="0"/>
    <xf numFmtId="0" fontId="44" fillId="59" borderId="30" applyNumberFormat="0" applyAlignment="0" applyProtection="0"/>
    <xf numFmtId="0" fontId="45" fillId="60" borderId="31" applyNumberFormat="0" applyAlignment="0" applyProtection="0"/>
    <xf numFmtId="0" fontId="46" fillId="0" borderId="0" applyNumberFormat="0" applyFill="0" applyBorder="0" applyAlignment="0" applyProtection="0"/>
    <xf numFmtId="0" fontId="47" fillId="43" borderId="0" applyNumberFormat="0" applyBorder="0" applyAlignment="0" applyProtection="0"/>
    <xf numFmtId="38" fontId="13" fillId="61" borderId="0" applyNumberFormat="0" applyBorder="0" applyAlignment="0" applyProtection="0"/>
    <xf numFmtId="0" fontId="48" fillId="0" borderId="32" applyNumberFormat="0" applyFill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0" fillId="0" borderId="0" applyNumberFormat="0" applyFill="0" applyBorder="0" applyAlignment="0" applyProtection="0"/>
    <xf numFmtId="0" fontId="51" fillId="46" borderId="30" applyNumberFormat="0" applyAlignment="0" applyProtection="0"/>
    <xf numFmtId="10" fontId="13" fillId="62" borderId="1" applyNumberFormat="0" applyBorder="0" applyAlignment="0" applyProtection="0"/>
    <xf numFmtId="0" fontId="52" fillId="0" borderId="35" applyNumberFormat="0" applyFill="0" applyAlignment="0" applyProtection="0"/>
    <xf numFmtId="183" fontId="7" fillId="0" borderId="0"/>
    <xf numFmtId="171" fontId="7" fillId="0" borderId="0"/>
    <xf numFmtId="0" fontId="53" fillId="63" borderId="0" applyNumberFormat="0" applyBorder="0" applyAlignment="0" applyProtection="0"/>
    <xf numFmtId="182" fontId="7" fillId="0" borderId="0"/>
    <xf numFmtId="0" fontId="7" fillId="0" borderId="0"/>
    <xf numFmtId="0" fontId="54" fillId="0" borderId="0"/>
    <xf numFmtId="0" fontId="7" fillId="64" borderId="36" applyNumberFormat="0" applyFont="0" applyAlignment="0" applyProtection="0"/>
    <xf numFmtId="0" fontId="55" fillId="59" borderId="37" applyNumberFormat="0" applyAlignment="0" applyProtection="0"/>
    <xf numFmtId="10" fontId="7" fillId="0" borderId="0" applyFont="0" applyFill="0" applyBorder="0" applyAlignment="0" applyProtection="0"/>
    <xf numFmtId="0" fontId="56" fillId="0" borderId="0" applyNumberFormat="0" applyBorder="0" applyAlignment="0"/>
    <xf numFmtId="0" fontId="61" fillId="0" borderId="0" applyNumberFormat="0" applyBorder="0" applyAlignment="0"/>
    <xf numFmtId="0" fontId="62" fillId="0" borderId="0" applyNumberFormat="0" applyBorder="0" applyAlignment="0"/>
    <xf numFmtId="0" fontId="57" fillId="0" borderId="38">
      <alignment horizontal="center" vertical="center"/>
    </xf>
    <xf numFmtId="0" fontId="58" fillId="0" borderId="0" applyNumberFormat="0" applyFill="0" applyBorder="0" applyAlignment="0" applyProtection="0"/>
    <xf numFmtId="0" fontId="59" fillId="0" borderId="3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6" fillId="0" borderId="21" applyNumberFormat="0" applyFill="0" applyAlignment="0" applyProtection="0"/>
    <xf numFmtId="0" fontId="6" fillId="0" borderId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24" applyNumberFormat="0" applyAlignment="0" applyProtection="0"/>
    <xf numFmtId="0" fontId="33" fillId="14" borderId="25" applyNumberFormat="0" applyAlignment="0" applyProtection="0"/>
    <xf numFmtId="0" fontId="34" fillId="14" borderId="24" applyNumberFormat="0" applyAlignment="0" applyProtection="0"/>
    <xf numFmtId="0" fontId="35" fillId="0" borderId="26" applyNumberFormat="0" applyFill="0" applyAlignment="0" applyProtection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6" fillId="16" borderId="2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40" fillId="4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/>
    <xf numFmtId="172" fontId="7" fillId="0" borderId="0"/>
    <xf numFmtId="172" fontId="7" fillId="0" borderId="0"/>
    <xf numFmtId="172" fontId="7" fillId="0" borderId="0"/>
    <xf numFmtId="184" fontId="7" fillId="0" borderId="0"/>
    <xf numFmtId="38" fontId="13" fillId="61" borderId="0" applyNumberFormat="0" applyBorder="0" applyAlignment="0" applyProtection="0"/>
    <xf numFmtId="10" fontId="13" fillId="62" borderId="1" applyNumberFormat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7" fillId="0" borderId="0"/>
    <xf numFmtId="0" fontId="7" fillId="7" borderId="1" applyNumberFormat="0" applyProtection="0">
      <alignment horizontal="left" vertic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16" borderId="28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46" borderId="30" applyNumberFormat="0" applyAlignment="0" applyProtection="0"/>
    <xf numFmtId="3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14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0" fontId="51" fillId="46" borderId="30" applyNumberFormat="0" applyAlignment="0" applyProtection="0"/>
    <xf numFmtId="0" fontId="63" fillId="64" borderId="36" applyNumberFormat="0" applyFont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4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59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2" borderId="0" applyNumberFormat="0" applyBorder="0" applyAlignment="0" applyProtection="0"/>
    <xf numFmtId="0" fontId="40" fillId="58" borderId="0" applyNumberFormat="0" applyBorder="0" applyAlignment="0" applyProtection="0"/>
    <xf numFmtId="0" fontId="30" fillId="42" borderId="0" applyNumberFormat="0" applyBorder="0" applyAlignment="0" applyProtection="0"/>
    <xf numFmtId="0" fontId="64" fillId="59" borderId="24" applyNumberFormat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43" borderId="0" applyNumberFormat="0" applyBorder="0" applyAlignment="0" applyProtection="0"/>
    <xf numFmtId="0" fontId="65" fillId="0" borderId="32" applyNumberFormat="0" applyFill="0" applyAlignment="0" applyProtection="0"/>
    <xf numFmtId="0" fontId="2" fillId="0" borderId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32" fillId="59" borderId="24" applyNumberFormat="0" applyAlignment="0" applyProtection="0"/>
    <xf numFmtId="0" fontId="68" fillId="0" borderId="35" applyNumberFormat="0" applyFill="0" applyAlignment="0" applyProtection="0"/>
    <xf numFmtId="0" fontId="69" fillId="12" borderId="0" applyNumberFormat="0" applyBorder="0" applyAlignment="0" applyProtection="0"/>
    <xf numFmtId="0" fontId="41" fillId="16" borderId="28" applyNumberFormat="0" applyFont="0" applyAlignment="0" applyProtection="0"/>
    <xf numFmtId="0" fontId="41" fillId="16" borderId="28" applyNumberFormat="0" applyFont="0" applyAlignment="0" applyProtection="0"/>
    <xf numFmtId="0" fontId="33" fillId="59" borderId="25" applyNumberFormat="0" applyAlignment="0" applyProtection="0"/>
    <xf numFmtId="9" fontId="2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39" fillId="0" borderId="39" applyNumberFormat="0" applyFill="0" applyAlignment="0" applyProtection="0"/>
    <xf numFmtId="0" fontId="7" fillId="0" borderId="0"/>
    <xf numFmtId="43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/>
    <xf numFmtId="0" fontId="71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</cellStyleXfs>
  <cellXfs count="467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1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10" fontId="0" fillId="0" borderId="0" xfId="0" applyNumberFormat="1" applyAlignment="1">
      <alignment horizontal="center"/>
    </xf>
    <xf numFmtId="37" fontId="8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0" borderId="0" xfId="0" applyFont="1"/>
    <xf numFmtId="0" fontId="10" fillId="0" borderId="0" xfId="0" applyFont="1" applyAlignment="1"/>
    <xf numFmtId="3" fontId="0" fillId="2" borderId="0" xfId="0" applyNumberFormat="1" applyFill="1" applyAlignment="1">
      <alignment horizontal="center"/>
    </xf>
    <xf numFmtId="17" fontId="10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8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Continuous"/>
    </xf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10" fillId="0" borderId="0" xfId="0" applyNumberFormat="1" applyFont="1"/>
    <xf numFmtId="0" fontId="11" fillId="0" borderId="0" xfId="0" applyFont="1"/>
    <xf numFmtId="164" fontId="0" fillId="0" borderId="0" xfId="0" applyNumberFormat="1" applyAlignment="1">
      <alignment horizontal="center" wrapText="1"/>
    </xf>
    <xf numFmtId="0" fontId="10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9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1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2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10" fillId="0" borderId="8" xfId="0" applyFont="1" applyBorder="1"/>
    <xf numFmtId="0" fontId="10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6" borderId="0" xfId="0" applyNumberFormat="1" applyFill="1" applyAlignment="1">
      <alignment horizontal="center"/>
    </xf>
    <xf numFmtId="3" fontId="16" fillId="0" borderId="0" xfId="0" applyNumberFormat="1" applyFont="1" applyAlignment="1">
      <alignment horizontal="left"/>
    </xf>
    <xf numFmtId="3" fontId="0" fillId="0" borderId="1" xfId="0" applyNumberForma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171" fontId="7" fillId="0" borderId="1" xfId="1" applyNumberFormat="1" applyFill="1" applyBorder="1"/>
    <xf numFmtId="0" fontId="10" fillId="0" borderId="1" xfId="0" applyFont="1" applyBorder="1" applyAlignment="1">
      <alignment horizontal="left" indent="1"/>
    </xf>
    <xf numFmtId="37" fontId="10" fillId="0" borderId="1" xfId="0" applyNumberFormat="1" applyFont="1" applyBorder="1"/>
    <xf numFmtId="0" fontId="10" fillId="0" borderId="1" xfId="0" applyFont="1" applyBorder="1"/>
    <xf numFmtId="170" fontId="0" fillId="3" borderId="1" xfId="0" applyNumberFormat="1" applyFill="1" applyBorder="1"/>
    <xf numFmtId="37" fontId="0" fillId="0" borderId="1" xfId="0" applyNumberFormat="1" applyBorder="1"/>
    <xf numFmtId="175" fontId="0" fillId="3" borderId="1" xfId="0" applyNumberFormat="1" applyFill="1" applyBorder="1"/>
    <xf numFmtId="5" fontId="0" fillId="0" borderId="1" xfId="0" applyNumberFormat="1" applyBorder="1"/>
    <xf numFmtId="176" fontId="0" fillId="0" borderId="1" xfId="0" applyNumberFormat="1" applyBorder="1"/>
    <xf numFmtId="5" fontId="10" fillId="0" borderId="1" xfId="0" applyNumberFormat="1" applyFont="1" applyFill="1" applyBorder="1"/>
    <xf numFmtId="0" fontId="10" fillId="0" borderId="0" xfId="0" applyFont="1" applyBorder="1" applyAlignment="1">
      <alignment horizontal="left" indent="1"/>
    </xf>
    <xf numFmtId="37" fontId="10" fillId="0" borderId="0" xfId="0" applyNumberFormat="1" applyFont="1" applyBorder="1"/>
    <xf numFmtId="0" fontId="10" fillId="0" borderId="0" xfId="0" applyFont="1" applyBorder="1"/>
    <xf numFmtId="176" fontId="0" fillId="0" borderId="0" xfId="0" applyNumberFormat="1" applyBorder="1"/>
    <xf numFmtId="5" fontId="10" fillId="0" borderId="0" xfId="0" applyNumberFormat="1" applyFont="1" applyFill="1" applyBorder="1"/>
    <xf numFmtId="3" fontId="0" fillId="0" borderId="16" xfId="0" applyNumberFormat="1" applyBorder="1"/>
    <xf numFmtId="170" fontId="0" fillId="0" borderId="1" xfId="0" applyNumberFormat="1" applyBorder="1" applyAlignment="1">
      <alignment horizontal="center"/>
    </xf>
    <xf numFmtId="177" fontId="0" fillId="3" borderId="1" xfId="0" applyNumberFormat="1" applyFill="1" applyBorder="1"/>
    <xf numFmtId="5" fontId="10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9" fontId="0" fillId="0" borderId="0" xfId="2" applyFont="1" applyFill="1" applyBorder="1" applyAlignment="1"/>
    <xf numFmtId="164" fontId="0" fillId="0" borderId="0" xfId="2" applyNumberFormat="1" applyFont="1" applyAlignment="1">
      <alignment horizontal="center"/>
    </xf>
    <xf numFmtId="0" fontId="7" fillId="0" borderId="0" xfId="0" applyFont="1" applyAlignment="1">
      <alignment horizontal="left"/>
    </xf>
    <xf numFmtId="165" fontId="8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0" fontId="7" fillId="0" borderId="0" xfId="0" applyFont="1"/>
    <xf numFmtId="0" fontId="10" fillId="0" borderId="0" xfId="0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73" fontId="14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7" fillId="3" borderId="0" xfId="0" quotePrefix="1" applyNumberFormat="1" applyFont="1" applyFill="1" applyAlignment="1">
      <alignment horizontal="center" wrapText="1"/>
    </xf>
    <xf numFmtId="0" fontId="7" fillId="0" borderId="0" xfId="4"/>
    <xf numFmtId="166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7" fillId="4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4" applyFont="1"/>
    <xf numFmtId="0" fontId="18" fillId="0" borderId="0" xfId="4" applyFont="1"/>
    <xf numFmtId="43" fontId="7" fillId="0" borderId="0" xfId="11" applyFont="1"/>
    <xf numFmtId="0" fontId="19" fillId="0" borderId="0" xfId="4" applyFont="1"/>
    <xf numFmtId="43" fontId="13" fillId="0" borderId="0" xfId="11" applyFont="1"/>
    <xf numFmtId="0" fontId="13" fillId="0" borderId="0" xfId="4" applyFont="1"/>
    <xf numFmtId="43" fontId="20" fillId="0" borderId="0" xfId="11" applyFont="1" applyAlignment="1">
      <alignment horizontal="right"/>
    </xf>
    <xf numFmtId="0" fontId="20" fillId="0" borderId="13" xfId="4" applyFont="1" applyBorder="1" applyAlignment="1">
      <alignment horizontal="right"/>
    </xf>
    <xf numFmtId="0" fontId="20" fillId="2" borderId="0" xfId="4" applyFont="1" applyFill="1"/>
    <xf numFmtId="0" fontId="13" fillId="0" borderId="0" xfId="4" applyFont="1" applyAlignment="1">
      <alignment horizontal="right"/>
    </xf>
    <xf numFmtId="43" fontId="13" fillId="0" borderId="0" xfId="4" applyNumberFormat="1" applyFont="1" applyAlignment="1">
      <alignment horizontal="right"/>
    </xf>
    <xf numFmtId="2" fontId="13" fillId="2" borderId="0" xfId="4" applyNumberFormat="1" applyFont="1" applyFill="1"/>
    <xf numFmtId="4" fontId="13" fillId="2" borderId="0" xfId="4" applyNumberFormat="1" applyFont="1" applyFill="1"/>
    <xf numFmtId="2" fontId="7" fillId="0" borderId="0" xfId="4" applyNumberFormat="1"/>
    <xf numFmtId="43" fontId="7" fillId="0" borderId="0" xfId="4" applyNumberFormat="1"/>
    <xf numFmtId="0" fontId="7" fillId="0" borderId="0" xfId="4" applyFill="1"/>
    <xf numFmtId="10" fontId="7" fillId="3" borderId="1" xfId="2" applyNumberFormat="1" applyFill="1" applyBorder="1"/>
    <xf numFmtId="0" fontId="15" fillId="8" borderId="1" xfId="0" applyFont="1" applyFill="1" applyBorder="1"/>
    <xf numFmtId="0" fontId="10" fillId="8" borderId="1" xfId="0" applyFont="1" applyFill="1" applyBorder="1"/>
    <xf numFmtId="0" fontId="15" fillId="8" borderId="15" xfId="0" applyFont="1" applyFill="1" applyBorder="1"/>
    <xf numFmtId="0" fontId="10" fillId="8" borderId="12" xfId="0" applyFont="1" applyFill="1" applyBorder="1"/>
    <xf numFmtId="0" fontId="10" fillId="8" borderId="10" xfId="0" applyFont="1" applyFill="1" applyBorder="1" applyAlignment="1">
      <alignment horizontal="center"/>
    </xf>
    <xf numFmtId="0" fontId="10" fillId="8" borderId="10" xfId="0" applyFont="1" applyFill="1" applyBorder="1"/>
    <xf numFmtId="0" fontId="10" fillId="8" borderId="11" xfId="0" applyFont="1" applyFill="1" applyBorder="1"/>
    <xf numFmtId="0" fontId="10" fillId="8" borderId="7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0" fillId="8" borderId="10" xfId="0" applyFill="1" applyBorder="1"/>
    <xf numFmtId="0" fontId="10" fillId="8" borderId="9" xfId="0" applyFont="1" applyFill="1" applyBorder="1" applyAlignment="1">
      <alignment horizontal="center"/>
    </xf>
    <xf numFmtId="0" fontId="7" fillId="0" borderId="5" xfId="0" applyFont="1" applyBorder="1"/>
    <xf numFmtId="0" fontId="10" fillId="8" borderId="14" xfId="0" applyNumberFormat="1" applyFont="1" applyFill="1" applyBorder="1" applyAlignment="1">
      <alignment horizontal="center"/>
    </xf>
    <xf numFmtId="175" fontId="16" fillId="3" borderId="1" xfId="0" applyNumberFormat="1" applyFont="1" applyFill="1" applyBorder="1"/>
    <xf numFmtId="176" fontId="16" fillId="0" borderId="1" xfId="0" applyNumberFormat="1" applyFont="1" applyBorder="1"/>
    <xf numFmtId="177" fontId="16" fillId="3" borderId="1" xfId="0" applyNumberFormat="1" applyFont="1" applyFill="1" applyBorder="1"/>
    <xf numFmtId="177" fontId="21" fillId="3" borderId="1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37" fontId="7" fillId="0" borderId="0" xfId="0" quotePrefix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7" fillId="3" borderId="0" xfId="0" applyNumberFormat="1" applyFont="1" applyFill="1" applyAlignment="1">
      <alignment horizontal="center" wrapText="1"/>
    </xf>
    <xf numFmtId="187" fontId="0" fillId="0" borderId="0" xfId="1" applyNumberFormat="1" applyFont="1" applyAlignment="1">
      <alignment horizontal="center"/>
    </xf>
    <xf numFmtId="10" fontId="7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9" fillId="0" borderId="9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171" fontId="22" fillId="0" borderId="1" xfId="1" applyNumberFormat="1" applyFont="1" applyFill="1" applyBorder="1" applyAlignment="1">
      <alignment horizontal="center"/>
    </xf>
    <xf numFmtId="43" fontId="8" fillId="0" borderId="1" xfId="1" applyNumberFormat="1" applyFont="1" applyFill="1" applyBorder="1" applyAlignment="1">
      <alignment horizontal="center"/>
    </xf>
    <xf numFmtId="171" fontId="0" fillId="0" borderId="1" xfId="1" applyNumberFormat="1" applyFont="1" applyFill="1" applyBorder="1" applyAlignment="1">
      <alignment horizontal="center"/>
    </xf>
    <xf numFmtId="171" fontId="7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left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43" fontId="7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3" fontId="8" fillId="0" borderId="0" xfId="1" applyNumberFormat="1" applyFont="1" applyFill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3" fontId="0" fillId="65" borderId="0" xfId="0" applyNumberFormat="1" applyFill="1" applyAlignment="1">
      <alignment horizontal="center"/>
    </xf>
    <xf numFmtId="0" fontId="0" fillId="65" borderId="0" xfId="0" applyFill="1"/>
    <xf numFmtId="43" fontId="0" fillId="65" borderId="0" xfId="1" applyFont="1" applyFill="1"/>
    <xf numFmtId="43" fontId="7" fillId="65" borderId="0" xfId="1" applyFont="1" applyFill="1" applyAlignment="1">
      <alignment horizontal="left"/>
    </xf>
    <xf numFmtId="3" fontId="7" fillId="65" borderId="0" xfId="0" applyNumberFormat="1" applyFont="1" applyFill="1" applyAlignment="1">
      <alignment horizontal="center"/>
    </xf>
    <xf numFmtId="3" fontId="7" fillId="65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5" fontId="7" fillId="0" borderId="0" xfId="196" applyNumberFormat="1" applyFont="1" applyAlignment="1">
      <alignment horizontal="center"/>
    </xf>
    <xf numFmtId="17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center"/>
    </xf>
    <xf numFmtId="0" fontId="10" fillId="0" borderId="0" xfId="0" quotePrefix="1" applyFont="1" applyFill="1" applyAlignment="1">
      <alignment horizontal="center" wrapText="1"/>
    </xf>
    <xf numFmtId="0" fontId="10" fillId="8" borderId="7" xfId="0" applyNumberFormat="1" applyFont="1" applyFill="1" applyBorder="1" applyAlignment="1">
      <alignment horizontal="center"/>
    </xf>
    <xf numFmtId="167" fontId="0" fillId="0" borderId="0" xfId="0" applyNumberFormat="1"/>
    <xf numFmtId="43" fontId="10" fillId="0" borderId="0" xfId="1" applyFont="1" applyFill="1" applyAlignment="1">
      <alignment horizontal="center" wrapText="1"/>
    </xf>
    <xf numFmtId="43" fontId="0" fillId="0" borderId="13" xfId="1" applyFont="1" applyBorder="1"/>
    <xf numFmtId="43" fontId="10" fillId="0" borderId="0" xfId="1" applyFont="1"/>
    <xf numFmtId="0" fontId="10" fillId="0" borderId="0" xfId="0" quotePrefix="1" applyFont="1" applyAlignment="1">
      <alignment horizontal="center"/>
    </xf>
    <xf numFmtId="0" fontId="15" fillId="0" borderId="17" xfId="0" quotePrefix="1" applyFont="1" applyBorder="1" applyAlignment="1">
      <alignment horizontal="left"/>
    </xf>
    <xf numFmtId="170" fontId="0" fillId="0" borderId="1" xfId="0" applyNumberFormat="1" applyFill="1" applyBorder="1" applyAlignment="1">
      <alignment horizontal="center"/>
    </xf>
    <xf numFmtId="37" fontId="10" fillId="0" borderId="1" xfId="0" applyNumberFormat="1" applyFont="1" applyFill="1" applyBorder="1"/>
    <xf numFmtId="37" fontId="0" fillId="4" borderId="0" xfId="0" applyNumberFormat="1" applyFill="1" applyAlignment="1">
      <alignment horizontal="center"/>
    </xf>
    <xf numFmtId="0" fontId="11" fillId="0" borderId="0" xfId="199" applyFont="1"/>
    <xf numFmtId="0" fontId="7" fillId="0" borderId="0" xfId="199"/>
    <xf numFmtId="0" fontId="7" fillId="0" borderId="0" xfId="199" applyAlignment="1">
      <alignment wrapText="1"/>
    </xf>
    <xf numFmtId="174" fontId="7" fillId="0" borderId="0" xfId="200" applyNumberFormat="1"/>
    <xf numFmtId="0" fontId="7" fillId="0" borderId="1" xfId="199" applyBorder="1" applyAlignment="1">
      <alignment horizontal="center"/>
    </xf>
    <xf numFmtId="174" fontId="7" fillId="0" borderId="0" xfId="199" applyNumberFormat="1"/>
    <xf numFmtId="17" fontId="7" fillId="0" borderId="0" xfId="199" applyNumberFormat="1"/>
    <xf numFmtId="0" fontId="7" fillId="0" borderId="0" xfId="199" applyAlignment="1">
      <alignment horizontal="right"/>
    </xf>
    <xf numFmtId="3" fontId="7" fillId="0" borderId="0" xfId="199" applyNumberFormat="1" applyAlignment="1">
      <alignment horizontal="center"/>
    </xf>
    <xf numFmtId="3" fontId="7" fillId="0" borderId="0" xfId="199" applyNumberFormat="1"/>
    <xf numFmtId="0" fontId="7" fillId="0" borderId="1" xfId="199" applyBorder="1"/>
    <xf numFmtId="174" fontId="7" fillId="0" borderId="1" xfId="199" applyNumberFormat="1" applyBorder="1"/>
    <xf numFmtId="43" fontId="0" fillId="0" borderId="0" xfId="0" applyNumberFormat="1"/>
    <xf numFmtId="172" fontId="0" fillId="0" borderId="1" xfId="1" applyNumberFormat="1" applyFont="1" applyFill="1" applyBorder="1" applyAlignment="1">
      <alignment horizontal="center"/>
    </xf>
    <xf numFmtId="172" fontId="8" fillId="0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3" fillId="0" borderId="0" xfId="256" applyFont="1"/>
    <xf numFmtId="0" fontId="72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Border="1"/>
    <xf numFmtId="179" fontId="73" fillId="0" borderId="1" xfId="256" applyNumberFormat="1" applyFont="1" applyFill="1" applyBorder="1" applyAlignment="1">
      <alignment horizontal="center" vertical="center"/>
    </xf>
    <xf numFmtId="37" fontId="73" fillId="0" borderId="1" xfId="256" applyNumberFormat="1" applyFont="1" applyFill="1" applyBorder="1" applyAlignment="1">
      <alignment horizontal="center" vertical="center"/>
    </xf>
    <xf numFmtId="179" fontId="73" fillId="0" borderId="1" xfId="59" applyNumberFormat="1" applyFont="1" applyFill="1" applyBorder="1" applyAlignment="1">
      <alignment horizontal="center" vertical="center"/>
    </xf>
    <xf numFmtId="181" fontId="73" fillId="0" borderId="1" xfId="256" applyNumberFormat="1" applyFont="1" applyFill="1" applyBorder="1" applyAlignment="1">
      <alignment horizontal="center" vertical="center"/>
    </xf>
    <xf numFmtId="186" fontId="73" fillId="0" borderId="1" xfId="256" applyNumberFormat="1" applyFont="1" applyFill="1" applyBorder="1" applyAlignment="1">
      <alignment horizontal="center" vertical="center"/>
    </xf>
    <xf numFmtId="0" fontId="73" fillId="0" borderId="1" xfId="256" applyFont="1" applyFill="1" applyBorder="1" applyAlignment="1">
      <alignment horizontal="left" vertical="center" wrapText="1"/>
    </xf>
    <xf numFmtId="0" fontId="72" fillId="0" borderId="0" xfId="256" applyFont="1"/>
    <xf numFmtId="0" fontId="72" fillId="0" borderId="8" xfId="256" applyFont="1" applyBorder="1" applyAlignment="1"/>
    <xf numFmtId="0" fontId="72" fillId="0" borderId="4" xfId="256" applyFont="1" applyBorder="1" applyAlignment="1"/>
    <xf numFmtId="0" fontId="72" fillId="0" borderId="9" xfId="256" applyFont="1" applyBorder="1" applyAlignment="1"/>
    <xf numFmtId="0" fontId="73" fillId="0" borderId="8" xfId="256" applyFont="1" applyFill="1" applyBorder="1" applyAlignment="1">
      <alignment horizontal="left" vertical="center"/>
    </xf>
    <xf numFmtId="0" fontId="73" fillId="0" borderId="8" xfId="256" applyFont="1" applyFill="1" applyBorder="1" applyAlignment="1">
      <alignment horizontal="left" vertical="center" wrapText="1"/>
    </xf>
    <xf numFmtId="0" fontId="73" fillId="0" borderId="0" xfId="256" applyFont="1" applyFill="1" applyBorder="1" applyAlignment="1">
      <alignment horizontal="left" vertical="center" wrapText="1"/>
    </xf>
    <xf numFmtId="179" fontId="73" fillId="0" borderId="0" xfId="59" applyNumberFormat="1" applyFont="1" applyFill="1" applyBorder="1" applyAlignment="1">
      <alignment horizontal="center" vertical="center"/>
    </xf>
    <xf numFmtId="179" fontId="73" fillId="0" borderId="0" xfId="256" applyNumberFormat="1" applyFont="1" applyFill="1" applyBorder="1" applyAlignment="1">
      <alignment horizontal="center" vertical="center"/>
    </xf>
    <xf numFmtId="3" fontId="73" fillId="0" borderId="1" xfId="59" applyNumberFormat="1" applyFont="1" applyFill="1" applyBorder="1" applyAlignment="1">
      <alignment horizontal="center" vertical="center"/>
    </xf>
    <xf numFmtId="3" fontId="73" fillId="0" borderId="9" xfId="59" applyNumberFormat="1" applyFont="1" applyFill="1" applyBorder="1" applyAlignment="1">
      <alignment horizontal="center" vertical="center"/>
    </xf>
    <xf numFmtId="0" fontId="73" fillId="0" borderId="0" xfId="0" applyFont="1"/>
    <xf numFmtId="3" fontId="73" fillId="0" borderId="1" xfId="256" applyNumberFormat="1" applyFont="1" applyFill="1" applyBorder="1" applyAlignment="1">
      <alignment horizontal="center" vertical="center"/>
    </xf>
    <xf numFmtId="164" fontId="73" fillId="0" borderId="1" xfId="59" applyNumberFormat="1" applyFont="1" applyFill="1" applyBorder="1" applyAlignment="1">
      <alignment horizontal="center" vertical="center"/>
    </xf>
    <xf numFmtId="165" fontId="73" fillId="0" borderId="1" xfId="59" applyNumberFormat="1" applyFont="1" applyFill="1" applyBorder="1" applyAlignment="1">
      <alignment horizontal="center" vertical="center"/>
    </xf>
    <xf numFmtId="0" fontId="73" fillId="0" borderId="0" xfId="256" applyFont="1" applyFill="1" applyAlignment="1">
      <alignment vertical="center"/>
    </xf>
    <xf numFmtId="181" fontId="73" fillId="0" borderId="1" xfId="59" applyNumberFormat="1" applyFont="1" applyFill="1" applyBorder="1" applyAlignment="1">
      <alignment horizontal="center" vertical="center"/>
    </xf>
    <xf numFmtId="178" fontId="73" fillId="0" borderId="1" xfId="59" applyNumberFormat="1" applyFont="1" applyFill="1" applyBorder="1" applyAlignment="1">
      <alignment horizontal="center" vertical="center"/>
    </xf>
    <xf numFmtId="167" fontId="73" fillId="0" borderId="1" xfId="256" applyNumberFormat="1" applyFont="1" applyBorder="1" applyAlignment="1">
      <alignment horizontal="center"/>
    </xf>
    <xf numFmtId="165" fontId="72" fillId="0" borderId="1" xfId="59" applyNumberFormat="1" applyFont="1" applyFill="1" applyBorder="1" applyAlignment="1">
      <alignment horizontal="center" vertical="center"/>
    </xf>
    <xf numFmtId="178" fontId="72" fillId="0" borderId="1" xfId="59" applyNumberFormat="1" applyFont="1" applyFill="1" applyBorder="1" applyAlignment="1">
      <alignment horizontal="center" vertical="center"/>
    </xf>
    <xf numFmtId="0" fontId="73" fillId="0" borderId="1" xfId="256" applyFont="1" applyFill="1" applyBorder="1"/>
    <xf numFmtId="0" fontId="73" fillId="0" borderId="0" xfId="256" applyFont="1" applyFill="1"/>
    <xf numFmtId="9" fontId="73" fillId="0" borderId="0" xfId="256" applyNumberFormat="1" applyFont="1" applyFill="1" applyBorder="1" applyAlignment="1">
      <alignment horizontal="center" vertical="center" wrapText="1"/>
    </xf>
    <xf numFmtId="0" fontId="75" fillId="0" borderId="1" xfId="257" applyFont="1" applyFill="1" applyBorder="1" applyAlignment="1">
      <alignment horizontal="left"/>
    </xf>
    <xf numFmtId="0" fontId="75" fillId="0" borderId="8" xfId="257" applyFont="1" applyFill="1" applyBorder="1" applyAlignment="1">
      <alignment horizontal="left" wrapText="1"/>
    </xf>
    <xf numFmtId="179" fontId="73" fillId="0" borderId="1" xfId="256" applyNumberFormat="1" applyFont="1" applyFill="1" applyBorder="1" applyAlignment="1">
      <alignment horizontal="center" vertical="center" wrapText="1"/>
    </xf>
    <xf numFmtId="181" fontId="73" fillId="0" borderId="1" xfId="256" applyNumberFormat="1" applyFont="1" applyFill="1" applyBorder="1" applyAlignment="1">
      <alignment horizontal="center" vertical="center" wrapText="1"/>
    </xf>
    <xf numFmtId="180" fontId="73" fillId="0" borderId="1" xfId="256" applyNumberFormat="1" applyFont="1" applyFill="1" applyBorder="1" applyAlignment="1">
      <alignment horizontal="center" vertical="center" wrapText="1"/>
    </xf>
    <xf numFmtId="3" fontId="73" fillId="0" borderId="1" xfId="256" applyNumberFormat="1" applyFont="1" applyFill="1" applyBorder="1" applyAlignment="1">
      <alignment horizontal="center" vertical="center" wrapText="1"/>
    </xf>
    <xf numFmtId="0" fontId="73" fillId="0" borderId="0" xfId="256" applyFont="1" applyFill="1" applyBorder="1" applyAlignment="1">
      <alignment horizontal="left" vertical="center"/>
    </xf>
    <xf numFmtId="3" fontId="73" fillId="0" borderId="0" xfId="256" applyNumberFormat="1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1" xfId="256" applyFont="1" applyBorder="1" applyAlignment="1">
      <alignment horizontal="left"/>
    </xf>
    <xf numFmtId="0" fontId="73" fillId="0" borderId="1" xfId="256" applyFont="1" applyBorder="1" applyAlignment="1">
      <alignment horizontal="center" wrapText="1"/>
    </xf>
    <xf numFmtId="3" fontId="73" fillId="0" borderId="1" xfId="256" applyNumberFormat="1" applyFont="1" applyBorder="1" applyAlignment="1">
      <alignment horizontal="left"/>
    </xf>
    <xf numFmtId="3" fontId="73" fillId="0" borderId="1" xfId="256" applyNumberFormat="1" applyFont="1" applyBorder="1" applyAlignment="1">
      <alignment horizontal="center"/>
    </xf>
    <xf numFmtId="3" fontId="73" fillId="0" borderId="1" xfId="256" applyNumberFormat="1" applyFont="1" applyBorder="1" applyAlignment="1">
      <alignment horizontal="center" wrapText="1"/>
    </xf>
    <xf numFmtId="3" fontId="73" fillId="0" borderId="1" xfId="258" applyNumberFormat="1" applyFont="1" applyBorder="1" applyAlignment="1">
      <alignment horizontal="center"/>
    </xf>
    <xf numFmtId="3" fontId="73" fillId="0" borderId="1" xfId="256" applyNumberFormat="1" applyFont="1" applyBorder="1"/>
    <xf numFmtId="0" fontId="72" fillId="66" borderId="1" xfId="60" applyFont="1" applyFill="1" applyBorder="1" applyAlignment="1">
      <alignment horizontal="left" vertical="center"/>
    </xf>
    <xf numFmtId="0" fontId="72" fillId="66" borderId="1" xfId="60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188" fontId="73" fillId="0" borderId="1" xfId="256" applyNumberFormat="1" applyFont="1" applyBorder="1" applyAlignment="1">
      <alignment horizontal="center"/>
    </xf>
    <xf numFmtId="166" fontId="73" fillId="0" borderId="1" xfId="256" applyNumberFormat="1" applyFont="1" applyBorder="1" applyAlignment="1">
      <alignment horizontal="center"/>
    </xf>
    <xf numFmtId="0" fontId="0" fillId="0" borderId="0" xfId="0" applyFill="1" applyBorder="1"/>
    <xf numFmtId="165" fontId="73" fillId="9" borderId="1" xfId="59" applyNumberFormat="1" applyFont="1" applyFill="1" applyBorder="1" applyAlignment="1">
      <alignment horizontal="center" vertical="center"/>
    </xf>
    <xf numFmtId="0" fontId="73" fillId="0" borderId="7" xfId="256" applyFont="1" applyFill="1" applyBorder="1" applyAlignment="1">
      <alignment horizontal="left" vertical="center"/>
    </xf>
    <xf numFmtId="179" fontId="73" fillId="0" borderId="0" xfId="256" applyNumberFormat="1" applyFont="1"/>
    <xf numFmtId="171" fontId="0" fillId="0" borderId="0" xfId="1" applyNumberFormat="1" applyFont="1" applyFill="1" applyBorder="1" applyAlignment="1"/>
    <xf numFmtId="171" fontId="0" fillId="0" borderId="2" xfId="1" applyNumberFormat="1" applyFont="1" applyFill="1" applyBorder="1" applyAlignment="1"/>
    <xf numFmtId="164" fontId="0" fillId="0" borderId="0" xfId="2" applyNumberFormat="1" applyFont="1" applyFill="1" applyBorder="1" applyAlignment="1"/>
    <xf numFmtId="37" fontId="8" fillId="0" borderId="1" xfId="0" applyNumberFormat="1" applyFont="1" applyFill="1" applyBorder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165" fontId="7" fillId="0" borderId="1" xfId="196" applyNumberFormat="1" applyFont="1" applyBorder="1" applyAlignment="1">
      <alignment horizontal="center"/>
    </xf>
    <xf numFmtId="43" fontId="7" fillId="0" borderId="1" xfId="1" applyNumberFormat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73" fillId="0" borderId="1" xfId="256" applyFont="1" applyFill="1" applyBorder="1" applyAlignment="1">
      <alignment horizontal="left" vertical="center"/>
    </xf>
    <xf numFmtId="0" fontId="54" fillId="0" borderId="0" xfId="0" applyFont="1"/>
    <xf numFmtId="0" fontId="72" fillId="0" borderId="7" xfId="4" applyFont="1" applyFill="1" applyBorder="1" applyAlignment="1">
      <alignment vertical="center"/>
    </xf>
    <xf numFmtId="0" fontId="72" fillId="0" borderId="13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left" vertical="center"/>
    </xf>
    <xf numFmtId="0" fontId="73" fillId="0" borderId="0" xfId="4" applyFont="1"/>
    <xf numFmtId="0" fontId="72" fillId="0" borderId="8" xfId="4" applyFont="1" applyFill="1" applyBorder="1" applyAlignment="1">
      <alignment vertical="center"/>
    </xf>
    <xf numFmtId="0" fontId="72" fillId="0" borderId="4" xfId="4" applyFont="1" applyFill="1" applyBorder="1" applyAlignment="1">
      <alignment vertical="center"/>
    </xf>
    <xf numFmtId="0" fontId="73" fillId="0" borderId="1" xfId="4" applyFont="1" applyFill="1" applyBorder="1" applyAlignment="1">
      <alignment horizontal="left" vertical="center"/>
    </xf>
    <xf numFmtId="3" fontId="73" fillId="0" borderId="1" xfId="4" applyNumberFormat="1" applyFont="1" applyFill="1" applyBorder="1" applyAlignment="1">
      <alignment horizontal="center" vertical="center" wrapText="1"/>
    </xf>
    <xf numFmtId="0" fontId="73" fillId="0" borderId="0" xfId="4" applyFont="1" applyFill="1" applyBorder="1" applyAlignment="1">
      <alignment horizontal="left" vertical="center"/>
    </xf>
    <xf numFmtId="3" fontId="73" fillId="0" borderId="0" xfId="4" applyNumberFormat="1" applyFont="1" applyFill="1" applyBorder="1" applyAlignment="1">
      <alignment horizontal="center" vertical="center" wrapText="1"/>
    </xf>
    <xf numFmtId="0" fontId="73" fillId="0" borderId="7" xfId="4" applyFont="1" applyFill="1" applyBorder="1" applyAlignment="1">
      <alignment horizontal="left" vertical="center"/>
    </xf>
    <xf numFmtId="178" fontId="73" fillId="0" borderId="1" xfId="4" applyNumberFormat="1" applyFont="1" applyFill="1" applyBorder="1" applyAlignment="1">
      <alignment horizontal="center" vertical="center" wrapText="1"/>
    </xf>
    <xf numFmtId="0" fontId="73" fillId="0" borderId="8" xfId="4" applyFont="1" applyFill="1" applyBorder="1" applyAlignment="1">
      <alignment horizontal="left" vertical="center"/>
    </xf>
    <xf numFmtId="0" fontId="73" fillId="0" borderId="1" xfId="4" applyFont="1" applyFill="1" applyBorder="1" applyAlignment="1">
      <alignment horizontal="left" vertical="center" wrapText="1"/>
    </xf>
    <xf numFmtId="179" fontId="73" fillId="0" borderId="17" xfId="4" applyNumberFormat="1" applyFont="1" applyFill="1" applyBorder="1" applyAlignment="1">
      <alignment horizontal="center" vertical="center" wrapText="1"/>
    </xf>
    <xf numFmtId="3" fontId="73" fillId="0" borderId="1" xfId="4" applyNumberFormat="1" applyFont="1" applyFill="1" applyBorder="1" applyAlignment="1">
      <alignment horizontal="center" vertical="center"/>
    </xf>
    <xf numFmtId="178" fontId="73" fillId="0" borderId="0" xfId="4" applyNumberFormat="1" applyFont="1" applyFill="1" applyBorder="1" applyAlignment="1">
      <alignment horizontal="center" vertical="center" wrapText="1"/>
    </xf>
    <xf numFmtId="0" fontId="72" fillId="0" borderId="17" xfId="4" applyFont="1" applyFill="1" applyBorder="1" applyAlignment="1">
      <alignment horizontal="left" vertical="center"/>
    </xf>
    <xf numFmtId="0" fontId="72" fillId="0" borderId="9" xfId="4" applyFont="1" applyFill="1" applyBorder="1" applyAlignment="1">
      <alignment vertical="center"/>
    </xf>
    <xf numFmtId="164" fontId="73" fillId="0" borderId="1" xfId="4" applyNumberFormat="1" applyFont="1" applyFill="1" applyBorder="1" applyAlignment="1">
      <alignment horizontal="center" vertical="center" wrapText="1"/>
    </xf>
    <xf numFmtId="164" fontId="7" fillId="0" borderId="0" xfId="2" applyNumberFormat="1"/>
    <xf numFmtId="0" fontId="72" fillId="66" borderId="1" xfId="60" applyFont="1" applyFill="1" applyBorder="1" applyAlignment="1">
      <alignment horizontal="left" vertical="center" wrapText="1"/>
    </xf>
    <xf numFmtId="0" fontId="72" fillId="0" borderId="17" xfId="256" applyFont="1" applyFill="1" applyBorder="1" applyAlignment="1">
      <alignment horizontal="left" vertical="center"/>
    </xf>
    <xf numFmtId="0" fontId="77" fillId="0" borderId="0" xfId="4" applyFont="1"/>
    <xf numFmtId="0" fontId="77" fillId="0" borderId="0" xfId="0" applyFont="1"/>
    <xf numFmtId="0" fontId="77" fillId="0" borderId="1" xfId="4" applyFont="1" applyFill="1" applyBorder="1" applyAlignment="1">
      <alignment horizontal="left" vertical="center"/>
    </xf>
    <xf numFmtId="189" fontId="73" fillId="0" borderId="1" xfId="4" applyNumberFormat="1" applyFont="1" applyFill="1" applyBorder="1" applyAlignment="1">
      <alignment horizontal="center" vertical="center" wrapText="1"/>
    </xf>
    <xf numFmtId="0" fontId="76" fillId="0" borderId="1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3" fillId="0" borderId="8" xfId="4" applyFont="1" applyBorder="1" applyAlignment="1">
      <alignment horizontal="left" wrapText="1"/>
    </xf>
    <xf numFmtId="0" fontId="73" fillId="0" borderId="8" xfId="4" applyFont="1" applyBorder="1"/>
    <xf numFmtId="0" fontId="73" fillId="0" borderId="1" xfId="4" applyFont="1" applyFill="1" applyBorder="1" applyAlignment="1">
      <alignment vertical="center"/>
    </xf>
    <xf numFmtId="0" fontId="73" fillId="0" borderId="1" xfId="4" applyFont="1" applyBorder="1"/>
    <xf numFmtId="3" fontId="73" fillId="0" borderId="1" xfId="4" applyNumberFormat="1" applyFont="1" applyBorder="1" applyAlignment="1">
      <alignment horizontal="center"/>
    </xf>
    <xf numFmtId="0" fontId="73" fillId="0" borderId="8" xfId="4" applyFont="1" applyBorder="1" applyAlignment="1">
      <alignment horizontal="left"/>
    </xf>
    <xf numFmtId="3" fontId="73" fillId="0" borderId="4" xfId="59" applyNumberFormat="1" applyFont="1" applyFill="1" applyBorder="1" applyAlignment="1">
      <alignment horizontal="center" vertical="center"/>
    </xf>
    <xf numFmtId="167" fontId="73" fillId="0" borderId="1" xfId="4" applyNumberFormat="1" applyFont="1" applyFill="1" applyBorder="1" applyAlignment="1">
      <alignment horizontal="center" vertical="center"/>
    </xf>
    <xf numFmtId="3" fontId="73" fillId="0" borderId="1" xfId="4" applyNumberFormat="1" applyFont="1" applyBorder="1"/>
    <xf numFmtId="0" fontId="72" fillId="66" borderId="1" xfId="60" applyFont="1" applyFill="1" applyBorder="1" applyAlignment="1">
      <alignment horizontal="center" vertical="center"/>
    </xf>
    <xf numFmtId="0" fontId="7" fillId="65" borderId="0" xfId="0" applyFont="1" applyFill="1" applyAlignment="1">
      <alignment horizontal="right"/>
    </xf>
    <xf numFmtId="0" fontId="7" fillId="65" borderId="0" xfId="0" quotePrefix="1" applyFont="1" applyFill="1" applyAlignment="1">
      <alignment horizontal="right"/>
    </xf>
    <xf numFmtId="43" fontId="7" fillId="65" borderId="0" xfId="1" quotePrefix="1" applyFont="1" applyFill="1" applyAlignment="1">
      <alignment horizontal="right"/>
    </xf>
    <xf numFmtId="171" fontId="8" fillId="0" borderId="0" xfId="1" applyNumberFormat="1" applyFont="1" applyAlignment="1">
      <alignment horizontal="center"/>
    </xf>
    <xf numFmtId="43" fontId="0" fillId="0" borderId="0" xfId="1" applyNumberFormat="1" applyFont="1" applyFill="1" applyBorder="1" applyAlignment="1"/>
    <xf numFmtId="43" fontId="0" fillId="0" borderId="2" xfId="1" applyNumberFormat="1" applyFont="1" applyFill="1" applyBorder="1" applyAlignment="1"/>
    <xf numFmtId="171" fontId="7" fillId="0" borderId="0" xfId="1" applyNumberFormat="1" applyFont="1" applyAlignment="1">
      <alignment horizontal="center"/>
    </xf>
    <xf numFmtId="0" fontId="72" fillId="66" borderId="40" xfId="60" applyFont="1" applyFill="1" applyBorder="1" applyAlignment="1">
      <alignment horizontal="left" vertical="center"/>
    </xf>
    <xf numFmtId="0" fontId="72" fillId="66" borderId="41" xfId="60" applyFont="1" applyFill="1" applyBorder="1" applyAlignment="1">
      <alignment horizontal="center" vertical="center" wrapText="1"/>
    </xf>
    <xf numFmtId="0" fontId="72" fillId="66" borderId="41" xfId="60" quotePrefix="1" applyFont="1" applyFill="1" applyBorder="1" applyAlignment="1">
      <alignment horizontal="center" vertical="center" wrapText="1"/>
    </xf>
    <xf numFmtId="0" fontId="72" fillId="66" borderId="42" xfId="60" quotePrefix="1" applyFont="1" applyFill="1" applyBorder="1" applyAlignment="1">
      <alignment horizontal="center" vertical="center" wrapText="1"/>
    </xf>
    <xf numFmtId="0" fontId="73" fillId="0" borderId="43" xfId="256" applyFont="1" applyFill="1" applyBorder="1" applyAlignment="1">
      <alignment horizontal="left" vertical="center"/>
    </xf>
    <xf numFmtId="0" fontId="73" fillId="0" borderId="43" xfId="256" quotePrefix="1" applyFont="1" applyFill="1" applyBorder="1" applyAlignment="1">
      <alignment horizontal="left" vertical="center"/>
    </xf>
    <xf numFmtId="0" fontId="72" fillId="0" borderId="43" xfId="256" applyFont="1" applyFill="1" applyBorder="1" applyAlignment="1">
      <alignment horizontal="left" vertical="center"/>
    </xf>
    <xf numFmtId="0" fontId="72" fillId="0" borderId="45" xfId="256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vertical="center"/>
    </xf>
    <xf numFmtId="171" fontId="73" fillId="0" borderId="44" xfId="1" applyNumberFormat="1" applyFont="1" applyFill="1" applyBorder="1" applyAlignment="1">
      <alignment vertical="center"/>
    </xf>
    <xf numFmtId="171" fontId="73" fillId="0" borderId="1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horizontal="center" vertical="center"/>
    </xf>
    <xf numFmtId="171" fontId="73" fillId="0" borderId="1" xfId="1" applyNumberFormat="1" applyFont="1" applyBorder="1"/>
    <xf numFmtId="171" fontId="73" fillId="0" borderId="44" xfId="1" applyNumberFormat="1" applyFont="1" applyFill="1" applyBorder="1" applyAlignment="1">
      <alignment horizontal="center" vertical="center"/>
    </xf>
    <xf numFmtId="43" fontId="73" fillId="0" borderId="0" xfId="1" applyFont="1"/>
    <xf numFmtId="171" fontId="72" fillId="0" borderId="1" xfId="1" applyNumberFormat="1" applyFont="1" applyFill="1" applyBorder="1" applyAlignment="1">
      <alignment horizontal="center" vertical="center"/>
    </xf>
    <xf numFmtId="171" fontId="72" fillId="0" borderId="44" xfId="1" applyNumberFormat="1" applyFont="1" applyFill="1" applyBorder="1" applyAlignment="1">
      <alignment horizontal="center" vertical="center"/>
    </xf>
    <xf numFmtId="171" fontId="72" fillId="0" borderId="46" xfId="1" applyNumberFormat="1" applyFont="1" applyFill="1" applyBorder="1" applyAlignment="1">
      <alignment horizontal="center" vertical="center"/>
    </xf>
    <xf numFmtId="171" fontId="72" fillId="0" borderId="47" xfId="1" applyNumberFormat="1" applyFont="1" applyFill="1" applyBorder="1" applyAlignment="1">
      <alignment horizontal="center" vertical="center"/>
    </xf>
    <xf numFmtId="0" fontId="72" fillId="0" borderId="43" xfId="256" quotePrefix="1" applyFont="1" applyFill="1" applyBorder="1" applyAlignment="1">
      <alignment horizontal="left" vertical="center"/>
    </xf>
    <xf numFmtId="0" fontId="72" fillId="0" borderId="0" xfId="4" applyFont="1" applyFill="1" applyBorder="1" applyAlignment="1">
      <alignment vertical="center" wrapText="1"/>
    </xf>
    <xf numFmtId="0" fontId="72" fillId="0" borderId="13" xfId="4" applyFont="1" applyFill="1" applyBorder="1" applyAlignment="1">
      <alignment vertical="center" wrapText="1"/>
    </xf>
    <xf numFmtId="0" fontId="72" fillId="0" borderId="13" xfId="4" quotePrefix="1" applyFont="1" applyFill="1" applyBorder="1" applyAlignment="1">
      <alignment horizontal="left" vertical="center"/>
    </xf>
    <xf numFmtId="0" fontId="72" fillId="66" borderId="1" xfId="60" quotePrefix="1" applyFont="1" applyFill="1" applyBorder="1" applyAlignment="1">
      <alignment horizontal="center" vertical="center" wrapText="1"/>
    </xf>
    <xf numFmtId="0" fontId="77" fillId="0" borderId="1" xfId="4" quotePrefix="1" applyFont="1" applyFill="1" applyBorder="1" applyAlignment="1">
      <alignment horizontal="left" vertical="center"/>
    </xf>
    <xf numFmtId="0" fontId="76" fillId="0" borderId="1" xfId="4" applyFont="1" applyFill="1" applyBorder="1" applyAlignment="1">
      <alignment horizontal="left" vertical="center"/>
    </xf>
    <xf numFmtId="0" fontId="77" fillId="0" borderId="1" xfId="4" applyFont="1" applyFill="1" applyBorder="1" applyAlignment="1">
      <alignment vertical="center"/>
    </xf>
    <xf numFmtId="171" fontId="77" fillId="0" borderId="1" xfId="4" applyNumberFormat="1" applyFont="1" applyFill="1" applyBorder="1" applyAlignment="1">
      <alignment vertical="center"/>
    </xf>
    <xf numFmtId="43" fontId="73" fillId="0" borderId="1" xfId="1" applyFont="1" applyFill="1" applyBorder="1" applyAlignment="1">
      <alignment horizontal="center" vertical="center" wrapText="1"/>
    </xf>
    <xf numFmtId="43" fontId="77" fillId="0" borderId="1" xfId="1" applyFont="1" applyFill="1" applyBorder="1" applyAlignment="1">
      <alignment vertical="center"/>
    </xf>
    <xf numFmtId="43" fontId="72" fillId="0" borderId="1" xfId="1" applyFont="1" applyFill="1" applyBorder="1" applyAlignment="1">
      <alignment horizontal="center" vertical="center" wrapText="1"/>
    </xf>
    <xf numFmtId="43" fontId="77" fillId="0" borderId="1" xfId="4" applyNumberFormat="1" applyFont="1" applyFill="1" applyBorder="1" applyAlignment="1">
      <alignment vertical="center"/>
    </xf>
    <xf numFmtId="10" fontId="73" fillId="0" borderId="0" xfId="2" applyNumberFormat="1" applyFont="1" applyFill="1" applyBorder="1" applyAlignment="1">
      <alignment horizontal="center" vertical="center" wrapText="1"/>
    </xf>
    <xf numFmtId="9" fontId="77" fillId="0" borderId="1" xfId="2" applyNumberFormat="1" applyFont="1" applyFill="1" applyBorder="1" applyAlignment="1">
      <alignment vertical="center"/>
    </xf>
    <xf numFmtId="9" fontId="76" fillId="0" borderId="1" xfId="2" applyNumberFormat="1" applyFont="1" applyFill="1" applyBorder="1" applyAlignment="1">
      <alignment vertical="center"/>
    </xf>
    <xf numFmtId="43" fontId="0" fillId="0" borderId="0" xfId="1" applyFont="1" applyFill="1"/>
    <xf numFmtId="43" fontId="73" fillId="0" borderId="1" xfId="1" applyFont="1" applyFill="1" applyBorder="1" applyAlignment="1">
      <alignment vertical="center"/>
    </xf>
    <xf numFmtId="9" fontId="73" fillId="0" borderId="1" xfId="2" applyNumberFormat="1" applyFont="1" applyFill="1" applyBorder="1" applyAlignment="1">
      <alignment vertical="center"/>
    </xf>
    <xf numFmtId="9" fontId="72" fillId="0" borderId="1" xfId="2" applyNumberFormat="1" applyFont="1" applyFill="1" applyBorder="1" applyAlignment="1">
      <alignment vertical="center"/>
    </xf>
    <xf numFmtId="10" fontId="73" fillId="0" borderId="0" xfId="2" applyNumberFormat="1" applyFont="1"/>
    <xf numFmtId="171" fontId="73" fillId="0" borderId="44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/>
    <xf numFmtId="171" fontId="73" fillId="0" borderId="44" xfId="1" applyNumberFormat="1" applyFont="1" applyFill="1" applyBorder="1"/>
    <xf numFmtId="7" fontId="0" fillId="0" borderId="0" xfId="0" applyNumberFormat="1"/>
    <xf numFmtId="3" fontId="7" fillId="0" borderId="1" xfId="0" quotePrefix="1" applyNumberFormat="1" applyFont="1" applyBorder="1" applyAlignment="1">
      <alignment horizontal="left"/>
    </xf>
    <xf numFmtId="0" fontId="72" fillId="0" borderId="0" xfId="4" quotePrefix="1" applyFont="1" applyFill="1" applyBorder="1" applyAlignment="1">
      <alignment horizontal="left" vertical="center"/>
    </xf>
    <xf numFmtId="190" fontId="0" fillId="0" borderId="0" xfId="0" applyNumberFormat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0" fillId="67" borderId="0" xfId="0" applyFill="1"/>
    <xf numFmtId="0" fontId="12" fillId="67" borderId="3" xfId="0" applyFont="1" applyFill="1" applyBorder="1" applyAlignment="1">
      <alignment horizontal="centerContinuous"/>
    </xf>
    <xf numFmtId="0" fontId="0" fillId="67" borderId="0" xfId="0" applyFill="1" applyBorder="1" applyAlignment="1"/>
    <xf numFmtId="10" fontId="0" fillId="67" borderId="0" xfId="2" applyNumberFormat="1" applyFont="1" applyFill="1" applyBorder="1" applyAlignment="1"/>
    <xf numFmtId="43" fontId="0" fillId="67" borderId="0" xfId="1" applyFont="1" applyFill="1" applyBorder="1" applyAlignment="1"/>
    <xf numFmtId="0" fontId="0" fillId="67" borderId="2" xfId="0" applyFill="1" applyBorder="1" applyAlignment="1"/>
    <xf numFmtId="0" fontId="12" fillId="67" borderId="3" xfId="0" applyFont="1" applyFill="1" applyBorder="1" applyAlignment="1">
      <alignment horizontal="center"/>
    </xf>
    <xf numFmtId="43" fontId="0" fillId="67" borderId="2" xfId="1" applyFont="1" applyFill="1" applyBorder="1" applyAlignment="1"/>
    <xf numFmtId="0" fontId="7" fillId="0" borderId="0" xfId="0" quotePrefix="1" applyFont="1" applyAlignment="1">
      <alignment horizontal="left"/>
    </xf>
    <xf numFmtId="174" fontId="7" fillId="0" borderId="0" xfId="199" applyNumberFormat="1" applyBorder="1"/>
    <xf numFmtId="2" fontId="7" fillId="0" borderId="0" xfId="0" applyNumberFormat="1" applyFont="1" applyFill="1" applyAlignment="1">
      <alignment horizontal="center"/>
    </xf>
    <xf numFmtId="37" fontId="8" fillId="0" borderId="0" xfId="0" applyNumberFormat="1" applyFont="1" applyFill="1" applyBorder="1" applyAlignment="1">
      <alignment horizontal="center"/>
    </xf>
    <xf numFmtId="0" fontId="72" fillId="0" borderId="1" xfId="4" applyFont="1" applyFill="1" applyBorder="1" applyAlignment="1">
      <alignment horizontal="left" vertical="center"/>
    </xf>
    <xf numFmtId="166" fontId="73" fillId="0" borderId="1" xfId="256" applyNumberFormat="1" applyFont="1" applyBorder="1" applyAlignment="1">
      <alignment horizontal="center"/>
    </xf>
    <xf numFmtId="0" fontId="73" fillId="0" borderId="1" xfId="256" applyFont="1" applyBorder="1" applyAlignment="1">
      <alignment horizontal="center"/>
    </xf>
    <xf numFmtId="0" fontId="72" fillId="66" borderId="8" xfId="60" applyFont="1" applyFill="1" applyBorder="1" applyAlignment="1">
      <alignment horizontal="center" vertical="center" wrapText="1"/>
    </xf>
    <xf numFmtId="0" fontId="72" fillId="66" borderId="9" xfId="60" applyFont="1" applyFill="1" applyBorder="1" applyAlignment="1">
      <alignment horizontal="center" vertical="center" wrapText="1"/>
    </xf>
    <xf numFmtId="0" fontId="75" fillId="0" borderId="8" xfId="257" applyFont="1" applyFill="1" applyBorder="1" applyAlignment="1">
      <alignment horizontal="left"/>
    </xf>
    <xf numFmtId="0" fontId="75" fillId="0" borderId="4" xfId="257" applyFont="1" applyFill="1" applyBorder="1" applyAlignment="1">
      <alignment horizontal="left"/>
    </xf>
    <xf numFmtId="0" fontId="75" fillId="0" borderId="9" xfId="257" applyFont="1" applyFill="1" applyBorder="1" applyAlignment="1">
      <alignment horizontal="left"/>
    </xf>
    <xf numFmtId="0" fontId="72" fillId="0" borderId="8" xfId="4" applyFont="1" applyFill="1" applyBorder="1" applyAlignment="1">
      <alignment horizontal="left" vertical="center"/>
    </xf>
    <xf numFmtId="0" fontId="72" fillId="0" borderId="4" xfId="4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 wrapText="1"/>
    </xf>
    <xf numFmtId="0" fontId="72" fillId="0" borderId="8" xfId="256" applyFont="1" applyBorder="1" applyAlignment="1">
      <alignment horizontal="left" vertical="center"/>
    </xf>
    <xf numFmtId="0" fontId="72" fillId="0" borderId="4" xfId="256" applyFont="1" applyBorder="1" applyAlignment="1">
      <alignment horizontal="left" vertical="center"/>
    </xf>
    <xf numFmtId="0" fontId="72" fillId="0" borderId="9" xfId="256" applyFont="1" applyBorder="1" applyAlignment="1">
      <alignment horizontal="left" vertical="center"/>
    </xf>
    <xf numFmtId="0" fontId="72" fillId="0" borderId="1" xfId="256" applyFont="1" applyFill="1" applyBorder="1" applyAlignment="1">
      <alignment horizontal="left" vertical="center"/>
    </xf>
    <xf numFmtId="0" fontId="72" fillId="0" borderId="0" xfId="256" applyFont="1" applyFill="1" applyBorder="1" applyAlignment="1">
      <alignment horizontal="left" vertical="center"/>
    </xf>
    <xf numFmtId="0" fontId="72" fillId="0" borderId="5" xfId="256" applyFont="1" applyFill="1" applyBorder="1" applyAlignment="1">
      <alignment horizontal="center" vertical="center"/>
    </xf>
    <xf numFmtId="0" fontId="72" fillId="0" borderId="0" xfId="256" applyFont="1" applyFill="1" applyBorder="1" applyAlignment="1">
      <alignment horizontal="center" vertical="center"/>
    </xf>
    <xf numFmtId="0" fontId="72" fillId="0" borderId="6" xfId="256" applyFont="1" applyFill="1" applyBorder="1" applyAlignment="1">
      <alignment horizontal="center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9" xfId="4" applyFont="1" applyFill="1" applyBorder="1" applyAlignment="1">
      <alignment horizontal="left" vertical="center"/>
    </xf>
    <xf numFmtId="0" fontId="72" fillId="0" borderId="8" xfId="256" applyFont="1" applyFill="1" applyBorder="1" applyAlignment="1">
      <alignment horizontal="left" vertical="center"/>
    </xf>
    <xf numFmtId="0" fontId="72" fillId="0" borderId="4" xfId="256" applyFont="1" applyFill="1" applyBorder="1" applyAlignment="1">
      <alignment horizontal="left" vertical="center"/>
    </xf>
    <xf numFmtId="0" fontId="72" fillId="0" borderId="9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 indent="1"/>
    </xf>
    <xf numFmtId="0" fontId="74" fillId="0" borderId="5" xfId="257" applyFont="1" applyFill="1" applyBorder="1" applyAlignment="1">
      <alignment horizontal="left"/>
    </xf>
    <xf numFmtId="0" fontId="74" fillId="0" borderId="0" xfId="257" applyFont="1" applyFill="1" applyBorder="1" applyAlignment="1">
      <alignment horizontal="left"/>
    </xf>
    <xf numFmtId="0" fontId="74" fillId="0" borderId="7" xfId="257" applyFont="1" applyFill="1" applyBorder="1" applyAlignment="1">
      <alignment horizontal="left" wrapText="1"/>
    </xf>
    <xf numFmtId="0" fontId="74" fillId="0" borderId="13" xfId="257" applyFont="1" applyFill="1" applyBorder="1" applyAlignment="1">
      <alignment horizontal="left" wrapText="1"/>
    </xf>
    <xf numFmtId="0" fontId="72" fillId="0" borderId="8" xfId="256" applyFont="1" applyBorder="1" applyAlignment="1">
      <alignment horizontal="left"/>
    </xf>
    <xf numFmtId="0" fontId="72" fillId="0" borderId="4" xfId="256" applyFont="1" applyBorder="1" applyAlignment="1">
      <alignment horizontal="left"/>
    </xf>
    <xf numFmtId="0" fontId="72" fillId="0" borderId="9" xfId="256" applyFont="1" applyBorder="1" applyAlignment="1">
      <alignment horizontal="left"/>
    </xf>
    <xf numFmtId="0" fontId="72" fillId="0" borderId="7" xfId="4" applyFont="1" applyFill="1" applyBorder="1" applyAlignment="1">
      <alignment horizontal="left" vertical="center"/>
    </xf>
    <xf numFmtId="0" fontId="72" fillId="0" borderId="13" xfId="4" applyFont="1" applyFill="1" applyBorder="1" applyAlignment="1">
      <alignment horizontal="left" vertical="center"/>
    </xf>
    <xf numFmtId="0" fontId="72" fillId="0" borderId="0" xfId="4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0" xfId="199" applyAlignment="1">
      <alignment horizontal="center"/>
    </xf>
    <xf numFmtId="0" fontId="7" fillId="0" borderId="1" xfId="199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18" xfId="0" quotePrefix="1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8" borderId="15" xfId="0" quotePrefix="1" applyNumberFormat="1" applyFont="1" applyFill="1" applyBorder="1" applyAlignment="1">
      <alignment horizontal="center" wrapText="1"/>
    </xf>
    <xf numFmtId="0" fontId="10" fillId="8" borderId="16" xfId="0" applyNumberFormat="1" applyFont="1" applyFill="1" applyBorder="1" applyAlignment="1">
      <alignment horizontal="center" wrapText="1"/>
    </xf>
    <xf numFmtId="0" fontId="10" fillId="8" borderId="15" xfId="0" quotePrefix="1" applyFont="1" applyFill="1" applyBorder="1" applyAlignment="1">
      <alignment horizontal="center" wrapText="1"/>
    </xf>
    <xf numFmtId="0" fontId="10" fillId="8" borderId="17" xfId="0" applyFont="1" applyFill="1" applyBorder="1" applyAlignment="1">
      <alignment horizontal="center" wrapText="1"/>
    </xf>
    <xf numFmtId="0" fontId="10" fillId="8" borderId="10" xfId="0" applyNumberFormat="1" applyFont="1" applyFill="1" applyBorder="1" applyAlignment="1">
      <alignment horizontal="center"/>
    </xf>
    <xf numFmtId="0" fontId="10" fillId="8" borderId="11" xfId="0" applyNumberFormat="1" applyFont="1" applyFill="1" applyBorder="1" applyAlignment="1">
      <alignment horizontal="center"/>
    </xf>
    <xf numFmtId="0" fontId="10" fillId="8" borderId="12" xfId="0" applyNumberFormat="1" applyFont="1" applyFill="1" applyBorder="1" applyAlignment="1">
      <alignment horizontal="center"/>
    </xf>
    <xf numFmtId="0" fontId="10" fillId="8" borderId="7" xfId="0" applyNumberFormat="1" applyFont="1" applyFill="1" applyBorder="1" applyAlignment="1">
      <alignment horizontal="center"/>
    </xf>
    <xf numFmtId="0" fontId="10" fillId="8" borderId="13" xfId="0" applyNumberFormat="1" applyFont="1" applyFill="1" applyBorder="1" applyAlignment="1">
      <alignment horizontal="center"/>
    </xf>
    <xf numFmtId="0" fontId="10" fillId="8" borderId="14" xfId="0" applyNumberFormat="1" applyFont="1" applyFill="1" applyBorder="1" applyAlignment="1">
      <alignment horizontal="center"/>
    </xf>
    <xf numFmtId="0" fontId="10" fillId="8" borderId="6" xfId="0" applyNumberFormat="1" applyFont="1" applyFill="1" applyBorder="1" applyAlignment="1">
      <alignment horizontal="center"/>
    </xf>
    <xf numFmtId="0" fontId="10" fillId="8" borderId="5" xfId="0" applyNumberFormat="1" applyFont="1" applyFill="1" applyBorder="1" applyAlignment="1">
      <alignment horizontal="center"/>
    </xf>
  </cellXfs>
  <cellStyles count="259">
    <cellStyle name="$" xfId="14"/>
    <cellStyle name="$.00" xfId="15"/>
    <cellStyle name="$_9. Rev2Cost_GDPIPI" xfId="126"/>
    <cellStyle name="$_lists" xfId="127"/>
    <cellStyle name="$_lists_4. Current Monthly Fixed Charge" xfId="128"/>
    <cellStyle name="$_Sheet4" xfId="129"/>
    <cellStyle name="$M" xfId="16"/>
    <cellStyle name="$M.00" xfId="17"/>
    <cellStyle name="$M_9. Rev2Cost_GDPIPI" xfId="130"/>
    <cellStyle name="20% - Accent1 2" xfId="93"/>
    <cellStyle name="20% - Accent1 2 2" xfId="154"/>
    <cellStyle name="20% - Accent1 2 3" xfId="209"/>
    <cellStyle name="20% - Accent1 3" xfId="18"/>
    <cellStyle name="20% - Accent2 2" xfId="97"/>
    <cellStyle name="20% - Accent2 2 2" xfId="156"/>
    <cellStyle name="20% - Accent2 2 3" xfId="210"/>
    <cellStyle name="20% - Accent2 3" xfId="19"/>
    <cellStyle name="20% - Accent3 2" xfId="101"/>
    <cellStyle name="20% - Accent3 2 2" xfId="158"/>
    <cellStyle name="20% - Accent3 2 3" xfId="211"/>
    <cellStyle name="20% - Accent3 3" xfId="20"/>
    <cellStyle name="20% - Accent4 2" xfId="105"/>
    <cellStyle name="20% - Accent4 2 2" xfId="160"/>
    <cellStyle name="20% - Accent4 2 3" xfId="212"/>
    <cellStyle name="20% - Accent4 3" xfId="21"/>
    <cellStyle name="20% - Accent5" xfId="207" builtinId="46" customBuiltin="1"/>
    <cellStyle name="20% - Accent5 2" xfId="109"/>
    <cellStyle name="20% - Accent5 2 2" xfId="162"/>
    <cellStyle name="20% - Accent5 3" xfId="22"/>
    <cellStyle name="20% - Accent6 2" xfId="113"/>
    <cellStyle name="20% - Accent6 2 2" xfId="164"/>
    <cellStyle name="20% - Accent6 2 3" xfId="213"/>
    <cellStyle name="20% - Accent6 3" xfId="23"/>
    <cellStyle name="40% - Accent1 2" xfId="94"/>
    <cellStyle name="40% - Accent1 2 2" xfId="155"/>
    <cellStyle name="40% - Accent1 2 3" xfId="214"/>
    <cellStyle name="40% - Accent1 3" xfId="24"/>
    <cellStyle name="40% - Accent2" xfId="205" builtinId="35" customBuiltin="1"/>
    <cellStyle name="40% - Accent2 2" xfId="98"/>
    <cellStyle name="40% - Accent2 2 2" xfId="157"/>
    <cellStyle name="40% - Accent2 3" xfId="25"/>
    <cellStyle name="40% - Accent3 2" xfId="102"/>
    <cellStyle name="40% - Accent3 2 2" xfId="159"/>
    <cellStyle name="40% - Accent3 2 3" xfId="215"/>
    <cellStyle name="40% - Accent3 3" xfId="26"/>
    <cellStyle name="40% - Accent4 2" xfId="106"/>
    <cellStyle name="40% - Accent4 2 2" xfId="161"/>
    <cellStyle name="40% - Accent4 2 3" xfId="216"/>
    <cellStyle name="40% - Accent4 3" xfId="27"/>
    <cellStyle name="40% - Accent5 2" xfId="110"/>
    <cellStyle name="40% - Accent5 2 2" xfId="163"/>
    <cellStyle name="40% - Accent5 2 3" xfId="217"/>
    <cellStyle name="40% - Accent5 3" xfId="28"/>
    <cellStyle name="40% - Accent6 2" xfId="114"/>
    <cellStyle name="40% - Accent6 2 2" xfId="165"/>
    <cellStyle name="40% - Accent6 2 3" xfId="218"/>
    <cellStyle name="40% - Accent6 3" xfId="29"/>
    <cellStyle name="60% - Accent1 2" xfId="95"/>
    <cellStyle name="60% - Accent1 2 2" xfId="219"/>
    <cellStyle name="60% - Accent1 3" xfId="30"/>
    <cellStyle name="60% - Accent2 2" xfId="99"/>
    <cellStyle name="60% - Accent2 2 2" xfId="220"/>
    <cellStyle name="60% - Accent2 3" xfId="31"/>
    <cellStyle name="60% - Accent3 2" xfId="103"/>
    <cellStyle name="60% - Accent3 2 2" xfId="221"/>
    <cellStyle name="60% - Accent3 3" xfId="32"/>
    <cellStyle name="60% - Accent4 2" xfId="107"/>
    <cellStyle name="60% - Accent4 2 2" xfId="222"/>
    <cellStyle name="60% - Accent4 3" xfId="33"/>
    <cellStyle name="60% - Accent5 2" xfId="111"/>
    <cellStyle name="60% - Accent5 2 2" xfId="223"/>
    <cellStyle name="60% - Accent5 3" xfId="34"/>
    <cellStyle name="60% - Accent6 2" xfId="115"/>
    <cellStyle name="60% - Accent6 2 2" xfId="224"/>
    <cellStyle name="60% - Accent6 3" xfId="35"/>
    <cellStyle name="Accent1 2" xfId="92"/>
    <cellStyle name="Accent1 2 2" xfId="225"/>
    <cellStyle name="Accent1 3" xfId="36"/>
    <cellStyle name="Accent2 2" xfId="96"/>
    <cellStyle name="Accent2 2 2" xfId="226"/>
    <cellStyle name="Accent2 3" xfId="37"/>
    <cellStyle name="Accent3 2" xfId="100"/>
    <cellStyle name="Accent3 2 2" xfId="227"/>
    <cellStyle name="Accent3 3" xfId="38"/>
    <cellStyle name="Accent4 2" xfId="104"/>
    <cellStyle name="Accent4 2 2" xfId="228"/>
    <cellStyle name="Accent4 3" xfId="39"/>
    <cellStyle name="Accent5" xfId="206" builtinId="45" customBuiltin="1"/>
    <cellStyle name="Accent5 2" xfId="108"/>
    <cellStyle name="Accent5 3" xfId="40"/>
    <cellStyle name="Accent6 2" xfId="112"/>
    <cellStyle name="Accent6 2 2" xfId="229"/>
    <cellStyle name="Accent6 3" xfId="41"/>
    <cellStyle name="Bad 2" xfId="81"/>
    <cellStyle name="Bad 2 2" xfId="230"/>
    <cellStyle name="Bad 3" xfId="42"/>
    <cellStyle name="Calculation 2" xfId="85"/>
    <cellStyle name="Calculation 2 2" xfId="231"/>
    <cellStyle name="Calculation 3" xfId="43"/>
    <cellStyle name="Check Cell" xfId="202" builtinId="23" customBuiltin="1"/>
    <cellStyle name="Check Cell 2" xfId="87"/>
    <cellStyle name="Check Cell 3" xfId="44"/>
    <cellStyle name="Comma" xfId="1" builtinId="3"/>
    <cellStyle name="Comma 2" xfId="5"/>
    <cellStyle name="Comma 2 2" xfId="117"/>
    <cellStyle name="Comma 2 2 2" xfId="167"/>
    <cellStyle name="Comma 2 3" xfId="233"/>
    <cellStyle name="Comma 2 4" xfId="250"/>
    <cellStyle name="Comma 3" xfId="6"/>
    <cellStyle name="Comma 3 2" xfId="138"/>
    <cellStyle name="Comma 3 2 2" xfId="177"/>
    <cellStyle name="Comma 3 3" xfId="120"/>
    <cellStyle name="Comma 3 3 2" xfId="170"/>
    <cellStyle name="Comma 4" xfId="12"/>
    <cellStyle name="Comma 4 2" xfId="125"/>
    <cellStyle name="Comma 4 2 2" xfId="175"/>
    <cellStyle name="Comma 4 3" xfId="150"/>
    <cellStyle name="Comma 5" xfId="72"/>
    <cellStyle name="Comma 6" xfId="186"/>
    <cellStyle name="Comma 7" xfId="232"/>
    <cellStyle name="Comma_CDM monthly amounts 2" xfId="200"/>
    <cellStyle name="Comma_Horizon 2011 Load Forecast Model  June 25, 2010" xfId="11"/>
    <cellStyle name="Comma0" xfId="7"/>
    <cellStyle name="Comma0 2" xfId="180"/>
    <cellStyle name="Currency 2" xfId="124"/>
    <cellStyle name="Currency 2 2" xfId="174"/>
    <cellStyle name="Currency 3" xfId="140"/>
    <cellStyle name="Currency 4" xfId="73"/>
    <cellStyle name="Currency0" xfId="8"/>
    <cellStyle name="Currency0 2" xfId="181"/>
    <cellStyle name="Date" xfId="9"/>
    <cellStyle name="Date 2" xfId="182"/>
    <cellStyle name="Explanatory Text" xfId="204" builtinId="53" customBuiltin="1"/>
    <cellStyle name="Explanatory Text 2" xfId="90"/>
    <cellStyle name="Explanatory Text 3" xfId="45"/>
    <cellStyle name="Fixed" xfId="10"/>
    <cellStyle name="Fixed 2" xfId="183"/>
    <cellStyle name="Good 2" xfId="80"/>
    <cellStyle name="Good 2 2" xfId="234"/>
    <cellStyle name="Good 3" xfId="46"/>
    <cellStyle name="Grey" xfId="47"/>
    <cellStyle name="Grey 2" xfId="131"/>
    <cellStyle name="Heading 1 2" xfId="76"/>
    <cellStyle name="Heading 1 2 2" xfId="235"/>
    <cellStyle name="Heading 1 3" xfId="48"/>
    <cellStyle name="Heading 2 2" xfId="75"/>
    <cellStyle name="Heading 2 2 2" xfId="237"/>
    <cellStyle name="Heading 2 3" xfId="49"/>
    <cellStyle name="Heading 3 2" xfId="78"/>
    <cellStyle name="Heading 3 2 2" xfId="238"/>
    <cellStyle name="Heading 3 3" xfId="50"/>
    <cellStyle name="Heading 4 2" xfId="79"/>
    <cellStyle name="Heading 4 2 2" xfId="239"/>
    <cellStyle name="Heading 4 3" xfId="51"/>
    <cellStyle name="Input [yellow]" xfId="53"/>
    <cellStyle name="Input [yellow] 2" xfId="132"/>
    <cellStyle name="Input 10" xfId="142"/>
    <cellStyle name="Input 11" xfId="184"/>
    <cellStyle name="Input 12" xfId="179"/>
    <cellStyle name="Input 2" xfId="83"/>
    <cellStyle name="Input 2 2" xfId="240"/>
    <cellStyle name="Input 3" xfId="52"/>
    <cellStyle name="Input 4" xfId="144"/>
    <cellStyle name="Input 5" xfId="143"/>
    <cellStyle name="Input 6" xfId="145"/>
    <cellStyle name="Input 7" xfId="146"/>
    <cellStyle name="Input 8" xfId="147"/>
    <cellStyle name="Input 9" xfId="141"/>
    <cellStyle name="Linked Cell 2" xfId="86"/>
    <cellStyle name="Linked Cell 2 2" xfId="241"/>
    <cellStyle name="Linked Cell 3" xfId="54"/>
    <cellStyle name="M" xfId="55"/>
    <cellStyle name="M.00" xfId="56"/>
    <cellStyle name="M_9. Rev2Cost_GDPIPI" xfId="133"/>
    <cellStyle name="M_lists" xfId="134"/>
    <cellStyle name="M_lists_4. Current Monthly Fixed Charge" xfId="135"/>
    <cellStyle name="M_Sheet4" xfId="136"/>
    <cellStyle name="Neutral 2" xfId="82"/>
    <cellStyle name="Neutral 2 2" xfId="242"/>
    <cellStyle name="Neutral 3" xfId="57"/>
    <cellStyle name="Normal" xfId="0" builtinId="0"/>
    <cellStyle name="Normal - Style1" xfId="58"/>
    <cellStyle name="Normal 10" xfId="199"/>
    <cellStyle name="Normal 11" xfId="208"/>
    <cellStyle name="Normal 12" xfId="236"/>
    <cellStyle name="Normal 13" xfId="255"/>
    <cellStyle name="Normal 14" xfId="249"/>
    <cellStyle name="Normal 2" xfId="4"/>
    <cellStyle name="Normal 2 2" xfId="194"/>
    <cellStyle name="Normal 2 2 2" xfId="256"/>
    <cellStyle name="Normal 2 3" xfId="252"/>
    <cellStyle name="Normal 3" xfId="77"/>
    <cellStyle name="Normal 3 2" xfId="152"/>
    <cellStyle name="Normal 3 3" xfId="196"/>
    <cellStyle name="Normal 3 4" xfId="253"/>
    <cellStyle name="Normal 4" xfId="116"/>
    <cellStyle name="Normal 4 2" xfId="166"/>
    <cellStyle name="Normal 4 3" xfId="197"/>
    <cellStyle name="Normal 5" xfId="119"/>
    <cellStyle name="Normal 5 2" xfId="137"/>
    <cellStyle name="Normal 5 2 2" xfId="176"/>
    <cellStyle name="Normal 5 2 3" xfId="201"/>
    <cellStyle name="Normal 5 2 3 2" xfId="257"/>
    <cellStyle name="Normal 5 3" xfId="169"/>
    <cellStyle name="Normal 6" xfId="122"/>
    <cellStyle name="Normal 6 2" xfId="172"/>
    <cellStyle name="Normal 7" xfId="71"/>
    <cellStyle name="Normal 8" xfId="148"/>
    <cellStyle name="Normal 9" xfId="198"/>
    <cellStyle name="Normal_OEB Trial Balance - Regulatory-July24-07" xfId="59"/>
    <cellStyle name="Normal_Sheet2" xfId="60"/>
    <cellStyle name="Note 2" xfId="89"/>
    <cellStyle name="Note 2 2" xfId="153"/>
    <cellStyle name="Note 2 3" xfId="243"/>
    <cellStyle name="Note 3" xfId="61"/>
    <cellStyle name="Note 3 2" xfId="244"/>
    <cellStyle name="Note 4" xfId="185"/>
    <cellStyle name="Output 2" xfId="84"/>
    <cellStyle name="Output 2 2" xfId="245"/>
    <cellStyle name="Output 3" xfId="62"/>
    <cellStyle name="Percent" xfId="2" builtinId="5"/>
    <cellStyle name="Percent [2]" xfId="63"/>
    <cellStyle name="Percent 10" xfId="192"/>
    <cellStyle name="Percent 11" xfId="193"/>
    <cellStyle name="Percent 12" xfId="246"/>
    <cellStyle name="Percent 13" xfId="254"/>
    <cellStyle name="Percent 14" xfId="251"/>
    <cellStyle name="Percent 2" xfId="13"/>
    <cellStyle name="Percent 2 2" xfId="118"/>
    <cellStyle name="Percent 2 2 2" xfId="168"/>
    <cellStyle name="Percent 2 3" xfId="151"/>
    <cellStyle name="Percent 2 4" xfId="195"/>
    <cellStyle name="Percent 3" xfId="121"/>
    <cellStyle name="Percent 3 2" xfId="139"/>
    <cellStyle name="Percent 3 2 2" xfId="178"/>
    <cellStyle name="Percent 3 3" xfId="171"/>
    <cellStyle name="Percent 4" xfId="123"/>
    <cellStyle name="Percent 4 2" xfId="173"/>
    <cellStyle name="Percent 5" xfId="187"/>
    <cellStyle name="Percent 5 2" xfId="258"/>
    <cellStyle name="Percent 6" xfId="188"/>
    <cellStyle name="Percent 7" xfId="189"/>
    <cellStyle name="Percent 8" xfId="190"/>
    <cellStyle name="Percent 9" xfId="191"/>
    <cellStyle name="Style 23" xfId="3"/>
    <cellStyle name="Style 23 2" xfId="149"/>
    <cellStyle name="STYLE1" xfId="64"/>
    <cellStyle name="STYLE2" xfId="65"/>
    <cellStyle name="STYLE4" xfId="66"/>
    <cellStyle name="Subtotal" xfId="67"/>
    <cellStyle name="Title 2" xfId="74"/>
    <cellStyle name="Title 2 2" xfId="247"/>
    <cellStyle name="Title 3" xfId="68"/>
    <cellStyle name="Total 2" xfId="91"/>
    <cellStyle name="Total 2 2" xfId="248"/>
    <cellStyle name="Total 3" xfId="69"/>
    <cellStyle name="Warning Text" xfId="203" builtinId="11" customBuiltin="1"/>
    <cellStyle name="Warning Text 2" xfId="88"/>
    <cellStyle name="Warning Text 3" xfId="7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Richmond%20Hill/Year%20End/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LDC%20FTY%20-%20LF/Cost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2006-2010%20Final%20OPA%20CDM%20Results.PUC%20Distribution%20Inc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lsito.SOOPUCNT/AppData/Local/Microsoft/Windows/Temporary%20Internet%20Files/Content.Outlook/LUCSCR35/Appendix%202-I%20-%20VECC%2046%20b)_V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PUC%20CDM%202017%20and%202018%20value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PUC%20persistence%202011-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/Richmond%20Hill/Year%20End/RHH96YE_%20MEA%20Statistic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PUC%20-%20SSM/2018%20Rates/Settlement/Appendix%202-I%20-%20VECC%2046%20b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Lakeland/2013%20Rate%20Appl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Documents%20and%20Settings/dg/Desktop/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dg/Desktop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Tennant/Return%20on%20Equity%20and%20WC/RateMak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LDC%20FTY%20-%20LF/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3143.043062031812</v>
          </cell>
        </row>
        <row r="20">
          <cell r="F20">
            <v>2816.9208839073553</v>
          </cell>
        </row>
        <row r="21">
          <cell r="G21">
            <v>2275.7043451437339</v>
          </cell>
        </row>
        <row r="22">
          <cell r="H22">
            <v>1707.4160515039262</v>
          </cell>
        </row>
        <row r="23">
          <cell r="I23">
            <v>1777.0375029102195</v>
          </cell>
        </row>
        <row r="24">
          <cell r="E24">
            <v>3143.043062031812</v>
          </cell>
          <cell r="F24">
            <v>5959.9639459391674</v>
          </cell>
          <cell r="G24">
            <v>7763.7009886648812</v>
          </cell>
          <cell r="H24">
            <v>9131.2516910402446</v>
          </cell>
          <cell r="I24">
            <v>7919.7803452491771</v>
          </cell>
          <cell r="J24">
            <v>6681.1801009053634</v>
          </cell>
          <cell r="K24">
            <v>6429.4763711081559</v>
          </cell>
          <cell r="L24">
            <v>6368.2254161085802</v>
          </cell>
          <cell r="M24">
            <v>5978.7486936793266</v>
          </cell>
          <cell r="N24">
            <v>4582.2352244218509</v>
          </cell>
          <cell r="O24">
            <v>3917.5348311292905</v>
          </cell>
          <cell r="P24">
            <v>3161.6515077473391</v>
          </cell>
          <cell r="Q24">
            <v>2827.9805324192521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7">
          <cell r="E37">
            <v>4645200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</sheetNames>
    <sheetDataSet>
      <sheetData sheetId="0" refreshError="1"/>
      <sheetData sheetId="1" refreshError="1">
        <row r="5">
          <cell r="B5">
            <v>1400602</v>
          </cell>
          <cell r="C5">
            <v>1189716</v>
          </cell>
        </row>
        <row r="6">
          <cell r="C6">
            <v>802685.14</v>
          </cell>
        </row>
        <row r="7">
          <cell r="C7">
            <v>1921596.8599999999</v>
          </cell>
        </row>
        <row r="9">
          <cell r="B9">
            <v>3375904</v>
          </cell>
          <cell r="C9">
            <v>3913998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16">
          <cell r="AR16">
            <v>4505.9564656760513</v>
          </cell>
          <cell r="AS16">
            <v>4504.8941876753606</v>
          </cell>
          <cell r="AT16">
            <v>4502.2303731453276</v>
          </cell>
          <cell r="AU16">
            <v>4397.6145816082271</v>
          </cell>
          <cell r="AV16">
            <v>4322.8621504154498</v>
          </cell>
          <cell r="AW16">
            <v>4202.0027482766363</v>
          </cell>
          <cell r="AX16">
            <v>3732.6947559853875</v>
          </cell>
          <cell r="AY16">
            <v>3731.4549377404901</v>
          </cell>
        </row>
      </sheetData>
      <sheetData sheetId="1">
        <row r="27">
          <cell r="AR27">
            <v>2980.2777891996157</v>
          </cell>
          <cell r="AS27">
            <v>3279.0003986098473</v>
          </cell>
          <cell r="AT27">
            <v>3277.4613289978151</v>
          </cell>
          <cell r="AU27">
            <v>3104.8846413279266</v>
          </cell>
          <cell r="AV27">
            <v>3024.8261059490178</v>
          </cell>
          <cell r="AW27">
            <v>2205.1526049126055</v>
          </cell>
          <cell r="AX27">
            <v>2125.8965414986988</v>
          </cell>
        </row>
      </sheetData>
      <sheetData sheetId="2">
        <row r="27">
          <cell r="AS27">
            <v>-53.724248342509952</v>
          </cell>
          <cell r="AT27">
            <v>3572.9712702292891</v>
          </cell>
          <cell r="AU27">
            <v>3513.6936455111559</v>
          </cell>
          <cell r="AV27">
            <v>3484.5802756729527</v>
          </cell>
          <cell r="AW27">
            <v>3136.193008425616</v>
          </cell>
          <cell r="AX27">
            <v>2342.3468957157643</v>
          </cell>
        </row>
      </sheetData>
      <sheetData sheetId="3">
        <row r="33">
          <cell r="AU33">
            <v>3753.3228408311284</v>
          </cell>
          <cell r="AV33">
            <v>3330.7607175311282</v>
          </cell>
          <cell r="AW33">
            <v>3181.9933510311275</v>
          </cell>
          <cell r="AX33">
            <v>2889.8796369311281</v>
          </cell>
          <cell r="AY33">
            <v>2822.5627804336405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B34">
            <v>5408004</v>
          </cell>
          <cell r="C34">
            <v>5354552</v>
          </cell>
          <cell r="D34">
            <v>5348661</v>
          </cell>
          <cell r="E34">
            <v>5344206</v>
          </cell>
        </row>
        <row r="35">
          <cell r="C35">
            <v>10720230</v>
          </cell>
          <cell r="D35">
            <v>10720229</v>
          </cell>
          <cell r="E35">
            <v>10747568</v>
          </cell>
        </row>
        <row r="36">
          <cell r="D36">
            <v>9582028</v>
          </cell>
          <cell r="E36">
            <v>8354534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23"/>
  <sheetViews>
    <sheetView topLeftCell="A166" zoomScale="85" zoomScaleNormal="85" workbookViewId="0">
      <selection activeCell="I182" sqref="I182"/>
    </sheetView>
  </sheetViews>
  <sheetFormatPr defaultRowHeight="15.6" x14ac:dyDescent="0.3"/>
  <cols>
    <col min="1" max="1" width="29.5546875" style="233" customWidth="1"/>
    <col min="2" max="2" width="16" style="233" customWidth="1"/>
    <col min="3" max="3" width="17.5546875" style="233" customWidth="1"/>
    <col min="4" max="4" width="16.44140625" style="233" customWidth="1"/>
    <col min="5" max="5" width="14" style="233" customWidth="1"/>
    <col min="6" max="6" width="14.44140625" style="233" customWidth="1"/>
    <col min="7" max="7" width="13.33203125" style="233" customWidth="1"/>
    <col min="8" max="8" width="13.6640625" style="233" customWidth="1"/>
    <col min="9" max="9" width="17" style="233" customWidth="1"/>
    <col min="10" max="10" width="14.6640625" style="233" bestFit="1" customWidth="1"/>
    <col min="11" max="11" width="39.5546875" style="233" customWidth="1"/>
    <col min="12" max="12" width="13.109375" style="233" customWidth="1"/>
    <col min="13" max="13" width="16" style="233" customWidth="1"/>
    <col min="14" max="16" width="12.77734375" style="233" bestFit="1" customWidth="1"/>
    <col min="17" max="17" width="15.5546875" style="233" customWidth="1"/>
    <col min="18" max="18" width="15.109375" style="233" customWidth="1"/>
    <col min="19" max="19" width="39.109375" style="233" customWidth="1"/>
    <col min="20" max="20" width="10.109375" style="233" customWidth="1"/>
    <col min="21" max="21" width="9.88671875" style="233" customWidth="1"/>
    <col min="22" max="22" width="9.109375" style="233"/>
    <col min="23" max="23" width="14.109375" style="233" customWidth="1"/>
    <col min="24" max="26" width="12.77734375" style="233" bestFit="1" customWidth="1"/>
    <col min="27" max="27" width="12.44140625" style="233" bestFit="1" customWidth="1"/>
    <col min="28" max="28" width="10.21875" style="233" bestFit="1" customWidth="1"/>
    <col min="29" max="29" width="12.44140625" style="233" bestFit="1" customWidth="1"/>
    <col min="30" max="30" width="10.21875" style="233" bestFit="1" customWidth="1"/>
    <col min="31" max="233" width="9.109375" style="233"/>
    <col min="234" max="234" width="26.88671875" style="233" customWidth="1"/>
    <col min="235" max="235" width="0" style="233" hidden="1" customWidth="1"/>
    <col min="236" max="236" width="12.44140625" style="233" customWidth="1"/>
    <col min="237" max="238" width="11.109375" style="233" customWidth="1"/>
    <col min="239" max="239" width="12.109375" style="233" customWidth="1"/>
    <col min="240" max="240" width="14" style="233" customWidth="1"/>
    <col min="241" max="241" width="12.5546875" style="233" customWidth="1"/>
    <col min="242" max="243" width="13.109375" style="233" customWidth="1"/>
    <col min="244" max="245" width="9.109375" style="233"/>
    <col min="246" max="246" width="11" style="233" customWidth="1"/>
    <col min="247" max="489" width="9.109375" style="233"/>
    <col min="490" max="490" width="26.88671875" style="233" customWidth="1"/>
    <col min="491" max="491" width="0" style="233" hidden="1" customWidth="1"/>
    <col min="492" max="492" width="12.44140625" style="233" customWidth="1"/>
    <col min="493" max="494" width="11.109375" style="233" customWidth="1"/>
    <col min="495" max="495" width="12.109375" style="233" customWidth="1"/>
    <col min="496" max="496" width="14" style="233" customWidth="1"/>
    <col min="497" max="497" width="12.5546875" style="233" customWidth="1"/>
    <col min="498" max="499" width="13.109375" style="233" customWidth="1"/>
    <col min="500" max="501" width="9.109375" style="233"/>
    <col min="502" max="502" width="11" style="233" customWidth="1"/>
    <col min="503" max="745" width="9.109375" style="233"/>
    <col min="746" max="746" width="26.88671875" style="233" customWidth="1"/>
    <col min="747" max="747" width="0" style="233" hidden="1" customWidth="1"/>
    <col min="748" max="748" width="12.44140625" style="233" customWidth="1"/>
    <col min="749" max="750" width="11.109375" style="233" customWidth="1"/>
    <col min="751" max="751" width="12.109375" style="233" customWidth="1"/>
    <col min="752" max="752" width="14" style="233" customWidth="1"/>
    <col min="753" max="753" width="12.5546875" style="233" customWidth="1"/>
    <col min="754" max="755" width="13.109375" style="233" customWidth="1"/>
    <col min="756" max="757" width="9.109375" style="233"/>
    <col min="758" max="758" width="11" style="233" customWidth="1"/>
    <col min="759" max="1001" width="9.109375" style="233"/>
    <col min="1002" max="1002" width="26.88671875" style="233" customWidth="1"/>
    <col min="1003" max="1003" width="0" style="233" hidden="1" customWidth="1"/>
    <col min="1004" max="1004" width="12.44140625" style="233" customWidth="1"/>
    <col min="1005" max="1006" width="11.109375" style="233" customWidth="1"/>
    <col min="1007" max="1007" width="12.109375" style="233" customWidth="1"/>
    <col min="1008" max="1008" width="14" style="233" customWidth="1"/>
    <col min="1009" max="1009" width="12.5546875" style="233" customWidth="1"/>
    <col min="1010" max="1011" width="13.109375" style="233" customWidth="1"/>
    <col min="1012" max="1013" width="9.109375" style="233"/>
    <col min="1014" max="1014" width="11" style="233" customWidth="1"/>
    <col min="1015" max="1257" width="9.109375" style="233"/>
    <col min="1258" max="1258" width="26.88671875" style="233" customWidth="1"/>
    <col min="1259" max="1259" width="0" style="233" hidden="1" customWidth="1"/>
    <col min="1260" max="1260" width="12.44140625" style="233" customWidth="1"/>
    <col min="1261" max="1262" width="11.109375" style="233" customWidth="1"/>
    <col min="1263" max="1263" width="12.109375" style="233" customWidth="1"/>
    <col min="1264" max="1264" width="14" style="233" customWidth="1"/>
    <col min="1265" max="1265" width="12.5546875" style="233" customWidth="1"/>
    <col min="1266" max="1267" width="13.109375" style="233" customWidth="1"/>
    <col min="1268" max="1269" width="9.109375" style="233"/>
    <col min="1270" max="1270" width="11" style="233" customWidth="1"/>
    <col min="1271" max="1513" width="9.109375" style="233"/>
    <col min="1514" max="1514" width="26.88671875" style="233" customWidth="1"/>
    <col min="1515" max="1515" width="0" style="233" hidden="1" customWidth="1"/>
    <col min="1516" max="1516" width="12.44140625" style="233" customWidth="1"/>
    <col min="1517" max="1518" width="11.109375" style="233" customWidth="1"/>
    <col min="1519" max="1519" width="12.109375" style="233" customWidth="1"/>
    <col min="1520" max="1520" width="14" style="233" customWidth="1"/>
    <col min="1521" max="1521" width="12.5546875" style="233" customWidth="1"/>
    <col min="1522" max="1523" width="13.109375" style="233" customWidth="1"/>
    <col min="1524" max="1525" width="9.109375" style="233"/>
    <col min="1526" max="1526" width="11" style="233" customWidth="1"/>
    <col min="1527" max="1769" width="9.109375" style="233"/>
    <col min="1770" max="1770" width="26.88671875" style="233" customWidth="1"/>
    <col min="1771" max="1771" width="0" style="233" hidden="1" customWidth="1"/>
    <col min="1772" max="1772" width="12.44140625" style="233" customWidth="1"/>
    <col min="1773" max="1774" width="11.109375" style="233" customWidth="1"/>
    <col min="1775" max="1775" width="12.109375" style="233" customWidth="1"/>
    <col min="1776" max="1776" width="14" style="233" customWidth="1"/>
    <col min="1777" max="1777" width="12.5546875" style="233" customWidth="1"/>
    <col min="1778" max="1779" width="13.109375" style="233" customWidth="1"/>
    <col min="1780" max="1781" width="9.109375" style="233"/>
    <col min="1782" max="1782" width="11" style="233" customWidth="1"/>
    <col min="1783" max="2025" width="9.109375" style="233"/>
    <col min="2026" max="2026" width="26.88671875" style="233" customWidth="1"/>
    <col min="2027" max="2027" width="0" style="233" hidden="1" customWidth="1"/>
    <col min="2028" max="2028" width="12.44140625" style="233" customWidth="1"/>
    <col min="2029" max="2030" width="11.109375" style="233" customWidth="1"/>
    <col min="2031" max="2031" width="12.109375" style="233" customWidth="1"/>
    <col min="2032" max="2032" width="14" style="233" customWidth="1"/>
    <col min="2033" max="2033" width="12.5546875" style="233" customWidth="1"/>
    <col min="2034" max="2035" width="13.109375" style="233" customWidth="1"/>
    <col min="2036" max="2037" width="9.109375" style="233"/>
    <col min="2038" max="2038" width="11" style="233" customWidth="1"/>
    <col min="2039" max="2281" width="9.109375" style="233"/>
    <col min="2282" max="2282" width="26.88671875" style="233" customWidth="1"/>
    <col min="2283" max="2283" width="0" style="233" hidden="1" customWidth="1"/>
    <col min="2284" max="2284" width="12.44140625" style="233" customWidth="1"/>
    <col min="2285" max="2286" width="11.109375" style="233" customWidth="1"/>
    <col min="2287" max="2287" width="12.109375" style="233" customWidth="1"/>
    <col min="2288" max="2288" width="14" style="233" customWidth="1"/>
    <col min="2289" max="2289" width="12.5546875" style="233" customWidth="1"/>
    <col min="2290" max="2291" width="13.109375" style="233" customWidth="1"/>
    <col min="2292" max="2293" width="9.109375" style="233"/>
    <col min="2294" max="2294" width="11" style="233" customWidth="1"/>
    <col min="2295" max="2537" width="9.109375" style="233"/>
    <col min="2538" max="2538" width="26.88671875" style="233" customWidth="1"/>
    <col min="2539" max="2539" width="0" style="233" hidden="1" customWidth="1"/>
    <col min="2540" max="2540" width="12.44140625" style="233" customWidth="1"/>
    <col min="2541" max="2542" width="11.109375" style="233" customWidth="1"/>
    <col min="2543" max="2543" width="12.109375" style="233" customWidth="1"/>
    <col min="2544" max="2544" width="14" style="233" customWidth="1"/>
    <col min="2545" max="2545" width="12.5546875" style="233" customWidth="1"/>
    <col min="2546" max="2547" width="13.109375" style="233" customWidth="1"/>
    <col min="2548" max="2549" width="9.109375" style="233"/>
    <col min="2550" max="2550" width="11" style="233" customWidth="1"/>
    <col min="2551" max="2793" width="9.109375" style="233"/>
    <col min="2794" max="2794" width="26.88671875" style="233" customWidth="1"/>
    <col min="2795" max="2795" width="0" style="233" hidden="1" customWidth="1"/>
    <col min="2796" max="2796" width="12.44140625" style="233" customWidth="1"/>
    <col min="2797" max="2798" width="11.109375" style="233" customWidth="1"/>
    <col min="2799" max="2799" width="12.109375" style="233" customWidth="1"/>
    <col min="2800" max="2800" width="14" style="233" customWidth="1"/>
    <col min="2801" max="2801" width="12.5546875" style="233" customWidth="1"/>
    <col min="2802" max="2803" width="13.109375" style="233" customWidth="1"/>
    <col min="2804" max="2805" width="9.109375" style="233"/>
    <col min="2806" max="2806" width="11" style="233" customWidth="1"/>
    <col min="2807" max="3049" width="9.109375" style="233"/>
    <col min="3050" max="3050" width="26.88671875" style="233" customWidth="1"/>
    <col min="3051" max="3051" width="0" style="233" hidden="1" customWidth="1"/>
    <col min="3052" max="3052" width="12.44140625" style="233" customWidth="1"/>
    <col min="3053" max="3054" width="11.109375" style="233" customWidth="1"/>
    <col min="3055" max="3055" width="12.109375" style="233" customWidth="1"/>
    <col min="3056" max="3056" width="14" style="233" customWidth="1"/>
    <col min="3057" max="3057" width="12.5546875" style="233" customWidth="1"/>
    <col min="3058" max="3059" width="13.109375" style="233" customWidth="1"/>
    <col min="3060" max="3061" width="9.109375" style="233"/>
    <col min="3062" max="3062" width="11" style="233" customWidth="1"/>
    <col min="3063" max="3305" width="9.109375" style="233"/>
    <col min="3306" max="3306" width="26.88671875" style="233" customWidth="1"/>
    <col min="3307" max="3307" width="0" style="233" hidden="1" customWidth="1"/>
    <col min="3308" max="3308" width="12.44140625" style="233" customWidth="1"/>
    <col min="3309" max="3310" width="11.109375" style="233" customWidth="1"/>
    <col min="3311" max="3311" width="12.109375" style="233" customWidth="1"/>
    <col min="3312" max="3312" width="14" style="233" customWidth="1"/>
    <col min="3313" max="3313" width="12.5546875" style="233" customWidth="1"/>
    <col min="3314" max="3315" width="13.109375" style="233" customWidth="1"/>
    <col min="3316" max="3317" width="9.109375" style="233"/>
    <col min="3318" max="3318" width="11" style="233" customWidth="1"/>
    <col min="3319" max="3561" width="9.109375" style="233"/>
    <col min="3562" max="3562" width="26.88671875" style="233" customWidth="1"/>
    <col min="3563" max="3563" width="0" style="233" hidden="1" customWidth="1"/>
    <col min="3564" max="3564" width="12.44140625" style="233" customWidth="1"/>
    <col min="3565" max="3566" width="11.109375" style="233" customWidth="1"/>
    <col min="3567" max="3567" width="12.109375" style="233" customWidth="1"/>
    <col min="3568" max="3568" width="14" style="233" customWidth="1"/>
    <col min="3569" max="3569" width="12.5546875" style="233" customWidth="1"/>
    <col min="3570" max="3571" width="13.109375" style="233" customWidth="1"/>
    <col min="3572" max="3573" width="9.109375" style="233"/>
    <col min="3574" max="3574" width="11" style="233" customWidth="1"/>
    <col min="3575" max="3817" width="9.109375" style="233"/>
    <col min="3818" max="3818" width="26.88671875" style="233" customWidth="1"/>
    <col min="3819" max="3819" width="0" style="233" hidden="1" customWidth="1"/>
    <col min="3820" max="3820" width="12.44140625" style="233" customWidth="1"/>
    <col min="3821" max="3822" width="11.109375" style="233" customWidth="1"/>
    <col min="3823" max="3823" width="12.109375" style="233" customWidth="1"/>
    <col min="3824" max="3824" width="14" style="233" customWidth="1"/>
    <col min="3825" max="3825" width="12.5546875" style="233" customWidth="1"/>
    <col min="3826" max="3827" width="13.109375" style="233" customWidth="1"/>
    <col min="3828" max="3829" width="9.109375" style="233"/>
    <col min="3830" max="3830" width="11" style="233" customWidth="1"/>
    <col min="3831" max="4073" width="9.109375" style="233"/>
    <col min="4074" max="4074" width="26.88671875" style="233" customWidth="1"/>
    <col min="4075" max="4075" width="0" style="233" hidden="1" customWidth="1"/>
    <col min="4076" max="4076" width="12.44140625" style="233" customWidth="1"/>
    <col min="4077" max="4078" width="11.109375" style="233" customWidth="1"/>
    <col min="4079" max="4079" width="12.109375" style="233" customWidth="1"/>
    <col min="4080" max="4080" width="14" style="233" customWidth="1"/>
    <col min="4081" max="4081" width="12.5546875" style="233" customWidth="1"/>
    <col min="4082" max="4083" width="13.109375" style="233" customWidth="1"/>
    <col min="4084" max="4085" width="9.109375" style="233"/>
    <col min="4086" max="4086" width="11" style="233" customWidth="1"/>
    <col min="4087" max="4329" width="9.109375" style="233"/>
    <col min="4330" max="4330" width="26.88671875" style="233" customWidth="1"/>
    <col min="4331" max="4331" width="0" style="233" hidden="1" customWidth="1"/>
    <col min="4332" max="4332" width="12.44140625" style="233" customWidth="1"/>
    <col min="4333" max="4334" width="11.109375" style="233" customWidth="1"/>
    <col min="4335" max="4335" width="12.109375" style="233" customWidth="1"/>
    <col min="4336" max="4336" width="14" style="233" customWidth="1"/>
    <col min="4337" max="4337" width="12.5546875" style="233" customWidth="1"/>
    <col min="4338" max="4339" width="13.109375" style="233" customWidth="1"/>
    <col min="4340" max="4341" width="9.109375" style="233"/>
    <col min="4342" max="4342" width="11" style="233" customWidth="1"/>
    <col min="4343" max="4585" width="9.109375" style="233"/>
    <col min="4586" max="4586" width="26.88671875" style="233" customWidth="1"/>
    <col min="4587" max="4587" width="0" style="233" hidden="1" customWidth="1"/>
    <col min="4588" max="4588" width="12.44140625" style="233" customWidth="1"/>
    <col min="4589" max="4590" width="11.109375" style="233" customWidth="1"/>
    <col min="4591" max="4591" width="12.109375" style="233" customWidth="1"/>
    <col min="4592" max="4592" width="14" style="233" customWidth="1"/>
    <col min="4593" max="4593" width="12.5546875" style="233" customWidth="1"/>
    <col min="4594" max="4595" width="13.109375" style="233" customWidth="1"/>
    <col min="4596" max="4597" width="9.109375" style="233"/>
    <col min="4598" max="4598" width="11" style="233" customWidth="1"/>
    <col min="4599" max="4841" width="9.109375" style="233"/>
    <col min="4842" max="4842" width="26.88671875" style="233" customWidth="1"/>
    <col min="4843" max="4843" width="0" style="233" hidden="1" customWidth="1"/>
    <col min="4844" max="4844" width="12.44140625" style="233" customWidth="1"/>
    <col min="4845" max="4846" width="11.109375" style="233" customWidth="1"/>
    <col min="4847" max="4847" width="12.109375" style="233" customWidth="1"/>
    <col min="4848" max="4848" width="14" style="233" customWidth="1"/>
    <col min="4849" max="4849" width="12.5546875" style="233" customWidth="1"/>
    <col min="4850" max="4851" width="13.109375" style="233" customWidth="1"/>
    <col min="4852" max="4853" width="9.109375" style="233"/>
    <col min="4854" max="4854" width="11" style="233" customWidth="1"/>
    <col min="4855" max="5097" width="9.109375" style="233"/>
    <col min="5098" max="5098" width="26.88671875" style="233" customWidth="1"/>
    <col min="5099" max="5099" width="0" style="233" hidden="1" customWidth="1"/>
    <col min="5100" max="5100" width="12.44140625" style="233" customWidth="1"/>
    <col min="5101" max="5102" width="11.109375" style="233" customWidth="1"/>
    <col min="5103" max="5103" width="12.109375" style="233" customWidth="1"/>
    <col min="5104" max="5104" width="14" style="233" customWidth="1"/>
    <col min="5105" max="5105" width="12.5546875" style="233" customWidth="1"/>
    <col min="5106" max="5107" width="13.109375" style="233" customWidth="1"/>
    <col min="5108" max="5109" width="9.109375" style="233"/>
    <col min="5110" max="5110" width="11" style="233" customWidth="1"/>
    <col min="5111" max="5353" width="9.109375" style="233"/>
    <col min="5354" max="5354" width="26.88671875" style="233" customWidth="1"/>
    <col min="5355" max="5355" width="0" style="233" hidden="1" customWidth="1"/>
    <col min="5356" max="5356" width="12.44140625" style="233" customWidth="1"/>
    <col min="5357" max="5358" width="11.109375" style="233" customWidth="1"/>
    <col min="5359" max="5359" width="12.109375" style="233" customWidth="1"/>
    <col min="5360" max="5360" width="14" style="233" customWidth="1"/>
    <col min="5361" max="5361" width="12.5546875" style="233" customWidth="1"/>
    <col min="5362" max="5363" width="13.109375" style="233" customWidth="1"/>
    <col min="5364" max="5365" width="9.109375" style="233"/>
    <col min="5366" max="5366" width="11" style="233" customWidth="1"/>
    <col min="5367" max="5609" width="9.109375" style="233"/>
    <col min="5610" max="5610" width="26.88671875" style="233" customWidth="1"/>
    <col min="5611" max="5611" width="0" style="233" hidden="1" customWidth="1"/>
    <col min="5612" max="5612" width="12.44140625" style="233" customWidth="1"/>
    <col min="5613" max="5614" width="11.109375" style="233" customWidth="1"/>
    <col min="5615" max="5615" width="12.109375" style="233" customWidth="1"/>
    <col min="5616" max="5616" width="14" style="233" customWidth="1"/>
    <col min="5617" max="5617" width="12.5546875" style="233" customWidth="1"/>
    <col min="5618" max="5619" width="13.109375" style="233" customWidth="1"/>
    <col min="5620" max="5621" width="9.109375" style="233"/>
    <col min="5622" max="5622" width="11" style="233" customWidth="1"/>
    <col min="5623" max="5865" width="9.109375" style="233"/>
    <col min="5866" max="5866" width="26.88671875" style="233" customWidth="1"/>
    <col min="5867" max="5867" width="0" style="233" hidden="1" customWidth="1"/>
    <col min="5868" max="5868" width="12.44140625" style="233" customWidth="1"/>
    <col min="5869" max="5870" width="11.109375" style="233" customWidth="1"/>
    <col min="5871" max="5871" width="12.109375" style="233" customWidth="1"/>
    <col min="5872" max="5872" width="14" style="233" customWidth="1"/>
    <col min="5873" max="5873" width="12.5546875" style="233" customWidth="1"/>
    <col min="5874" max="5875" width="13.109375" style="233" customWidth="1"/>
    <col min="5876" max="5877" width="9.109375" style="233"/>
    <col min="5878" max="5878" width="11" style="233" customWidth="1"/>
    <col min="5879" max="6121" width="9.109375" style="233"/>
    <col min="6122" max="6122" width="26.88671875" style="233" customWidth="1"/>
    <col min="6123" max="6123" width="0" style="233" hidden="1" customWidth="1"/>
    <col min="6124" max="6124" width="12.44140625" style="233" customWidth="1"/>
    <col min="6125" max="6126" width="11.109375" style="233" customWidth="1"/>
    <col min="6127" max="6127" width="12.109375" style="233" customWidth="1"/>
    <col min="6128" max="6128" width="14" style="233" customWidth="1"/>
    <col min="6129" max="6129" width="12.5546875" style="233" customWidth="1"/>
    <col min="6130" max="6131" width="13.109375" style="233" customWidth="1"/>
    <col min="6132" max="6133" width="9.109375" style="233"/>
    <col min="6134" max="6134" width="11" style="233" customWidth="1"/>
    <col min="6135" max="6377" width="9.109375" style="233"/>
    <col min="6378" max="6378" width="26.88671875" style="233" customWidth="1"/>
    <col min="6379" max="6379" width="0" style="233" hidden="1" customWidth="1"/>
    <col min="6380" max="6380" width="12.44140625" style="233" customWidth="1"/>
    <col min="6381" max="6382" width="11.109375" style="233" customWidth="1"/>
    <col min="6383" max="6383" width="12.109375" style="233" customWidth="1"/>
    <col min="6384" max="6384" width="14" style="233" customWidth="1"/>
    <col min="6385" max="6385" width="12.5546875" style="233" customWidth="1"/>
    <col min="6386" max="6387" width="13.109375" style="233" customWidth="1"/>
    <col min="6388" max="6389" width="9.109375" style="233"/>
    <col min="6390" max="6390" width="11" style="233" customWidth="1"/>
    <col min="6391" max="6633" width="9.109375" style="233"/>
    <col min="6634" max="6634" width="26.88671875" style="233" customWidth="1"/>
    <col min="6635" max="6635" width="0" style="233" hidden="1" customWidth="1"/>
    <col min="6636" max="6636" width="12.44140625" style="233" customWidth="1"/>
    <col min="6637" max="6638" width="11.109375" style="233" customWidth="1"/>
    <col min="6639" max="6639" width="12.109375" style="233" customWidth="1"/>
    <col min="6640" max="6640" width="14" style="233" customWidth="1"/>
    <col min="6641" max="6641" width="12.5546875" style="233" customWidth="1"/>
    <col min="6642" max="6643" width="13.109375" style="233" customWidth="1"/>
    <col min="6644" max="6645" width="9.109375" style="233"/>
    <col min="6646" max="6646" width="11" style="233" customWidth="1"/>
    <col min="6647" max="6889" width="9.109375" style="233"/>
    <col min="6890" max="6890" width="26.88671875" style="233" customWidth="1"/>
    <col min="6891" max="6891" width="0" style="233" hidden="1" customWidth="1"/>
    <col min="6892" max="6892" width="12.44140625" style="233" customWidth="1"/>
    <col min="6893" max="6894" width="11.109375" style="233" customWidth="1"/>
    <col min="6895" max="6895" width="12.109375" style="233" customWidth="1"/>
    <col min="6896" max="6896" width="14" style="233" customWidth="1"/>
    <col min="6897" max="6897" width="12.5546875" style="233" customWidth="1"/>
    <col min="6898" max="6899" width="13.109375" style="233" customWidth="1"/>
    <col min="6900" max="6901" width="9.109375" style="233"/>
    <col min="6902" max="6902" width="11" style="233" customWidth="1"/>
    <col min="6903" max="7145" width="9.109375" style="233"/>
    <col min="7146" max="7146" width="26.88671875" style="233" customWidth="1"/>
    <col min="7147" max="7147" width="0" style="233" hidden="1" customWidth="1"/>
    <col min="7148" max="7148" width="12.44140625" style="233" customWidth="1"/>
    <col min="7149" max="7150" width="11.109375" style="233" customWidth="1"/>
    <col min="7151" max="7151" width="12.109375" style="233" customWidth="1"/>
    <col min="7152" max="7152" width="14" style="233" customWidth="1"/>
    <col min="7153" max="7153" width="12.5546875" style="233" customWidth="1"/>
    <col min="7154" max="7155" width="13.109375" style="233" customWidth="1"/>
    <col min="7156" max="7157" width="9.109375" style="233"/>
    <col min="7158" max="7158" width="11" style="233" customWidth="1"/>
    <col min="7159" max="7401" width="9.109375" style="233"/>
    <col min="7402" max="7402" width="26.88671875" style="233" customWidth="1"/>
    <col min="7403" max="7403" width="0" style="233" hidden="1" customWidth="1"/>
    <col min="7404" max="7404" width="12.44140625" style="233" customWidth="1"/>
    <col min="7405" max="7406" width="11.109375" style="233" customWidth="1"/>
    <col min="7407" max="7407" width="12.109375" style="233" customWidth="1"/>
    <col min="7408" max="7408" width="14" style="233" customWidth="1"/>
    <col min="7409" max="7409" width="12.5546875" style="233" customWidth="1"/>
    <col min="7410" max="7411" width="13.109375" style="233" customWidth="1"/>
    <col min="7412" max="7413" width="9.109375" style="233"/>
    <col min="7414" max="7414" width="11" style="233" customWidth="1"/>
    <col min="7415" max="7657" width="9.109375" style="233"/>
    <col min="7658" max="7658" width="26.88671875" style="233" customWidth="1"/>
    <col min="7659" max="7659" width="0" style="233" hidden="1" customWidth="1"/>
    <col min="7660" max="7660" width="12.44140625" style="233" customWidth="1"/>
    <col min="7661" max="7662" width="11.109375" style="233" customWidth="1"/>
    <col min="7663" max="7663" width="12.109375" style="233" customWidth="1"/>
    <col min="7664" max="7664" width="14" style="233" customWidth="1"/>
    <col min="7665" max="7665" width="12.5546875" style="233" customWidth="1"/>
    <col min="7666" max="7667" width="13.109375" style="233" customWidth="1"/>
    <col min="7668" max="7669" width="9.109375" style="233"/>
    <col min="7670" max="7670" width="11" style="233" customWidth="1"/>
    <col min="7671" max="7913" width="9.109375" style="233"/>
    <col min="7914" max="7914" width="26.88671875" style="233" customWidth="1"/>
    <col min="7915" max="7915" width="0" style="233" hidden="1" customWidth="1"/>
    <col min="7916" max="7916" width="12.44140625" style="233" customWidth="1"/>
    <col min="7917" max="7918" width="11.109375" style="233" customWidth="1"/>
    <col min="7919" max="7919" width="12.109375" style="233" customWidth="1"/>
    <col min="7920" max="7920" width="14" style="233" customWidth="1"/>
    <col min="7921" max="7921" width="12.5546875" style="233" customWidth="1"/>
    <col min="7922" max="7923" width="13.109375" style="233" customWidth="1"/>
    <col min="7924" max="7925" width="9.109375" style="233"/>
    <col min="7926" max="7926" width="11" style="233" customWidth="1"/>
    <col min="7927" max="8169" width="9.109375" style="233"/>
    <col min="8170" max="8170" width="26.88671875" style="233" customWidth="1"/>
    <col min="8171" max="8171" width="0" style="233" hidden="1" customWidth="1"/>
    <col min="8172" max="8172" width="12.44140625" style="233" customWidth="1"/>
    <col min="8173" max="8174" width="11.109375" style="233" customWidth="1"/>
    <col min="8175" max="8175" width="12.109375" style="233" customWidth="1"/>
    <col min="8176" max="8176" width="14" style="233" customWidth="1"/>
    <col min="8177" max="8177" width="12.5546875" style="233" customWidth="1"/>
    <col min="8178" max="8179" width="13.109375" style="233" customWidth="1"/>
    <col min="8180" max="8181" width="9.109375" style="233"/>
    <col min="8182" max="8182" width="11" style="233" customWidth="1"/>
    <col min="8183" max="8425" width="9.109375" style="233"/>
    <col min="8426" max="8426" width="26.88671875" style="233" customWidth="1"/>
    <col min="8427" max="8427" width="0" style="233" hidden="1" customWidth="1"/>
    <col min="8428" max="8428" width="12.44140625" style="233" customWidth="1"/>
    <col min="8429" max="8430" width="11.109375" style="233" customWidth="1"/>
    <col min="8431" max="8431" width="12.109375" style="233" customWidth="1"/>
    <col min="8432" max="8432" width="14" style="233" customWidth="1"/>
    <col min="8433" max="8433" width="12.5546875" style="233" customWidth="1"/>
    <col min="8434" max="8435" width="13.109375" style="233" customWidth="1"/>
    <col min="8436" max="8437" width="9.109375" style="233"/>
    <col min="8438" max="8438" width="11" style="233" customWidth="1"/>
    <col min="8439" max="8681" width="9.109375" style="233"/>
    <col min="8682" max="8682" width="26.88671875" style="233" customWidth="1"/>
    <col min="8683" max="8683" width="0" style="233" hidden="1" customWidth="1"/>
    <col min="8684" max="8684" width="12.44140625" style="233" customWidth="1"/>
    <col min="8685" max="8686" width="11.109375" style="233" customWidth="1"/>
    <col min="8687" max="8687" width="12.109375" style="233" customWidth="1"/>
    <col min="8688" max="8688" width="14" style="233" customWidth="1"/>
    <col min="8689" max="8689" width="12.5546875" style="233" customWidth="1"/>
    <col min="8690" max="8691" width="13.109375" style="233" customWidth="1"/>
    <col min="8692" max="8693" width="9.109375" style="233"/>
    <col min="8694" max="8694" width="11" style="233" customWidth="1"/>
    <col min="8695" max="8937" width="9.109375" style="233"/>
    <col min="8938" max="8938" width="26.88671875" style="233" customWidth="1"/>
    <col min="8939" max="8939" width="0" style="233" hidden="1" customWidth="1"/>
    <col min="8940" max="8940" width="12.44140625" style="233" customWidth="1"/>
    <col min="8941" max="8942" width="11.109375" style="233" customWidth="1"/>
    <col min="8943" max="8943" width="12.109375" style="233" customWidth="1"/>
    <col min="8944" max="8944" width="14" style="233" customWidth="1"/>
    <col min="8945" max="8945" width="12.5546875" style="233" customWidth="1"/>
    <col min="8946" max="8947" width="13.109375" style="233" customWidth="1"/>
    <col min="8948" max="8949" width="9.109375" style="233"/>
    <col min="8950" max="8950" width="11" style="233" customWidth="1"/>
    <col min="8951" max="9193" width="9.109375" style="233"/>
    <col min="9194" max="9194" width="26.88671875" style="233" customWidth="1"/>
    <col min="9195" max="9195" width="0" style="233" hidden="1" customWidth="1"/>
    <col min="9196" max="9196" width="12.44140625" style="233" customWidth="1"/>
    <col min="9197" max="9198" width="11.109375" style="233" customWidth="1"/>
    <col min="9199" max="9199" width="12.109375" style="233" customWidth="1"/>
    <col min="9200" max="9200" width="14" style="233" customWidth="1"/>
    <col min="9201" max="9201" width="12.5546875" style="233" customWidth="1"/>
    <col min="9202" max="9203" width="13.109375" style="233" customWidth="1"/>
    <col min="9204" max="9205" width="9.109375" style="233"/>
    <col min="9206" max="9206" width="11" style="233" customWidth="1"/>
    <col min="9207" max="9449" width="9.109375" style="233"/>
    <col min="9450" max="9450" width="26.88671875" style="233" customWidth="1"/>
    <col min="9451" max="9451" width="0" style="233" hidden="1" customWidth="1"/>
    <col min="9452" max="9452" width="12.44140625" style="233" customWidth="1"/>
    <col min="9453" max="9454" width="11.109375" style="233" customWidth="1"/>
    <col min="9455" max="9455" width="12.109375" style="233" customWidth="1"/>
    <col min="9456" max="9456" width="14" style="233" customWidth="1"/>
    <col min="9457" max="9457" width="12.5546875" style="233" customWidth="1"/>
    <col min="9458" max="9459" width="13.109375" style="233" customWidth="1"/>
    <col min="9460" max="9461" width="9.109375" style="233"/>
    <col min="9462" max="9462" width="11" style="233" customWidth="1"/>
    <col min="9463" max="9705" width="9.109375" style="233"/>
    <col min="9706" max="9706" width="26.88671875" style="233" customWidth="1"/>
    <col min="9707" max="9707" width="0" style="233" hidden="1" customWidth="1"/>
    <col min="9708" max="9708" width="12.44140625" style="233" customWidth="1"/>
    <col min="9709" max="9710" width="11.109375" style="233" customWidth="1"/>
    <col min="9711" max="9711" width="12.109375" style="233" customWidth="1"/>
    <col min="9712" max="9712" width="14" style="233" customWidth="1"/>
    <col min="9713" max="9713" width="12.5546875" style="233" customWidth="1"/>
    <col min="9714" max="9715" width="13.109375" style="233" customWidth="1"/>
    <col min="9716" max="9717" width="9.109375" style="233"/>
    <col min="9718" max="9718" width="11" style="233" customWidth="1"/>
    <col min="9719" max="9961" width="9.109375" style="233"/>
    <col min="9962" max="9962" width="26.88671875" style="233" customWidth="1"/>
    <col min="9963" max="9963" width="0" style="233" hidden="1" customWidth="1"/>
    <col min="9964" max="9964" width="12.44140625" style="233" customWidth="1"/>
    <col min="9965" max="9966" width="11.109375" style="233" customWidth="1"/>
    <col min="9967" max="9967" width="12.109375" style="233" customWidth="1"/>
    <col min="9968" max="9968" width="14" style="233" customWidth="1"/>
    <col min="9969" max="9969" width="12.5546875" style="233" customWidth="1"/>
    <col min="9970" max="9971" width="13.109375" style="233" customWidth="1"/>
    <col min="9972" max="9973" width="9.109375" style="233"/>
    <col min="9974" max="9974" width="11" style="233" customWidth="1"/>
    <col min="9975" max="10217" width="9.109375" style="233"/>
    <col min="10218" max="10218" width="26.88671875" style="233" customWidth="1"/>
    <col min="10219" max="10219" width="0" style="233" hidden="1" customWidth="1"/>
    <col min="10220" max="10220" width="12.44140625" style="233" customWidth="1"/>
    <col min="10221" max="10222" width="11.109375" style="233" customWidth="1"/>
    <col min="10223" max="10223" width="12.109375" style="233" customWidth="1"/>
    <col min="10224" max="10224" width="14" style="233" customWidth="1"/>
    <col min="10225" max="10225" width="12.5546875" style="233" customWidth="1"/>
    <col min="10226" max="10227" width="13.109375" style="233" customWidth="1"/>
    <col min="10228" max="10229" width="9.109375" style="233"/>
    <col min="10230" max="10230" width="11" style="233" customWidth="1"/>
    <col min="10231" max="10473" width="9.109375" style="233"/>
    <col min="10474" max="10474" width="26.88671875" style="233" customWidth="1"/>
    <col min="10475" max="10475" width="0" style="233" hidden="1" customWidth="1"/>
    <col min="10476" max="10476" width="12.44140625" style="233" customWidth="1"/>
    <col min="10477" max="10478" width="11.109375" style="233" customWidth="1"/>
    <col min="10479" max="10479" width="12.109375" style="233" customWidth="1"/>
    <col min="10480" max="10480" width="14" style="233" customWidth="1"/>
    <col min="10481" max="10481" width="12.5546875" style="233" customWidth="1"/>
    <col min="10482" max="10483" width="13.109375" style="233" customWidth="1"/>
    <col min="10484" max="10485" width="9.109375" style="233"/>
    <col min="10486" max="10486" width="11" style="233" customWidth="1"/>
    <col min="10487" max="10729" width="9.109375" style="233"/>
    <col min="10730" max="10730" width="26.88671875" style="233" customWidth="1"/>
    <col min="10731" max="10731" width="0" style="233" hidden="1" customWidth="1"/>
    <col min="10732" max="10732" width="12.44140625" style="233" customWidth="1"/>
    <col min="10733" max="10734" width="11.109375" style="233" customWidth="1"/>
    <col min="10735" max="10735" width="12.109375" style="233" customWidth="1"/>
    <col min="10736" max="10736" width="14" style="233" customWidth="1"/>
    <col min="10737" max="10737" width="12.5546875" style="233" customWidth="1"/>
    <col min="10738" max="10739" width="13.109375" style="233" customWidth="1"/>
    <col min="10740" max="10741" width="9.109375" style="233"/>
    <col min="10742" max="10742" width="11" style="233" customWidth="1"/>
    <col min="10743" max="10985" width="9.109375" style="233"/>
    <col min="10986" max="10986" width="26.88671875" style="233" customWidth="1"/>
    <col min="10987" max="10987" width="0" style="233" hidden="1" customWidth="1"/>
    <col min="10988" max="10988" width="12.44140625" style="233" customWidth="1"/>
    <col min="10989" max="10990" width="11.109375" style="233" customWidth="1"/>
    <col min="10991" max="10991" width="12.109375" style="233" customWidth="1"/>
    <col min="10992" max="10992" width="14" style="233" customWidth="1"/>
    <col min="10993" max="10993" width="12.5546875" style="233" customWidth="1"/>
    <col min="10994" max="10995" width="13.109375" style="233" customWidth="1"/>
    <col min="10996" max="10997" width="9.109375" style="233"/>
    <col min="10998" max="10998" width="11" style="233" customWidth="1"/>
    <col min="10999" max="11241" width="9.109375" style="233"/>
    <col min="11242" max="11242" width="26.88671875" style="233" customWidth="1"/>
    <col min="11243" max="11243" width="0" style="233" hidden="1" customWidth="1"/>
    <col min="11244" max="11244" width="12.44140625" style="233" customWidth="1"/>
    <col min="11245" max="11246" width="11.109375" style="233" customWidth="1"/>
    <col min="11247" max="11247" width="12.109375" style="233" customWidth="1"/>
    <col min="11248" max="11248" width="14" style="233" customWidth="1"/>
    <col min="11249" max="11249" width="12.5546875" style="233" customWidth="1"/>
    <col min="11250" max="11251" width="13.109375" style="233" customWidth="1"/>
    <col min="11252" max="11253" width="9.109375" style="233"/>
    <col min="11254" max="11254" width="11" style="233" customWidth="1"/>
    <col min="11255" max="11497" width="9.109375" style="233"/>
    <col min="11498" max="11498" width="26.88671875" style="233" customWidth="1"/>
    <col min="11499" max="11499" width="0" style="233" hidden="1" customWidth="1"/>
    <col min="11500" max="11500" width="12.44140625" style="233" customWidth="1"/>
    <col min="11501" max="11502" width="11.109375" style="233" customWidth="1"/>
    <col min="11503" max="11503" width="12.109375" style="233" customWidth="1"/>
    <col min="11504" max="11504" width="14" style="233" customWidth="1"/>
    <col min="11505" max="11505" width="12.5546875" style="233" customWidth="1"/>
    <col min="11506" max="11507" width="13.109375" style="233" customWidth="1"/>
    <col min="11508" max="11509" width="9.109375" style="233"/>
    <col min="11510" max="11510" width="11" style="233" customWidth="1"/>
    <col min="11511" max="11753" width="9.109375" style="233"/>
    <col min="11754" max="11754" width="26.88671875" style="233" customWidth="1"/>
    <col min="11755" max="11755" width="0" style="233" hidden="1" customWidth="1"/>
    <col min="11756" max="11756" width="12.44140625" style="233" customWidth="1"/>
    <col min="11757" max="11758" width="11.109375" style="233" customWidth="1"/>
    <col min="11759" max="11759" width="12.109375" style="233" customWidth="1"/>
    <col min="11760" max="11760" width="14" style="233" customWidth="1"/>
    <col min="11761" max="11761" width="12.5546875" style="233" customWidth="1"/>
    <col min="11762" max="11763" width="13.109375" style="233" customWidth="1"/>
    <col min="11764" max="11765" width="9.109375" style="233"/>
    <col min="11766" max="11766" width="11" style="233" customWidth="1"/>
    <col min="11767" max="12009" width="9.109375" style="233"/>
    <col min="12010" max="12010" width="26.88671875" style="233" customWidth="1"/>
    <col min="12011" max="12011" width="0" style="233" hidden="1" customWidth="1"/>
    <col min="12012" max="12012" width="12.44140625" style="233" customWidth="1"/>
    <col min="12013" max="12014" width="11.109375" style="233" customWidth="1"/>
    <col min="12015" max="12015" width="12.109375" style="233" customWidth="1"/>
    <col min="12016" max="12016" width="14" style="233" customWidth="1"/>
    <col min="12017" max="12017" width="12.5546875" style="233" customWidth="1"/>
    <col min="12018" max="12019" width="13.109375" style="233" customWidth="1"/>
    <col min="12020" max="12021" width="9.109375" style="233"/>
    <col min="12022" max="12022" width="11" style="233" customWidth="1"/>
    <col min="12023" max="12265" width="9.109375" style="233"/>
    <col min="12266" max="12266" width="26.88671875" style="233" customWidth="1"/>
    <col min="12267" max="12267" width="0" style="233" hidden="1" customWidth="1"/>
    <col min="12268" max="12268" width="12.44140625" style="233" customWidth="1"/>
    <col min="12269" max="12270" width="11.109375" style="233" customWidth="1"/>
    <col min="12271" max="12271" width="12.109375" style="233" customWidth="1"/>
    <col min="12272" max="12272" width="14" style="233" customWidth="1"/>
    <col min="12273" max="12273" width="12.5546875" style="233" customWidth="1"/>
    <col min="12274" max="12275" width="13.109375" style="233" customWidth="1"/>
    <col min="12276" max="12277" width="9.109375" style="233"/>
    <col min="12278" max="12278" width="11" style="233" customWidth="1"/>
    <col min="12279" max="12521" width="9.109375" style="233"/>
    <col min="12522" max="12522" width="26.88671875" style="233" customWidth="1"/>
    <col min="12523" max="12523" width="0" style="233" hidden="1" customWidth="1"/>
    <col min="12524" max="12524" width="12.44140625" style="233" customWidth="1"/>
    <col min="12525" max="12526" width="11.109375" style="233" customWidth="1"/>
    <col min="12527" max="12527" width="12.109375" style="233" customWidth="1"/>
    <col min="12528" max="12528" width="14" style="233" customWidth="1"/>
    <col min="12529" max="12529" width="12.5546875" style="233" customWidth="1"/>
    <col min="12530" max="12531" width="13.109375" style="233" customWidth="1"/>
    <col min="12532" max="12533" width="9.109375" style="233"/>
    <col min="12534" max="12534" width="11" style="233" customWidth="1"/>
    <col min="12535" max="12777" width="9.109375" style="233"/>
    <col min="12778" max="12778" width="26.88671875" style="233" customWidth="1"/>
    <col min="12779" max="12779" width="0" style="233" hidden="1" customWidth="1"/>
    <col min="12780" max="12780" width="12.44140625" style="233" customWidth="1"/>
    <col min="12781" max="12782" width="11.109375" style="233" customWidth="1"/>
    <col min="12783" max="12783" width="12.109375" style="233" customWidth="1"/>
    <col min="12784" max="12784" width="14" style="233" customWidth="1"/>
    <col min="12785" max="12785" width="12.5546875" style="233" customWidth="1"/>
    <col min="12786" max="12787" width="13.109375" style="233" customWidth="1"/>
    <col min="12788" max="12789" width="9.109375" style="233"/>
    <col min="12790" max="12790" width="11" style="233" customWidth="1"/>
    <col min="12791" max="13033" width="9.109375" style="233"/>
    <col min="13034" max="13034" width="26.88671875" style="233" customWidth="1"/>
    <col min="13035" max="13035" width="0" style="233" hidden="1" customWidth="1"/>
    <col min="13036" max="13036" width="12.44140625" style="233" customWidth="1"/>
    <col min="13037" max="13038" width="11.109375" style="233" customWidth="1"/>
    <col min="13039" max="13039" width="12.109375" style="233" customWidth="1"/>
    <col min="13040" max="13040" width="14" style="233" customWidth="1"/>
    <col min="13041" max="13041" width="12.5546875" style="233" customWidth="1"/>
    <col min="13042" max="13043" width="13.109375" style="233" customWidth="1"/>
    <col min="13044" max="13045" width="9.109375" style="233"/>
    <col min="13046" max="13046" width="11" style="233" customWidth="1"/>
    <col min="13047" max="13289" width="9.109375" style="233"/>
    <col min="13290" max="13290" width="26.88671875" style="233" customWidth="1"/>
    <col min="13291" max="13291" width="0" style="233" hidden="1" customWidth="1"/>
    <col min="13292" max="13292" width="12.44140625" style="233" customWidth="1"/>
    <col min="13293" max="13294" width="11.109375" style="233" customWidth="1"/>
    <col min="13295" max="13295" width="12.109375" style="233" customWidth="1"/>
    <col min="13296" max="13296" width="14" style="233" customWidth="1"/>
    <col min="13297" max="13297" width="12.5546875" style="233" customWidth="1"/>
    <col min="13298" max="13299" width="13.109375" style="233" customWidth="1"/>
    <col min="13300" max="13301" width="9.109375" style="233"/>
    <col min="13302" max="13302" width="11" style="233" customWidth="1"/>
    <col min="13303" max="13545" width="9.109375" style="233"/>
    <col min="13546" max="13546" width="26.88671875" style="233" customWidth="1"/>
    <col min="13547" max="13547" width="0" style="233" hidden="1" customWidth="1"/>
    <col min="13548" max="13548" width="12.44140625" style="233" customWidth="1"/>
    <col min="13549" max="13550" width="11.109375" style="233" customWidth="1"/>
    <col min="13551" max="13551" width="12.109375" style="233" customWidth="1"/>
    <col min="13552" max="13552" width="14" style="233" customWidth="1"/>
    <col min="13553" max="13553" width="12.5546875" style="233" customWidth="1"/>
    <col min="13554" max="13555" width="13.109375" style="233" customWidth="1"/>
    <col min="13556" max="13557" width="9.109375" style="233"/>
    <col min="13558" max="13558" width="11" style="233" customWidth="1"/>
    <col min="13559" max="13801" width="9.109375" style="233"/>
    <col min="13802" max="13802" width="26.88671875" style="233" customWidth="1"/>
    <col min="13803" max="13803" width="0" style="233" hidden="1" customWidth="1"/>
    <col min="13804" max="13804" width="12.44140625" style="233" customWidth="1"/>
    <col min="13805" max="13806" width="11.109375" style="233" customWidth="1"/>
    <col min="13807" max="13807" width="12.109375" style="233" customWidth="1"/>
    <col min="13808" max="13808" width="14" style="233" customWidth="1"/>
    <col min="13809" max="13809" width="12.5546875" style="233" customWidth="1"/>
    <col min="13810" max="13811" width="13.109375" style="233" customWidth="1"/>
    <col min="13812" max="13813" width="9.109375" style="233"/>
    <col min="13814" max="13814" width="11" style="233" customWidth="1"/>
    <col min="13815" max="14057" width="9.109375" style="233"/>
    <col min="14058" max="14058" width="26.88671875" style="233" customWidth="1"/>
    <col min="14059" max="14059" width="0" style="233" hidden="1" customWidth="1"/>
    <col min="14060" max="14060" width="12.44140625" style="233" customWidth="1"/>
    <col min="14061" max="14062" width="11.109375" style="233" customWidth="1"/>
    <col min="14063" max="14063" width="12.109375" style="233" customWidth="1"/>
    <col min="14064" max="14064" width="14" style="233" customWidth="1"/>
    <col min="14065" max="14065" width="12.5546875" style="233" customWidth="1"/>
    <col min="14066" max="14067" width="13.109375" style="233" customWidth="1"/>
    <col min="14068" max="14069" width="9.109375" style="233"/>
    <col min="14070" max="14070" width="11" style="233" customWidth="1"/>
    <col min="14071" max="14313" width="9.109375" style="233"/>
    <col min="14314" max="14314" width="26.88671875" style="233" customWidth="1"/>
    <col min="14315" max="14315" width="0" style="233" hidden="1" customWidth="1"/>
    <col min="14316" max="14316" width="12.44140625" style="233" customWidth="1"/>
    <col min="14317" max="14318" width="11.109375" style="233" customWidth="1"/>
    <col min="14319" max="14319" width="12.109375" style="233" customWidth="1"/>
    <col min="14320" max="14320" width="14" style="233" customWidth="1"/>
    <col min="14321" max="14321" width="12.5546875" style="233" customWidth="1"/>
    <col min="14322" max="14323" width="13.109375" style="233" customWidth="1"/>
    <col min="14324" max="14325" width="9.109375" style="233"/>
    <col min="14326" max="14326" width="11" style="233" customWidth="1"/>
    <col min="14327" max="14569" width="9.109375" style="233"/>
    <col min="14570" max="14570" width="26.88671875" style="233" customWidth="1"/>
    <col min="14571" max="14571" width="0" style="233" hidden="1" customWidth="1"/>
    <col min="14572" max="14572" width="12.44140625" style="233" customWidth="1"/>
    <col min="14573" max="14574" width="11.109375" style="233" customWidth="1"/>
    <col min="14575" max="14575" width="12.109375" style="233" customWidth="1"/>
    <col min="14576" max="14576" width="14" style="233" customWidth="1"/>
    <col min="14577" max="14577" width="12.5546875" style="233" customWidth="1"/>
    <col min="14578" max="14579" width="13.109375" style="233" customWidth="1"/>
    <col min="14580" max="14581" width="9.109375" style="233"/>
    <col min="14582" max="14582" width="11" style="233" customWidth="1"/>
    <col min="14583" max="14825" width="9.109375" style="233"/>
    <col min="14826" max="14826" width="26.88671875" style="233" customWidth="1"/>
    <col min="14827" max="14827" width="0" style="233" hidden="1" customWidth="1"/>
    <col min="14828" max="14828" width="12.44140625" style="233" customWidth="1"/>
    <col min="14829" max="14830" width="11.109375" style="233" customWidth="1"/>
    <col min="14831" max="14831" width="12.109375" style="233" customWidth="1"/>
    <col min="14832" max="14832" width="14" style="233" customWidth="1"/>
    <col min="14833" max="14833" width="12.5546875" style="233" customWidth="1"/>
    <col min="14834" max="14835" width="13.109375" style="233" customWidth="1"/>
    <col min="14836" max="14837" width="9.109375" style="233"/>
    <col min="14838" max="14838" width="11" style="233" customWidth="1"/>
    <col min="14839" max="15081" width="9.109375" style="233"/>
    <col min="15082" max="15082" width="26.88671875" style="233" customWidth="1"/>
    <col min="15083" max="15083" width="0" style="233" hidden="1" customWidth="1"/>
    <col min="15084" max="15084" width="12.44140625" style="233" customWidth="1"/>
    <col min="15085" max="15086" width="11.109375" style="233" customWidth="1"/>
    <col min="15087" max="15087" width="12.109375" style="233" customWidth="1"/>
    <col min="15088" max="15088" width="14" style="233" customWidth="1"/>
    <col min="15089" max="15089" width="12.5546875" style="233" customWidth="1"/>
    <col min="15090" max="15091" width="13.109375" style="233" customWidth="1"/>
    <col min="15092" max="15093" width="9.109375" style="233"/>
    <col min="15094" max="15094" width="11" style="233" customWidth="1"/>
    <col min="15095" max="15337" width="9.109375" style="233"/>
    <col min="15338" max="15338" width="26.88671875" style="233" customWidth="1"/>
    <col min="15339" max="15339" width="0" style="233" hidden="1" customWidth="1"/>
    <col min="15340" max="15340" width="12.44140625" style="233" customWidth="1"/>
    <col min="15341" max="15342" width="11.109375" style="233" customWidth="1"/>
    <col min="15343" max="15343" width="12.109375" style="233" customWidth="1"/>
    <col min="15344" max="15344" width="14" style="233" customWidth="1"/>
    <col min="15345" max="15345" width="12.5546875" style="233" customWidth="1"/>
    <col min="15346" max="15347" width="13.109375" style="233" customWidth="1"/>
    <col min="15348" max="15349" width="9.109375" style="233"/>
    <col min="15350" max="15350" width="11" style="233" customWidth="1"/>
    <col min="15351" max="15593" width="9.109375" style="233"/>
    <col min="15594" max="15594" width="26.88671875" style="233" customWidth="1"/>
    <col min="15595" max="15595" width="0" style="233" hidden="1" customWidth="1"/>
    <col min="15596" max="15596" width="12.44140625" style="233" customWidth="1"/>
    <col min="15597" max="15598" width="11.109375" style="233" customWidth="1"/>
    <col min="15599" max="15599" width="12.109375" style="233" customWidth="1"/>
    <col min="15600" max="15600" width="14" style="233" customWidth="1"/>
    <col min="15601" max="15601" width="12.5546875" style="233" customWidth="1"/>
    <col min="15602" max="15603" width="13.109375" style="233" customWidth="1"/>
    <col min="15604" max="15605" width="9.109375" style="233"/>
    <col min="15606" max="15606" width="11" style="233" customWidth="1"/>
    <col min="15607" max="15849" width="9.109375" style="233"/>
    <col min="15850" max="15850" width="26.88671875" style="233" customWidth="1"/>
    <col min="15851" max="15851" width="0" style="233" hidden="1" customWidth="1"/>
    <col min="15852" max="15852" width="12.44140625" style="233" customWidth="1"/>
    <col min="15853" max="15854" width="11.109375" style="233" customWidth="1"/>
    <col min="15855" max="15855" width="12.109375" style="233" customWidth="1"/>
    <col min="15856" max="15856" width="14" style="233" customWidth="1"/>
    <col min="15857" max="15857" width="12.5546875" style="233" customWidth="1"/>
    <col min="15858" max="15859" width="13.109375" style="233" customWidth="1"/>
    <col min="15860" max="15861" width="9.109375" style="233"/>
    <col min="15862" max="15862" width="11" style="233" customWidth="1"/>
    <col min="15863" max="16105" width="9.109375" style="233"/>
    <col min="16106" max="16106" width="26.88671875" style="233" customWidth="1"/>
    <col min="16107" max="16107" width="0" style="233" hidden="1" customWidth="1"/>
    <col min="16108" max="16108" width="12.44140625" style="233" customWidth="1"/>
    <col min="16109" max="16110" width="11.109375" style="233" customWidth="1"/>
    <col min="16111" max="16111" width="12.109375" style="233" customWidth="1"/>
    <col min="16112" max="16112" width="14" style="233" customWidth="1"/>
    <col min="16113" max="16113" width="12.5546875" style="233" customWidth="1"/>
    <col min="16114" max="16115" width="13.109375" style="233" customWidth="1"/>
    <col min="16116" max="16117" width="9.109375" style="233"/>
    <col min="16118" max="16118" width="11" style="233" customWidth="1"/>
    <col min="16119" max="16384" width="9.109375" style="233"/>
  </cols>
  <sheetData>
    <row r="1" spans="1:9" ht="16.2" thickBot="1" x14ac:dyDescent="0.35">
      <c r="A1" s="18" t="s">
        <v>286</v>
      </c>
      <c r="B1"/>
      <c r="C1"/>
      <c r="D1"/>
      <c r="E1"/>
      <c r="F1"/>
      <c r="G1"/>
      <c r="H1"/>
      <c r="I1"/>
    </row>
    <row r="2" spans="1:9" ht="46.8" x14ac:dyDescent="0.3">
      <c r="A2" s="351"/>
      <c r="B2" s="352" t="s">
        <v>189</v>
      </c>
      <c r="C2" s="353" t="s">
        <v>270</v>
      </c>
      <c r="D2" s="353" t="s">
        <v>273</v>
      </c>
      <c r="E2" s="353" t="s">
        <v>174</v>
      </c>
      <c r="F2" s="353" t="s">
        <v>175</v>
      </c>
      <c r="G2" s="353" t="s">
        <v>199</v>
      </c>
      <c r="H2" s="353" t="s">
        <v>287</v>
      </c>
      <c r="I2" s="354" t="s">
        <v>288</v>
      </c>
    </row>
    <row r="3" spans="1:9" x14ac:dyDescent="0.3">
      <c r="A3" s="370" t="s">
        <v>297</v>
      </c>
      <c r="B3" s="359"/>
      <c r="C3" s="359"/>
      <c r="D3" s="359"/>
      <c r="E3" s="359"/>
      <c r="F3" s="359"/>
      <c r="G3" s="359"/>
      <c r="H3" s="359"/>
      <c r="I3" s="360"/>
    </row>
    <row r="4" spans="1:9" x14ac:dyDescent="0.3">
      <c r="A4" s="355" t="s">
        <v>139</v>
      </c>
      <c r="B4" s="361">
        <v>9069512</v>
      </c>
      <c r="C4" s="361">
        <v>8383231.0899999999</v>
      </c>
      <c r="D4" s="361">
        <v>9058873.4199999999</v>
      </c>
      <c r="E4" s="361">
        <v>8805835.6899999995</v>
      </c>
      <c r="F4" s="361">
        <v>8499404.4299999997</v>
      </c>
      <c r="G4" s="361">
        <v>9399840.5899999999</v>
      </c>
      <c r="H4" s="361">
        <v>9084381</v>
      </c>
      <c r="I4" s="391">
        <v>11487469</v>
      </c>
    </row>
    <row r="5" spans="1:9" x14ac:dyDescent="0.3">
      <c r="A5" s="355" t="s">
        <v>289</v>
      </c>
      <c r="B5" s="361">
        <v>2664966</v>
      </c>
      <c r="C5" s="362">
        <v>2479550.11</v>
      </c>
      <c r="D5" s="363">
        <v>2662132.09</v>
      </c>
      <c r="E5" s="362">
        <v>2636670.63</v>
      </c>
      <c r="F5" s="361">
        <v>2537808.73</v>
      </c>
      <c r="G5" s="361">
        <v>2685304.73</v>
      </c>
      <c r="H5" s="361">
        <v>2640479</v>
      </c>
      <c r="I5" s="391">
        <v>3247287</v>
      </c>
    </row>
    <row r="6" spans="1:9" x14ac:dyDescent="0.3">
      <c r="A6" s="356" t="s">
        <v>317</v>
      </c>
      <c r="B6" s="361">
        <v>3725714</v>
      </c>
      <c r="C6" s="361">
        <v>3723727.25</v>
      </c>
      <c r="D6" s="361">
        <v>3753659.93</v>
      </c>
      <c r="E6" s="361">
        <v>4011125.36</v>
      </c>
      <c r="F6" s="361">
        <v>3820757.83</v>
      </c>
      <c r="G6" s="361">
        <v>3836106.59</v>
      </c>
      <c r="H6" s="361">
        <v>3797584</v>
      </c>
      <c r="I6" s="391">
        <v>4670305</v>
      </c>
    </row>
    <row r="7" spans="1:9" x14ac:dyDescent="0.3">
      <c r="A7" s="356" t="s">
        <v>148</v>
      </c>
      <c r="B7" s="363">
        <v>31753</v>
      </c>
      <c r="C7" s="362">
        <v>28613.17</v>
      </c>
      <c r="D7" s="363">
        <v>31254.59</v>
      </c>
      <c r="E7" s="362">
        <v>28967.18</v>
      </c>
      <c r="F7" s="363">
        <v>29440.080000000002</v>
      </c>
      <c r="G7" s="363">
        <v>29795.58</v>
      </c>
      <c r="H7" s="392">
        <v>29086</v>
      </c>
      <c r="I7" s="393">
        <v>35771</v>
      </c>
    </row>
    <row r="8" spans="1:9" x14ac:dyDescent="0.3">
      <c r="A8" s="355" t="s">
        <v>290</v>
      </c>
      <c r="B8" s="362">
        <v>720198</v>
      </c>
      <c r="C8" s="362">
        <v>663165.81999999995</v>
      </c>
      <c r="D8" s="362">
        <v>702906.23</v>
      </c>
      <c r="E8" s="362">
        <v>727781.03</v>
      </c>
      <c r="F8" s="362">
        <v>577770.6</v>
      </c>
      <c r="G8" s="362">
        <v>456676</v>
      </c>
      <c r="H8" s="362">
        <v>420382</v>
      </c>
      <c r="I8" s="364">
        <v>203298</v>
      </c>
    </row>
    <row r="9" spans="1:9" x14ac:dyDescent="0.3">
      <c r="A9" s="356" t="s">
        <v>291</v>
      </c>
      <c r="B9" s="362">
        <v>29206</v>
      </c>
      <c r="C9" s="362">
        <v>27443</v>
      </c>
      <c r="D9" s="362">
        <v>29446.14</v>
      </c>
      <c r="E9" s="362">
        <v>30918.73</v>
      </c>
      <c r="F9" s="362">
        <v>30762.16</v>
      </c>
      <c r="G9" s="362">
        <v>31815.09</v>
      </c>
      <c r="H9" s="362">
        <v>39984</v>
      </c>
      <c r="I9" s="364">
        <v>47454</v>
      </c>
    </row>
    <row r="10" spans="1:9" x14ac:dyDescent="0.3">
      <c r="A10" s="370" t="s">
        <v>315</v>
      </c>
      <c r="B10" s="366">
        <f>SUM(B4:B9)</f>
        <v>16241349</v>
      </c>
      <c r="C10" s="366">
        <f>SUM(C4:C9)</f>
        <v>15305730.439999999</v>
      </c>
      <c r="D10" s="366">
        <f t="shared" ref="D10:I10" si="0">SUM(D4:D9)</f>
        <v>16238272.4</v>
      </c>
      <c r="E10" s="366">
        <f t="shared" si="0"/>
        <v>16241298.619999999</v>
      </c>
      <c r="F10" s="366">
        <f t="shared" si="0"/>
        <v>15495943.83</v>
      </c>
      <c r="G10" s="366">
        <f t="shared" si="0"/>
        <v>16439538.58</v>
      </c>
      <c r="H10" s="366">
        <f t="shared" si="0"/>
        <v>16011896</v>
      </c>
      <c r="I10" s="367">
        <f t="shared" si="0"/>
        <v>19691584</v>
      </c>
    </row>
    <row r="11" spans="1:9" x14ac:dyDescent="0.3">
      <c r="A11" s="355" t="s">
        <v>314</v>
      </c>
      <c r="B11" s="366">
        <v>0</v>
      </c>
      <c r="C11" s="366">
        <f>1048117.39+381209.73</f>
        <v>1429327.12</v>
      </c>
      <c r="D11" s="366">
        <f>-263.7+148758.3</f>
        <v>148494.59999999998</v>
      </c>
      <c r="E11" s="366">
        <f>263.7+49933.9</f>
        <v>50197.599999999999</v>
      </c>
      <c r="F11" s="366">
        <v>-3.36</v>
      </c>
      <c r="G11" s="366"/>
      <c r="H11" s="366"/>
      <c r="I11" s="367"/>
    </row>
    <row r="12" spans="1:9" x14ac:dyDescent="0.3">
      <c r="A12" s="357" t="s">
        <v>12</v>
      </c>
      <c r="B12" s="366">
        <f>B11+B10</f>
        <v>16241349</v>
      </c>
      <c r="C12" s="366">
        <f t="shared" ref="C12:I12" si="1">C11+C10</f>
        <v>16735057.559999999</v>
      </c>
      <c r="D12" s="366">
        <f t="shared" si="1"/>
        <v>16386767</v>
      </c>
      <c r="E12" s="366">
        <f t="shared" si="1"/>
        <v>16291496.219999999</v>
      </c>
      <c r="F12" s="366">
        <f t="shared" si="1"/>
        <v>15495940.470000001</v>
      </c>
      <c r="G12" s="366">
        <f t="shared" si="1"/>
        <v>16439538.58</v>
      </c>
      <c r="H12" s="366">
        <f t="shared" si="1"/>
        <v>16011896</v>
      </c>
      <c r="I12" s="366">
        <f t="shared" si="1"/>
        <v>19691584</v>
      </c>
    </row>
    <row r="13" spans="1:9" x14ac:dyDescent="0.3">
      <c r="A13" s="355"/>
      <c r="B13" s="362"/>
      <c r="C13" s="362"/>
      <c r="D13" s="362"/>
      <c r="E13" s="362"/>
      <c r="F13" s="362"/>
      <c r="G13" s="362"/>
      <c r="H13" s="362"/>
      <c r="I13" s="364"/>
    </row>
    <row r="14" spans="1:9" x14ac:dyDescent="0.3">
      <c r="A14" s="355" t="s">
        <v>292</v>
      </c>
      <c r="B14" s="362">
        <v>250000</v>
      </c>
      <c r="C14" s="362">
        <v>245293</v>
      </c>
      <c r="D14" s="362">
        <v>270758</v>
      </c>
      <c r="E14" s="362">
        <v>246557</v>
      </c>
      <c r="F14" s="362">
        <v>177225</v>
      </c>
      <c r="G14" s="362">
        <v>244224.23</v>
      </c>
      <c r="H14" s="362">
        <v>259000</v>
      </c>
      <c r="I14" s="364">
        <v>259000</v>
      </c>
    </row>
    <row r="15" spans="1:9" x14ac:dyDescent="0.3">
      <c r="A15" s="355" t="s">
        <v>293</v>
      </c>
      <c r="B15" s="362">
        <v>232090</v>
      </c>
      <c r="C15" s="362">
        <v>247215</v>
      </c>
      <c r="D15" s="362">
        <v>238812</v>
      </c>
      <c r="E15" s="362">
        <v>291424</v>
      </c>
      <c r="F15" s="362">
        <v>316019</v>
      </c>
      <c r="G15" s="362">
        <v>218201</v>
      </c>
      <c r="H15" s="362">
        <v>170100</v>
      </c>
      <c r="I15" s="364">
        <v>170100</v>
      </c>
    </row>
    <row r="16" spans="1:9" x14ac:dyDescent="0.3">
      <c r="A16" s="355" t="s">
        <v>294</v>
      </c>
      <c r="B16" s="362">
        <v>1848340</v>
      </c>
      <c r="C16" s="362">
        <v>2812268</v>
      </c>
      <c r="D16" s="362">
        <v>1758306</v>
      </c>
      <c r="E16" s="362">
        <v>1777417</v>
      </c>
      <c r="F16" s="362">
        <v>1874741</v>
      </c>
      <c r="G16" s="362">
        <v>1855395</v>
      </c>
      <c r="H16" s="362">
        <v>1848061</v>
      </c>
      <c r="I16" s="364">
        <v>1848061</v>
      </c>
    </row>
    <row r="17" spans="1:10" x14ac:dyDescent="0.3">
      <c r="A17" s="355" t="s">
        <v>295</v>
      </c>
      <c r="B17" s="362">
        <v>269570</v>
      </c>
      <c r="C17" s="362">
        <v>227694</v>
      </c>
      <c r="D17" s="362">
        <v>-74745</v>
      </c>
      <c r="E17" s="362">
        <v>382805</v>
      </c>
      <c r="F17" s="362">
        <v>284378</v>
      </c>
      <c r="G17" s="362">
        <v>140922</v>
      </c>
      <c r="H17" s="362">
        <v>112500</v>
      </c>
      <c r="I17" s="364">
        <v>112500</v>
      </c>
    </row>
    <row r="18" spans="1:10" x14ac:dyDescent="0.3">
      <c r="A18" s="357" t="s">
        <v>12</v>
      </c>
      <c r="B18" s="366">
        <f>SUM(B14:B17)</f>
        <v>2600000</v>
      </c>
      <c r="C18" s="366">
        <f>SUM(C14:C17)</f>
        <v>3532470</v>
      </c>
      <c r="D18" s="366">
        <f t="shared" ref="D18:I18" si="2">SUM(D14:D17)</f>
        <v>2193131</v>
      </c>
      <c r="E18" s="366">
        <f t="shared" si="2"/>
        <v>2698203</v>
      </c>
      <c r="F18" s="366">
        <f t="shared" si="2"/>
        <v>2652363</v>
      </c>
      <c r="G18" s="366">
        <f t="shared" si="2"/>
        <v>2458742.23</v>
      </c>
      <c r="H18" s="366">
        <f t="shared" si="2"/>
        <v>2389661</v>
      </c>
      <c r="I18" s="367">
        <f t="shared" si="2"/>
        <v>2389661</v>
      </c>
    </row>
    <row r="19" spans="1:10" ht="16.2" thickBot="1" x14ac:dyDescent="0.35">
      <c r="A19" s="358" t="s">
        <v>296</v>
      </c>
      <c r="B19" s="368">
        <f>+B18+B10</f>
        <v>18841349</v>
      </c>
      <c r="C19" s="368">
        <f>+C18+C12</f>
        <v>20267527.559999999</v>
      </c>
      <c r="D19" s="368">
        <f>+D18+D12</f>
        <v>18579898</v>
      </c>
      <c r="E19" s="368">
        <f>+E18+E12</f>
        <v>18989699.219999999</v>
      </c>
      <c r="F19" s="368">
        <f>+F18+F12</f>
        <v>18148303.469999999</v>
      </c>
      <c r="G19" s="368">
        <f>+G18+G12</f>
        <v>18898280.809999999</v>
      </c>
      <c r="H19" s="368">
        <f t="shared" ref="H19:I19" si="3">+H18+H10</f>
        <v>18401557</v>
      </c>
      <c r="I19" s="369">
        <f t="shared" si="3"/>
        <v>22081245</v>
      </c>
    </row>
    <row r="20" spans="1:10" ht="16.2" thickBot="1" x14ac:dyDescent="0.35">
      <c r="B20" s="368"/>
      <c r="C20" s="368"/>
      <c r="D20" s="368"/>
      <c r="E20" s="368"/>
      <c r="F20" s="368"/>
      <c r="G20" s="368"/>
      <c r="H20" s="368"/>
      <c r="I20" s="369"/>
    </row>
    <row r="21" spans="1:10" x14ac:dyDescent="0.3">
      <c r="C21" s="365"/>
      <c r="D21" s="365"/>
      <c r="E21" s="365"/>
      <c r="F21" s="365"/>
      <c r="G21" s="365"/>
      <c r="H21" s="365"/>
      <c r="I21" s="365"/>
    </row>
    <row r="22" spans="1:10" x14ac:dyDescent="0.3">
      <c r="A22" s="426" t="s">
        <v>196</v>
      </c>
      <c r="B22" s="426"/>
      <c r="C22" s="426"/>
      <c r="D22" s="426"/>
      <c r="E22" s="426"/>
      <c r="F22" s="426"/>
      <c r="G22" s="426"/>
    </row>
    <row r="23" spans="1:10" ht="62.4" x14ac:dyDescent="0.3">
      <c r="A23" s="284" t="s">
        <v>143</v>
      </c>
      <c r="B23" s="285" t="s">
        <v>197</v>
      </c>
      <c r="C23" s="285" t="s">
        <v>144</v>
      </c>
      <c r="D23" s="285" t="s">
        <v>198</v>
      </c>
      <c r="E23" s="285" t="s">
        <v>144</v>
      </c>
      <c r="F23" s="285" t="s">
        <v>145</v>
      </c>
      <c r="G23" s="285" t="s">
        <v>146</v>
      </c>
    </row>
    <row r="24" spans="1:10" x14ac:dyDescent="0.3">
      <c r="A24" s="425" t="s">
        <v>147</v>
      </c>
      <c r="B24" s="425"/>
      <c r="C24" s="425"/>
      <c r="D24" s="425"/>
      <c r="E24" s="425"/>
      <c r="F24" s="425"/>
      <c r="G24" s="425"/>
    </row>
    <row r="25" spans="1:10" x14ac:dyDescent="0.3">
      <c r="A25" s="276"/>
      <c r="B25" s="234"/>
      <c r="C25" s="234"/>
      <c r="D25" s="234"/>
      <c r="E25" s="234"/>
      <c r="F25" s="234"/>
      <c r="G25" s="234"/>
    </row>
    <row r="26" spans="1:10" x14ac:dyDescent="0.3">
      <c r="A26" s="235" t="s">
        <v>189</v>
      </c>
      <c r="B26" s="236"/>
      <c r="C26" s="234"/>
      <c r="D26" s="237">
        <v>703.40824899999996</v>
      </c>
      <c r="E26" s="236"/>
      <c r="F26" s="238">
        <v>42383</v>
      </c>
      <c r="G26" s="234"/>
      <c r="J26" s="390"/>
    </row>
    <row r="27" spans="1:10" x14ac:dyDescent="0.3">
      <c r="A27" s="276"/>
      <c r="B27" s="234"/>
      <c r="C27" s="234"/>
      <c r="D27" s="234"/>
      <c r="E27" s="234"/>
      <c r="F27" s="234"/>
      <c r="G27" s="234"/>
      <c r="J27" s="365"/>
    </row>
    <row r="28" spans="1:10" x14ac:dyDescent="0.3">
      <c r="A28" s="235">
        <v>2003</v>
      </c>
      <c r="B28" s="239">
        <f>Summary!B10/1000000</f>
        <v>719.28609800000004</v>
      </c>
      <c r="C28" s="236"/>
      <c r="D28" s="239">
        <f t="shared" ref="D28:D41" si="4">B28*F172</f>
        <v>704.56365084734978</v>
      </c>
      <c r="E28" s="236"/>
      <c r="F28" s="238">
        <f>Summary!B41</f>
        <v>41290</v>
      </c>
      <c r="G28" s="236"/>
      <c r="J28" s="365"/>
    </row>
    <row r="29" spans="1:10" x14ac:dyDescent="0.3">
      <c r="A29" s="235">
        <v>2004</v>
      </c>
      <c r="B29" s="239">
        <f>Summary!C10/1000000</f>
        <v>727.30812000000003</v>
      </c>
      <c r="C29" s="240">
        <f>B29-B28</f>
        <v>8.0220219999999927</v>
      </c>
      <c r="D29" s="239">
        <f t="shared" si="4"/>
        <v>717.52546076518274</v>
      </c>
      <c r="E29" s="240">
        <f t="shared" ref="E29:G32" si="5">D29-D28</f>
        <v>12.961809917832966</v>
      </c>
      <c r="F29" s="238">
        <f>Summary!C41</f>
        <v>41351</v>
      </c>
      <c r="G29" s="241">
        <f t="shared" si="5"/>
        <v>61</v>
      </c>
    </row>
    <row r="30" spans="1:10" x14ac:dyDescent="0.3">
      <c r="A30" s="235">
        <v>2005</v>
      </c>
      <c r="B30" s="239">
        <f>Summary!D10/1000000</f>
        <v>717.783995</v>
      </c>
      <c r="C30" s="240">
        <f t="shared" ref="C30:C41" si="6">B30-B29</f>
        <v>-9.5241250000000264</v>
      </c>
      <c r="D30" s="239">
        <f t="shared" si="4"/>
        <v>711.87242009716147</v>
      </c>
      <c r="E30" s="240">
        <f t="shared" si="5"/>
        <v>-5.6530406680212764</v>
      </c>
      <c r="F30" s="238">
        <f>Summary!D41</f>
        <v>41409</v>
      </c>
      <c r="G30" s="241">
        <f t="shared" si="5"/>
        <v>58</v>
      </c>
    </row>
    <row r="31" spans="1:10" x14ac:dyDescent="0.3">
      <c r="A31" s="235">
        <v>2006</v>
      </c>
      <c r="B31" s="239">
        <f>Summary!E10/1000000</f>
        <v>697.140805</v>
      </c>
      <c r="C31" s="240">
        <f t="shared" si="6"/>
        <v>-20.643190000000004</v>
      </c>
      <c r="D31" s="239">
        <f t="shared" si="4"/>
        <v>708.75277039135517</v>
      </c>
      <c r="E31" s="240">
        <f t="shared" si="5"/>
        <v>-3.119649705806296</v>
      </c>
      <c r="F31" s="238">
        <f>Summary!E41</f>
        <v>41469</v>
      </c>
      <c r="G31" s="241">
        <f t="shared" si="5"/>
        <v>60</v>
      </c>
    </row>
    <row r="32" spans="1:10" x14ac:dyDescent="0.3">
      <c r="A32" s="235">
        <v>2007</v>
      </c>
      <c r="B32" s="239">
        <f>Summary!F10/1000000</f>
        <v>701.80077200000005</v>
      </c>
      <c r="C32" s="240">
        <f t="shared" si="6"/>
        <v>4.6599670000000515</v>
      </c>
      <c r="D32" s="239">
        <f t="shared" si="4"/>
        <v>698.56308100740068</v>
      </c>
      <c r="E32" s="240">
        <f t="shared" si="5"/>
        <v>-10.189689383954487</v>
      </c>
      <c r="F32" s="238">
        <f>Summary!F41</f>
        <v>41538</v>
      </c>
      <c r="G32" s="241">
        <f t="shared" si="5"/>
        <v>69</v>
      </c>
    </row>
    <row r="33" spans="1:9" x14ac:dyDescent="0.3">
      <c r="A33" s="235">
        <v>2008</v>
      </c>
      <c r="B33" s="239">
        <f>Summary!G10/1000000</f>
        <v>710.69862599999999</v>
      </c>
      <c r="C33" s="240">
        <f t="shared" si="6"/>
        <v>8.8978539999999384</v>
      </c>
      <c r="D33" s="239">
        <f t="shared" si="4"/>
        <v>700.92970694219389</v>
      </c>
      <c r="E33" s="240">
        <f t="shared" ref="E33:G43" si="7">D33-D32</f>
        <v>2.3666259347932055</v>
      </c>
      <c r="F33" s="238">
        <f>Summary!G41</f>
        <v>41729</v>
      </c>
      <c r="G33" s="241">
        <f t="shared" si="7"/>
        <v>191</v>
      </c>
    </row>
    <row r="34" spans="1:9" x14ac:dyDescent="0.3">
      <c r="A34" s="235">
        <v>2009</v>
      </c>
      <c r="B34" s="239">
        <f>Summary!H10/1000000</f>
        <v>707.75670000000002</v>
      </c>
      <c r="C34" s="240">
        <f t="shared" si="6"/>
        <v>-2.9419259999999667</v>
      </c>
      <c r="D34" s="239">
        <f t="shared" si="4"/>
        <v>698.48157404669473</v>
      </c>
      <c r="E34" s="240">
        <f t="shared" si="7"/>
        <v>-2.4481328954991568</v>
      </c>
      <c r="F34" s="238">
        <f>Summary!H41</f>
        <v>41995</v>
      </c>
      <c r="G34" s="241">
        <f t="shared" si="7"/>
        <v>266</v>
      </c>
    </row>
    <row r="35" spans="1:9" x14ac:dyDescent="0.3">
      <c r="A35" s="235">
        <v>2010</v>
      </c>
      <c r="B35" s="239">
        <f>Summary!I10/1000000</f>
        <v>683.75786200000005</v>
      </c>
      <c r="C35" s="240">
        <f t="shared" si="6"/>
        <v>-23.998837999999978</v>
      </c>
      <c r="D35" s="239">
        <f t="shared" si="4"/>
        <v>691.59121120156146</v>
      </c>
      <c r="E35" s="240">
        <f t="shared" si="7"/>
        <v>-6.8903628451332679</v>
      </c>
      <c r="F35" s="238">
        <f>Summary!I41</f>
        <v>42110</v>
      </c>
      <c r="G35" s="241">
        <f t="shared" si="7"/>
        <v>115</v>
      </c>
    </row>
    <row r="36" spans="1:9" x14ac:dyDescent="0.3">
      <c r="A36" s="235">
        <v>2011</v>
      </c>
      <c r="B36" s="239">
        <f>Summary!J10/1000000</f>
        <v>711.92901700000004</v>
      </c>
      <c r="C36" s="240">
        <f t="shared" si="6"/>
        <v>28.171154999999999</v>
      </c>
      <c r="D36" s="239">
        <f t="shared" si="4"/>
        <v>712.09366525964617</v>
      </c>
      <c r="E36" s="240">
        <f t="shared" si="7"/>
        <v>20.502454058084709</v>
      </c>
      <c r="F36" s="238">
        <f>Summary!J41</f>
        <v>42160</v>
      </c>
      <c r="G36" s="241">
        <f t="shared" si="7"/>
        <v>50</v>
      </c>
    </row>
    <row r="37" spans="1:9" x14ac:dyDescent="0.3">
      <c r="A37" s="235">
        <v>2012</v>
      </c>
      <c r="B37" s="239">
        <f>Summary!K10/1000000</f>
        <v>676.76570900000002</v>
      </c>
      <c r="C37" s="240">
        <f t="shared" si="6"/>
        <v>-35.163308000000029</v>
      </c>
      <c r="D37" s="239">
        <f t="shared" si="4"/>
        <v>707.74951268900293</v>
      </c>
      <c r="E37" s="240">
        <f t="shared" si="7"/>
        <v>-4.3441525706432458</v>
      </c>
      <c r="F37" s="238">
        <f>Summary!K41</f>
        <v>42400</v>
      </c>
      <c r="G37" s="241">
        <f t="shared" si="7"/>
        <v>240</v>
      </c>
    </row>
    <row r="38" spans="1:9" x14ac:dyDescent="0.3">
      <c r="A38" s="235">
        <v>2013</v>
      </c>
      <c r="B38" s="239">
        <f>Summary!L10/1000000</f>
        <v>688.24416699999995</v>
      </c>
      <c r="C38" s="240">
        <f t="shared" si="6"/>
        <v>11.478457999999932</v>
      </c>
      <c r="D38" s="239">
        <f t="shared" si="4"/>
        <v>697.67481105555657</v>
      </c>
      <c r="E38" s="240">
        <f t="shared" si="7"/>
        <v>-10.074701633446352</v>
      </c>
      <c r="F38" s="238">
        <f>Summary!L41</f>
        <v>42592</v>
      </c>
      <c r="G38" s="241">
        <f t="shared" si="7"/>
        <v>192</v>
      </c>
    </row>
    <row r="39" spans="1:9" x14ac:dyDescent="0.3">
      <c r="A39" s="235">
        <v>2014</v>
      </c>
      <c r="B39" s="239">
        <f>Summary!M10/1000000</f>
        <v>701.84312699999998</v>
      </c>
      <c r="C39" s="240">
        <f t="shared" si="6"/>
        <v>13.598960000000034</v>
      </c>
      <c r="D39" s="239">
        <f t="shared" si="4"/>
        <v>673.00273715053527</v>
      </c>
      <c r="E39" s="240">
        <f t="shared" si="7"/>
        <v>-24.672073905021307</v>
      </c>
      <c r="F39" s="238">
        <f>Summary!M41</f>
        <v>42577</v>
      </c>
      <c r="G39" s="241">
        <f t="shared" si="7"/>
        <v>-15</v>
      </c>
    </row>
    <row r="40" spans="1:9" x14ac:dyDescent="0.3">
      <c r="A40" s="235">
        <v>2015</v>
      </c>
      <c r="B40" s="239">
        <f>Summary!N10/1000000</f>
        <v>669.38752599999998</v>
      </c>
      <c r="C40" s="240">
        <f t="shared" si="6"/>
        <v>-32.455601000000001</v>
      </c>
      <c r="D40" s="239">
        <f t="shared" si="4"/>
        <v>657.60473462073526</v>
      </c>
      <c r="E40" s="240">
        <f t="shared" si="7"/>
        <v>-15.39800252980001</v>
      </c>
      <c r="F40" s="238">
        <f>Summary!N41</f>
        <v>42590</v>
      </c>
      <c r="G40" s="241">
        <f t="shared" si="7"/>
        <v>13</v>
      </c>
    </row>
    <row r="41" spans="1:9" x14ac:dyDescent="0.3">
      <c r="A41" s="235">
        <v>2016</v>
      </c>
      <c r="B41" s="239">
        <f>Summary!O10/1000000</f>
        <v>636.87624392999999</v>
      </c>
      <c r="C41" s="240">
        <f t="shared" si="6"/>
        <v>-32.511282069999993</v>
      </c>
      <c r="D41" s="239">
        <f t="shared" si="4"/>
        <v>641.9281645401926</v>
      </c>
      <c r="E41" s="240">
        <f t="shared" si="7"/>
        <v>-15.67657008054266</v>
      </c>
      <c r="F41" s="238">
        <f>Summary!O41</f>
        <v>42650</v>
      </c>
      <c r="G41" s="241">
        <f t="shared" si="7"/>
        <v>60</v>
      </c>
    </row>
    <row r="42" spans="1:9" ht="12.75" customHeight="1" x14ac:dyDescent="0.3">
      <c r="A42" s="242" t="s">
        <v>199</v>
      </c>
      <c r="B42" s="239"/>
      <c r="C42" s="240"/>
      <c r="D42" s="239" t="e">
        <f>Summary!#REF!/1000000</f>
        <v>#REF!</v>
      </c>
      <c r="E42" s="240" t="e">
        <f t="shared" si="7"/>
        <v>#REF!</v>
      </c>
      <c r="F42" s="238">
        <f>Summary!P41</f>
        <v>41959</v>
      </c>
      <c r="G42" s="241">
        <f t="shared" si="7"/>
        <v>-691</v>
      </c>
    </row>
    <row r="43" spans="1:9" x14ac:dyDescent="0.3">
      <c r="A43" s="235" t="s">
        <v>200</v>
      </c>
      <c r="B43" s="239"/>
      <c r="C43" s="240"/>
      <c r="D43" s="239">
        <f>Summary!Q10/1000000</f>
        <v>615.27173874970026</v>
      </c>
      <c r="E43" s="240" t="e">
        <f t="shared" si="7"/>
        <v>#REF!</v>
      </c>
      <c r="F43" s="238">
        <f>Summary!Q41</f>
        <v>42049.777078881569</v>
      </c>
      <c r="G43" s="241">
        <f t="shared" si="7"/>
        <v>90.777078881568741</v>
      </c>
    </row>
    <row r="45" spans="1:9" x14ac:dyDescent="0.3">
      <c r="A45" s="243" t="s">
        <v>201</v>
      </c>
      <c r="B45" s="243"/>
      <c r="C45" s="243"/>
      <c r="D45" s="243"/>
    </row>
    <row r="46" spans="1:9" ht="46.8" x14ac:dyDescent="0.3">
      <c r="A46" s="284" t="s">
        <v>143</v>
      </c>
      <c r="B46" s="285" t="s">
        <v>1</v>
      </c>
      <c r="C46" s="285" t="s">
        <v>133</v>
      </c>
      <c r="D46" s="374" t="s">
        <v>318</v>
      </c>
      <c r="E46" s="285" t="s">
        <v>148</v>
      </c>
      <c r="F46" s="285" t="s">
        <v>66</v>
      </c>
      <c r="G46" s="285" t="s">
        <v>149</v>
      </c>
      <c r="H46" s="285" t="s">
        <v>12</v>
      </c>
    </row>
    <row r="47" spans="1:9" ht="14.25" customHeight="1" x14ac:dyDescent="0.3">
      <c r="A47" s="244" t="s">
        <v>202</v>
      </c>
      <c r="B47" s="245"/>
      <c r="C47" s="245"/>
      <c r="D47" s="245"/>
      <c r="E47" s="245"/>
      <c r="F47" s="245"/>
      <c r="H47" s="246"/>
      <c r="I47" s="304"/>
    </row>
    <row r="48" spans="1:9" ht="14.25" customHeight="1" x14ac:dyDescent="0.3">
      <c r="A48" s="247">
        <f t="shared" ref="A48:A61" si="8">A28</f>
        <v>2003</v>
      </c>
      <c r="B48" s="290">
        <f>+Summary!B15/1000000</f>
        <v>351.03789</v>
      </c>
      <c r="C48" s="290">
        <f>+Summary!B19/1000000</f>
        <v>96.164282</v>
      </c>
      <c r="D48" s="290">
        <f>+Summary!B23/1000000</f>
        <v>263.76318600000002</v>
      </c>
      <c r="E48" s="290">
        <f>+Summary!B28/1000000</f>
        <v>0.27656199999999997</v>
      </c>
      <c r="F48" s="290">
        <f>+Summary!B33/1000000</f>
        <v>7.1925410000000003</v>
      </c>
      <c r="G48" s="290">
        <f>+Summary!B38/1000000</f>
        <v>0.85163699999999998</v>
      </c>
      <c r="H48" s="239">
        <f>SUM(B48:G48)</f>
        <v>719.28609800000004</v>
      </c>
      <c r="I48" s="304"/>
    </row>
    <row r="49" spans="1:9" ht="14.25" customHeight="1" x14ac:dyDescent="0.3">
      <c r="A49" s="247">
        <f t="shared" si="8"/>
        <v>2004</v>
      </c>
      <c r="B49" s="290">
        <f>+Summary!C15/1000000</f>
        <v>356.49049200000002</v>
      </c>
      <c r="C49" s="290">
        <f>+Summary!C19/1000000</f>
        <v>95.721846999999997</v>
      </c>
      <c r="D49" s="290">
        <f>+Summary!C23/1000000</f>
        <v>266.586772</v>
      </c>
      <c r="E49" s="290">
        <f>+Summary!C28/1000000</f>
        <v>0.29122799999999999</v>
      </c>
      <c r="F49" s="290">
        <f>+Summary!C33/1000000</f>
        <v>7.375127</v>
      </c>
      <c r="G49" s="290">
        <f>+Summary!C38/1000000</f>
        <v>0.84265400000000001</v>
      </c>
      <c r="H49" s="239">
        <f t="shared" ref="H49:H63" si="9">SUM(B49:G49)</f>
        <v>727.30812000000014</v>
      </c>
      <c r="I49" s="304"/>
    </row>
    <row r="50" spans="1:9" ht="14.25" customHeight="1" x14ac:dyDescent="0.3">
      <c r="A50" s="247">
        <f t="shared" si="8"/>
        <v>2005</v>
      </c>
      <c r="B50" s="290">
        <f>+Summary!D15/1000000</f>
        <v>347.27425899999997</v>
      </c>
      <c r="C50" s="290">
        <f>+Summary!D19/1000000</f>
        <v>95.591622000000001</v>
      </c>
      <c r="D50" s="290">
        <f>+Summary!D23/1000000</f>
        <v>266.071754</v>
      </c>
      <c r="E50" s="290">
        <f>+Summary!D28/1000000</f>
        <v>0.28140599999999999</v>
      </c>
      <c r="F50" s="290">
        <f>+Summary!D33/1000000</f>
        <v>7.7191270000000003</v>
      </c>
      <c r="G50" s="290">
        <f>+Summary!D38/1000000</f>
        <v>0.845827</v>
      </c>
      <c r="H50" s="239">
        <f t="shared" si="9"/>
        <v>717.78399499999989</v>
      </c>
      <c r="I50" s="304"/>
    </row>
    <row r="51" spans="1:9" ht="14.25" customHeight="1" x14ac:dyDescent="0.3">
      <c r="A51" s="247">
        <f t="shared" si="8"/>
        <v>2006</v>
      </c>
      <c r="B51" s="290">
        <f>+Summary!E15/1000000</f>
        <v>335.39553899999999</v>
      </c>
      <c r="C51" s="290">
        <f>+Summary!E19/1000000</f>
        <v>86.770872999999995</v>
      </c>
      <c r="D51" s="290">
        <f>+Summary!E23/1000000</f>
        <v>266.238407</v>
      </c>
      <c r="E51" s="290">
        <f>+Summary!E28/1000000</f>
        <v>0.274009</v>
      </c>
      <c r="F51" s="290">
        <f>+Summary!E33/1000000</f>
        <v>7.6058240000000001</v>
      </c>
      <c r="G51" s="290">
        <f>+Summary!E38/1000000</f>
        <v>0.85615300000000005</v>
      </c>
      <c r="H51" s="239">
        <f t="shared" si="9"/>
        <v>697.14080499999989</v>
      </c>
      <c r="I51" s="304"/>
    </row>
    <row r="52" spans="1:9" x14ac:dyDescent="0.3">
      <c r="A52" s="247">
        <f t="shared" si="8"/>
        <v>2007</v>
      </c>
      <c r="B52" s="290">
        <f>+Summary!F15/1000000</f>
        <v>338.87433700000003</v>
      </c>
      <c r="C52" s="290">
        <f>+Summary!F19/1000000</f>
        <v>94.225468000000006</v>
      </c>
      <c r="D52" s="290">
        <f>+Summary!F23/1000000</f>
        <v>259.93040300000001</v>
      </c>
      <c r="E52" s="290">
        <f>+Summary!F28/1000000</f>
        <v>0.26905400000000002</v>
      </c>
      <c r="F52" s="290">
        <f>+Summary!F33/1000000</f>
        <v>7.6375279999999997</v>
      </c>
      <c r="G52" s="290">
        <f>+Summary!F38/1000000</f>
        <v>0.86398200000000003</v>
      </c>
      <c r="H52" s="239">
        <f t="shared" si="9"/>
        <v>701.80077200000005</v>
      </c>
      <c r="I52" s="304"/>
    </row>
    <row r="53" spans="1:9" ht="12.75" customHeight="1" x14ac:dyDescent="0.3">
      <c r="A53" s="247">
        <f t="shared" si="8"/>
        <v>2008</v>
      </c>
      <c r="B53" s="290">
        <f>+Summary!G15/1000000</f>
        <v>347.36322999999999</v>
      </c>
      <c r="C53" s="290">
        <f>+Summary!G19/1000000</f>
        <v>93.474158000000003</v>
      </c>
      <c r="D53" s="290">
        <f>+Summary!G23/1000000</f>
        <v>261.12394499999999</v>
      </c>
      <c r="E53" s="290">
        <f>+Summary!G28/1000000</f>
        <v>0.26876299999999997</v>
      </c>
      <c r="F53" s="290">
        <f>+Summary!G33/1000000</f>
        <v>7.6202050000000003</v>
      </c>
      <c r="G53" s="290">
        <f>+Summary!G38/1000000</f>
        <v>0.848325</v>
      </c>
      <c r="H53" s="239">
        <f t="shared" si="9"/>
        <v>710.6986260000001</v>
      </c>
      <c r="I53" s="304"/>
    </row>
    <row r="54" spans="1:9" x14ac:dyDescent="0.3">
      <c r="A54" s="247">
        <f t="shared" si="8"/>
        <v>2009</v>
      </c>
      <c r="B54" s="290">
        <f>+Summary!H15/1000000</f>
        <v>348.61935899999997</v>
      </c>
      <c r="C54" s="290">
        <f>+Summary!H19/1000000</f>
        <v>91.450220999999999</v>
      </c>
      <c r="D54" s="290">
        <f>+Summary!H23/1000000</f>
        <v>258.99814099999998</v>
      </c>
      <c r="E54" s="290">
        <f>+Summary!H28/1000000</f>
        <v>0.26252199999999998</v>
      </c>
      <c r="F54" s="290">
        <f>+Summary!H33/1000000</f>
        <v>7.6030090000000001</v>
      </c>
      <c r="G54" s="290">
        <f>+Summary!H38/1000000</f>
        <v>0.82344799999999996</v>
      </c>
      <c r="H54" s="239">
        <f t="shared" si="9"/>
        <v>707.75669999999991</v>
      </c>
      <c r="I54" s="304"/>
    </row>
    <row r="55" spans="1:9" x14ac:dyDescent="0.3">
      <c r="A55" s="247">
        <f t="shared" si="8"/>
        <v>2010</v>
      </c>
      <c r="B55" s="290">
        <f>+Summary!I15/1000000</f>
        <v>326.49371400000001</v>
      </c>
      <c r="C55" s="290">
        <f>+Summary!I19/1000000</f>
        <v>91.377364</v>
      </c>
      <c r="D55" s="290">
        <f>+Summary!I23/1000000</f>
        <v>257.03681999999998</v>
      </c>
      <c r="E55" s="290">
        <f>+Summary!I28/1000000</f>
        <v>0.25814700000000002</v>
      </c>
      <c r="F55" s="290">
        <f>+Summary!I33/1000000</f>
        <v>7.754588</v>
      </c>
      <c r="G55" s="290">
        <f>+Summary!I38/1000000</f>
        <v>0.837229</v>
      </c>
      <c r="H55" s="239">
        <f t="shared" si="9"/>
        <v>683.75786199999993</v>
      </c>
      <c r="I55" s="304"/>
    </row>
    <row r="56" spans="1:9" x14ac:dyDescent="0.3">
      <c r="A56" s="247">
        <f t="shared" si="8"/>
        <v>2011</v>
      </c>
      <c r="B56" s="290">
        <f>+Summary!J15/1000000</f>
        <v>345.28227900000002</v>
      </c>
      <c r="C56" s="290">
        <f>+Summary!J19/1000000</f>
        <v>101.72829900000001</v>
      </c>
      <c r="D56" s="290">
        <f>+Summary!J23/1000000</f>
        <v>255.968368</v>
      </c>
      <c r="E56" s="290">
        <f>+Summary!J28/1000000</f>
        <v>0.26036199999999998</v>
      </c>
      <c r="F56" s="290">
        <f>+Summary!J33/1000000</f>
        <v>7.8148359999999997</v>
      </c>
      <c r="G56" s="290">
        <f>+Summary!J38/1000000</f>
        <v>0.87487300000000001</v>
      </c>
      <c r="H56" s="239">
        <f t="shared" si="9"/>
        <v>711.92901699999993</v>
      </c>
      <c r="I56" s="304"/>
    </row>
    <row r="57" spans="1:9" x14ac:dyDescent="0.3">
      <c r="A57" s="247">
        <f t="shared" si="8"/>
        <v>2012</v>
      </c>
      <c r="B57" s="290">
        <f>+Summary!K15/1000000</f>
        <v>316.12764499999997</v>
      </c>
      <c r="C57" s="290">
        <f>+Summary!K19/1000000</f>
        <v>97.479014000000006</v>
      </c>
      <c r="D57" s="290">
        <f>+Summary!K23/1000000</f>
        <v>254.314087</v>
      </c>
      <c r="E57" s="290">
        <f>+Summary!K28/1000000</f>
        <v>0.24651200000000001</v>
      </c>
      <c r="F57" s="290">
        <f>+Summary!K33/1000000</f>
        <v>7.736459</v>
      </c>
      <c r="G57" s="290">
        <f>+Summary!K38/1000000</f>
        <v>0.86199199999999998</v>
      </c>
      <c r="H57" s="239">
        <f t="shared" si="9"/>
        <v>676.76570900000002</v>
      </c>
      <c r="I57" s="304"/>
    </row>
    <row r="58" spans="1:9" x14ac:dyDescent="0.3">
      <c r="A58" s="247">
        <f t="shared" si="8"/>
        <v>2013</v>
      </c>
      <c r="B58" s="290">
        <f>+Summary!L15/1000000</f>
        <v>324.18539199999998</v>
      </c>
      <c r="C58" s="290">
        <f>+Summary!L19/1000000</f>
        <v>95.827695000000006</v>
      </c>
      <c r="D58" s="290">
        <f>+Summary!L23/1000000</f>
        <v>259.04874999999998</v>
      </c>
      <c r="E58" s="290">
        <f>+Summary!L28/1000000</f>
        <v>0.237315</v>
      </c>
      <c r="F58" s="290">
        <f>+Summary!L33/1000000</f>
        <v>8.0875920000000008</v>
      </c>
      <c r="G58" s="290">
        <f>+Summary!L38/1000000</f>
        <v>0.85742300000000005</v>
      </c>
      <c r="H58" s="239">
        <f t="shared" si="9"/>
        <v>688.24416699999995</v>
      </c>
      <c r="I58" s="304"/>
    </row>
    <row r="59" spans="1:9" x14ac:dyDescent="0.3">
      <c r="A59" s="247">
        <f t="shared" si="8"/>
        <v>2014</v>
      </c>
      <c r="B59" s="290">
        <f>+Summary!M15/1000000</f>
        <v>334.95038299999999</v>
      </c>
      <c r="C59" s="290">
        <f>+Summary!M19/1000000</f>
        <v>99.153425999999996</v>
      </c>
      <c r="D59" s="290">
        <f>+Summary!M23/1000000</f>
        <v>258.80783000000002</v>
      </c>
      <c r="E59" s="290">
        <f>+Summary!M28/1000000</f>
        <v>0.24334900000000001</v>
      </c>
      <c r="F59" s="290">
        <f>+Summary!M33/1000000</f>
        <v>7.8121150000000004</v>
      </c>
      <c r="G59" s="290">
        <f>+Summary!M38/1000000</f>
        <v>0.87602400000000002</v>
      </c>
      <c r="H59" s="239">
        <f t="shared" si="9"/>
        <v>701.84312699999987</v>
      </c>
      <c r="I59" s="304"/>
    </row>
    <row r="60" spans="1:9" x14ac:dyDescent="0.3">
      <c r="A60" s="247">
        <f t="shared" si="8"/>
        <v>2015</v>
      </c>
      <c r="B60" s="290">
        <f>+Summary!N15/1000000</f>
        <v>310.45823999999999</v>
      </c>
      <c r="C60" s="290">
        <f>+Summary!N19/1000000</f>
        <v>95.701161999999997</v>
      </c>
      <c r="D60" s="290">
        <f>+Summary!N23/1000000</f>
        <v>254.78456499999999</v>
      </c>
      <c r="E60" s="290">
        <f>+Summary!N28/1000000</f>
        <v>0.235238</v>
      </c>
      <c r="F60" s="290">
        <f>+Summary!N33/1000000</f>
        <v>7.2956120000000002</v>
      </c>
      <c r="G60" s="290">
        <f>+Summary!N38/1000000</f>
        <v>0.91270899999999999</v>
      </c>
      <c r="H60" s="239">
        <f t="shared" si="9"/>
        <v>669.38752599999987</v>
      </c>
      <c r="I60" s="304"/>
    </row>
    <row r="61" spans="1:9" x14ac:dyDescent="0.3">
      <c r="A61" s="247">
        <f t="shared" si="8"/>
        <v>2016</v>
      </c>
      <c r="B61" s="290">
        <f>+Summary!O15/1000000</f>
        <v>288.74648639999998</v>
      </c>
      <c r="C61" s="290">
        <f>+Summary!O19/1000000</f>
        <v>92.174995999999993</v>
      </c>
      <c r="D61" s="290">
        <f>+Summary!O23/1000000</f>
        <v>249.95517799999999</v>
      </c>
      <c r="E61" s="290">
        <f>+Summary!O28/1000000</f>
        <v>0.2270558</v>
      </c>
      <c r="F61" s="290">
        <f>+Summary!O33/1000000</f>
        <v>4.8692770999999997</v>
      </c>
      <c r="G61" s="290">
        <f>+Summary!O38/1000000</f>
        <v>0.90325063000000005</v>
      </c>
      <c r="H61" s="239">
        <f t="shared" si="9"/>
        <v>636.87624392999999</v>
      </c>
      <c r="I61" s="304"/>
    </row>
    <row r="62" spans="1:9" x14ac:dyDescent="0.3">
      <c r="A62" s="441" t="s">
        <v>203</v>
      </c>
      <c r="B62" s="442"/>
      <c r="C62" s="442"/>
      <c r="D62" s="442"/>
      <c r="E62" s="442"/>
      <c r="F62" s="442"/>
      <c r="G62" s="442"/>
      <c r="H62" s="443"/>
    </row>
    <row r="63" spans="1:9" x14ac:dyDescent="0.3">
      <c r="A63" s="235">
        <f t="shared" ref="A63:A66" si="10">A48</f>
        <v>2003</v>
      </c>
      <c r="B63" s="290">
        <f t="shared" ref="B63:B73" si="11">B48*F172</f>
        <v>343.85279800604513</v>
      </c>
      <c r="C63" s="290">
        <f t="shared" ref="C63:C73" si="12">C48*F172</f>
        <v>94.195978200365658</v>
      </c>
      <c r="D63" s="290">
        <f t="shared" ref="D63:D73" si="13">D48*F172</f>
        <v>258.36444469595267</v>
      </c>
      <c r="E63" s="290">
        <f t="shared" ref="E63:E73" si="14">E48*F172</f>
        <v>0.27090129080410047</v>
      </c>
      <c r="F63" s="290">
        <f t="shared" ref="F63:F73" si="15">F48*F172</f>
        <v>7.0453230778683116</v>
      </c>
      <c r="G63" s="290">
        <f t="shared" ref="G63:G73" si="16">G48*F172</f>
        <v>0.83420557631392511</v>
      </c>
      <c r="H63" s="239">
        <f t="shared" si="9"/>
        <v>704.56365084734978</v>
      </c>
      <c r="I63" s="292"/>
    </row>
    <row r="64" spans="1:9" x14ac:dyDescent="0.3">
      <c r="A64" s="291">
        <f t="shared" si="10"/>
        <v>2004</v>
      </c>
      <c r="B64" s="290">
        <f t="shared" si="11"/>
        <v>351.69551596743713</v>
      </c>
      <c r="C64" s="290">
        <f t="shared" si="12"/>
        <v>94.43434011704602</v>
      </c>
      <c r="D64" s="290">
        <f t="shared" si="13"/>
        <v>263.00104612224419</v>
      </c>
      <c r="E64" s="290">
        <f t="shared" si="14"/>
        <v>0.28731083723872436</v>
      </c>
      <c r="F64" s="290">
        <f t="shared" si="15"/>
        <v>7.2759278404271628</v>
      </c>
      <c r="G64" s="290">
        <f t="shared" si="16"/>
        <v>0.83131988078948471</v>
      </c>
      <c r="H64" s="239">
        <f t="shared" ref="H64:H74" si="17">SUM(B64:G64)</f>
        <v>717.52546076518263</v>
      </c>
      <c r="I64" s="292"/>
    </row>
    <row r="65" spans="1:9" x14ac:dyDescent="0.3">
      <c r="A65" s="247">
        <f t="shared" si="10"/>
        <v>2005</v>
      </c>
      <c r="B65" s="290">
        <f t="shared" si="11"/>
        <v>344.41415372012921</v>
      </c>
      <c r="C65" s="290">
        <f t="shared" si="12"/>
        <v>94.804341930406324</v>
      </c>
      <c r="D65" s="290">
        <f t="shared" si="13"/>
        <v>263.88042190809313</v>
      </c>
      <c r="E65" s="290">
        <f t="shared" si="14"/>
        <v>0.27908837706789746</v>
      </c>
      <c r="F65" s="290">
        <f t="shared" si="15"/>
        <v>7.6555532817743339</v>
      </c>
      <c r="G65" s="290">
        <f t="shared" si="16"/>
        <v>0.83886087969058409</v>
      </c>
      <c r="H65" s="239">
        <f t="shared" si="17"/>
        <v>711.87242009716158</v>
      </c>
      <c r="I65" s="292"/>
    </row>
    <row r="66" spans="1:9" x14ac:dyDescent="0.3">
      <c r="A66" s="247">
        <f t="shared" si="10"/>
        <v>2006</v>
      </c>
      <c r="B66" s="290">
        <f t="shared" si="11"/>
        <v>340.9820738339248</v>
      </c>
      <c r="C66" s="290">
        <f t="shared" si="12"/>
        <v>88.216176971632635</v>
      </c>
      <c r="D66" s="290">
        <f t="shared" si="13"/>
        <v>270.67302213909448</v>
      </c>
      <c r="E66" s="290">
        <f t="shared" si="14"/>
        <v>0.27857304646249309</v>
      </c>
      <c r="F66" s="290">
        <f t="shared" si="15"/>
        <v>7.7325108391970518</v>
      </c>
      <c r="G66" s="290">
        <f t="shared" si="16"/>
        <v>0.87041356104362577</v>
      </c>
      <c r="H66" s="239">
        <f t="shared" si="17"/>
        <v>708.75277039135517</v>
      </c>
      <c r="I66" s="292"/>
    </row>
    <row r="67" spans="1:9" x14ac:dyDescent="0.3">
      <c r="A67" s="247">
        <f t="shared" ref="A67:A73" si="18">A52</f>
        <v>2007</v>
      </c>
      <c r="B67" s="290">
        <f t="shared" si="11"/>
        <v>337.31097253489514</v>
      </c>
      <c r="C67" s="290">
        <f t="shared" si="12"/>
        <v>93.790767781378619</v>
      </c>
      <c r="D67" s="290">
        <f t="shared" si="13"/>
        <v>258.73123885246355</v>
      </c>
      <c r="E67" s="290">
        <f t="shared" si="14"/>
        <v>0.26781274500701913</v>
      </c>
      <c r="F67" s="290">
        <f t="shared" si="15"/>
        <v>7.6022929922913942</v>
      </c>
      <c r="G67" s="290">
        <f t="shared" si="16"/>
        <v>0.85999610136498394</v>
      </c>
      <c r="H67" s="239">
        <f t="shared" si="17"/>
        <v>698.5630810074008</v>
      </c>
      <c r="I67" s="292"/>
    </row>
    <row r="68" spans="1:9" x14ac:dyDescent="0.3">
      <c r="A68" s="247">
        <f t="shared" si="18"/>
        <v>2008</v>
      </c>
      <c r="B68" s="290">
        <f t="shared" si="11"/>
        <v>342.58854329963748</v>
      </c>
      <c r="C68" s="290">
        <f t="shared" si="12"/>
        <v>92.189307502063926</v>
      </c>
      <c r="D68" s="290">
        <f t="shared" si="13"/>
        <v>257.53466173781453</v>
      </c>
      <c r="E68" s="290">
        <f t="shared" si="14"/>
        <v>0.26506871398806509</v>
      </c>
      <c r="F68" s="290">
        <f t="shared" si="15"/>
        <v>7.5154613532198393</v>
      </c>
      <c r="G68" s="290">
        <f t="shared" si="16"/>
        <v>0.8366643354700064</v>
      </c>
      <c r="H68" s="239">
        <f t="shared" si="17"/>
        <v>700.92970694219377</v>
      </c>
      <c r="I68" s="292"/>
    </row>
    <row r="69" spans="1:9" x14ac:dyDescent="0.3">
      <c r="A69" s="247">
        <f t="shared" si="18"/>
        <v>2009</v>
      </c>
      <c r="B69" s="290">
        <f t="shared" si="11"/>
        <v>344.05071491017992</v>
      </c>
      <c r="C69" s="290">
        <f t="shared" si="12"/>
        <v>90.251769161631529</v>
      </c>
      <c r="D69" s="290">
        <f t="shared" si="13"/>
        <v>255.60397973039005</v>
      </c>
      <c r="E69" s="290">
        <f t="shared" si="14"/>
        <v>0.25908165868565619</v>
      </c>
      <c r="F69" s="290">
        <f t="shared" si="15"/>
        <v>7.5033718420626556</v>
      </c>
      <c r="G69" s="290">
        <f t="shared" si="16"/>
        <v>0.81265674374485275</v>
      </c>
      <c r="H69" s="239">
        <f t="shared" si="17"/>
        <v>698.48157404669462</v>
      </c>
      <c r="I69" s="292"/>
    </row>
    <row r="70" spans="1:9" x14ac:dyDescent="0.3">
      <c r="A70" s="247">
        <f t="shared" si="18"/>
        <v>2010</v>
      </c>
      <c r="B70" s="290">
        <f t="shared" si="11"/>
        <v>330.23413062408957</v>
      </c>
      <c r="C70" s="290">
        <f t="shared" si="12"/>
        <v>92.424212367105412</v>
      </c>
      <c r="D70" s="290">
        <f t="shared" si="13"/>
        <v>259.98151618649717</v>
      </c>
      <c r="E70" s="290">
        <f t="shared" si="14"/>
        <v>0.26110441476437385</v>
      </c>
      <c r="F70" s="290">
        <f t="shared" si="15"/>
        <v>7.8434270453611159</v>
      </c>
      <c r="G70" s="290">
        <f t="shared" si="16"/>
        <v>0.84682056374376591</v>
      </c>
      <c r="H70" s="239">
        <f t="shared" si="17"/>
        <v>691.59121120156146</v>
      </c>
      <c r="I70" s="292"/>
    </row>
    <row r="71" spans="1:9" x14ac:dyDescent="0.3">
      <c r="A71" s="247">
        <f t="shared" si="18"/>
        <v>2011</v>
      </c>
      <c r="B71" s="290">
        <f t="shared" si="11"/>
        <v>345.36213264406632</v>
      </c>
      <c r="C71" s="290">
        <f t="shared" si="12"/>
        <v>101.75182576599374</v>
      </c>
      <c r="D71" s="290">
        <f t="shared" si="13"/>
        <v>256.02756596118616</v>
      </c>
      <c r="E71" s="290">
        <f t="shared" si="14"/>
        <v>0.26042221407914884</v>
      </c>
      <c r="F71" s="290">
        <f t="shared" si="15"/>
        <v>7.8166433419064196</v>
      </c>
      <c r="G71" s="290">
        <f t="shared" si="16"/>
        <v>0.87507533241435842</v>
      </c>
      <c r="H71" s="239">
        <f t="shared" si="17"/>
        <v>712.09366525964617</v>
      </c>
      <c r="I71" s="292"/>
    </row>
    <row r="72" spans="1:9" x14ac:dyDescent="0.3">
      <c r="A72" s="247">
        <f t="shared" si="18"/>
        <v>2012</v>
      </c>
      <c r="B72" s="290">
        <f t="shared" si="11"/>
        <v>330.60065502856634</v>
      </c>
      <c r="C72" s="290">
        <f t="shared" si="12"/>
        <v>101.94181492712791</v>
      </c>
      <c r="D72" s="290">
        <f t="shared" si="13"/>
        <v>265.95713812119089</v>
      </c>
      <c r="E72" s="290">
        <f t="shared" si="14"/>
        <v>0.25779785463685706</v>
      </c>
      <c r="F72" s="290">
        <f t="shared" si="15"/>
        <v>8.0906508919890481</v>
      </c>
      <c r="G72" s="290">
        <f t="shared" si="16"/>
        <v>0.90145586549187728</v>
      </c>
      <c r="H72" s="239">
        <f t="shared" si="17"/>
        <v>707.74951268900293</v>
      </c>
      <c r="I72" s="292"/>
    </row>
    <row r="73" spans="1:9" x14ac:dyDescent="0.3">
      <c r="A73" s="247">
        <f t="shared" si="18"/>
        <v>2013</v>
      </c>
      <c r="B73" s="290">
        <f t="shared" si="11"/>
        <v>328.62753213943557</v>
      </c>
      <c r="C73" s="290">
        <f t="shared" si="12"/>
        <v>97.140770977307113</v>
      </c>
      <c r="D73" s="290">
        <f t="shared" si="13"/>
        <v>262.5983573507396</v>
      </c>
      <c r="E73" s="290">
        <f t="shared" si="14"/>
        <v>0.24056680132481156</v>
      </c>
      <c r="F73" s="290">
        <f t="shared" si="15"/>
        <v>8.1984119750548246</v>
      </c>
      <c r="G73" s="290">
        <f t="shared" si="16"/>
        <v>0.86917181169468394</v>
      </c>
      <c r="H73" s="239">
        <f t="shared" si="17"/>
        <v>697.67481105555646</v>
      </c>
      <c r="I73" s="292"/>
    </row>
    <row r="74" spans="1:9" x14ac:dyDescent="0.3">
      <c r="A74" s="235" t="str">
        <f>A26</f>
        <v>2013 Board Approved</v>
      </c>
      <c r="B74" s="290">
        <f>340561449/1000000</f>
        <v>340.56144899999998</v>
      </c>
      <c r="C74" s="290">
        <f>102179766/1000000</f>
        <v>102.179766</v>
      </c>
      <c r="D74" s="290">
        <f>251632820/1000000</f>
        <v>251.63282000000001</v>
      </c>
      <c r="E74" s="290">
        <f>254165/1000000</f>
        <v>0.25416499999999997</v>
      </c>
      <c r="F74" s="290">
        <f>7907160/1000000</f>
        <v>7.9071600000000002</v>
      </c>
      <c r="G74" s="290">
        <f>872889/1000000</f>
        <v>0.87288900000000003</v>
      </c>
      <c r="H74" s="239">
        <f t="shared" si="17"/>
        <v>703.40824899999996</v>
      </c>
    </row>
    <row r="75" spans="1:9" x14ac:dyDescent="0.3">
      <c r="A75" s="247">
        <f>A59</f>
        <v>2014</v>
      </c>
      <c r="B75" s="290">
        <f>B59*F183</f>
        <v>321.18648156060107</v>
      </c>
      <c r="C75" s="290">
        <f>C59*F183</f>
        <v>95.078977806750032</v>
      </c>
      <c r="D75" s="290">
        <f>D59*F183</f>
        <v>248.17280569592359</v>
      </c>
      <c r="E75" s="290">
        <f>E59*F183</f>
        <v>0.23334921549049464</v>
      </c>
      <c r="F75" s="290">
        <f>F59*F183</f>
        <v>7.4910967646118358</v>
      </c>
      <c r="G75" s="290">
        <f>G59*F183</f>
        <v>0.84002610715821757</v>
      </c>
      <c r="H75" s="239">
        <f>SUM(B75:G75)</f>
        <v>673.00273715053527</v>
      </c>
      <c r="I75" s="292"/>
    </row>
    <row r="76" spans="1:9" x14ac:dyDescent="0.3">
      <c r="A76" s="247">
        <f>A60</f>
        <v>2015</v>
      </c>
      <c r="B76" s="290">
        <f>B60*F184</f>
        <v>304.99344639120227</v>
      </c>
      <c r="C76" s="290">
        <f>C60*F184</f>
        <v>94.016596956881429</v>
      </c>
      <c r="D76" s="290">
        <f>D60*F184</f>
        <v>250.29975872643385</v>
      </c>
      <c r="E76" s="290">
        <f>E60*F184</f>
        <v>0.23109725914240076</v>
      </c>
      <c r="F76" s="290">
        <f>F60*F184</f>
        <v>7.1671921074248575</v>
      </c>
      <c r="G76" s="290">
        <f>G60*F184</f>
        <v>0.89664317965040274</v>
      </c>
      <c r="H76" s="239">
        <f t="shared" ref="H76:H79" si="19">SUM(B76:G76)</f>
        <v>657.60473462073514</v>
      </c>
      <c r="I76" s="292"/>
    </row>
    <row r="77" spans="1:9" x14ac:dyDescent="0.3">
      <c r="A77" s="247">
        <f>A61</f>
        <v>2016</v>
      </c>
      <c r="B77" s="290">
        <f>B61*F185</f>
        <v>291.03692247713082</v>
      </c>
      <c r="C77" s="290">
        <f>C61*F185</f>
        <v>92.906159654595342</v>
      </c>
      <c r="D77" s="290">
        <f>D61*F185</f>
        <v>251.93790812598243</v>
      </c>
      <c r="E77" s="290">
        <f>E61*F185</f>
        <v>0.22885688441257834</v>
      </c>
      <c r="F77" s="290">
        <f>F61*F185</f>
        <v>4.9079018745502845</v>
      </c>
      <c r="G77" s="290">
        <f>G61*F185</f>
        <v>0.91041552352108412</v>
      </c>
      <c r="H77" s="239">
        <f t="shared" si="19"/>
        <v>641.9281645401926</v>
      </c>
      <c r="I77" s="292"/>
    </row>
    <row r="78" spans="1:9" ht="15" customHeight="1" x14ac:dyDescent="0.3">
      <c r="A78" s="248" t="str">
        <f>A42</f>
        <v>2017 Bridge</v>
      </c>
      <c r="B78" s="290" t="e">
        <f>Summary!#REF!/1000000</f>
        <v>#REF!</v>
      </c>
      <c r="C78" s="290" t="e">
        <f>Summary!#REF!/1000000</f>
        <v>#REF!</v>
      </c>
      <c r="D78" s="290" t="e">
        <f>Summary!#REF!/1000000</f>
        <v>#REF!</v>
      </c>
      <c r="E78" s="290" t="e">
        <f>Summary!#REF!/1000000</f>
        <v>#REF!</v>
      </c>
      <c r="F78" s="290" t="e">
        <f>Summary!#REF!/1000000</f>
        <v>#REF!</v>
      </c>
      <c r="G78" s="290" t="e">
        <f>Summary!#REF!/1000000</f>
        <v>#REF!</v>
      </c>
      <c r="H78" s="239" t="e">
        <f t="shared" si="19"/>
        <v>#REF!</v>
      </c>
    </row>
    <row r="79" spans="1:9" x14ac:dyDescent="0.3">
      <c r="A79" s="248" t="str">
        <f>A43</f>
        <v>2018 Test</v>
      </c>
      <c r="B79" s="290">
        <f>Summary!Q15/1000000</f>
        <v>281.151925910486</v>
      </c>
      <c r="C79" s="290">
        <f>Summary!Q19/1000000</f>
        <v>90.542146755002108</v>
      </c>
      <c r="D79" s="290">
        <f>Summary!Q23/1000000</f>
        <v>240.02491321432305</v>
      </c>
      <c r="E79" s="290">
        <f>Summary!Q28/1000000</f>
        <v>0.20980013099560146</v>
      </c>
      <c r="F79" s="290">
        <f>Summary!Q33/1000000</f>
        <v>2.3982212999999999</v>
      </c>
      <c r="G79" s="290">
        <f>Summary!Q38/1000000</f>
        <v>0.94473143889360511</v>
      </c>
      <c r="H79" s="239">
        <f t="shared" si="19"/>
        <v>615.27173874970049</v>
      </c>
    </row>
    <row r="80" spans="1:9" x14ac:dyDescent="0.3">
      <c r="A80" s="249"/>
      <c r="B80" s="250"/>
      <c r="C80" s="250"/>
      <c r="D80" s="250"/>
      <c r="E80" s="251"/>
      <c r="F80" s="250"/>
      <c r="G80" s="250"/>
    </row>
    <row r="81" spans="1:8" x14ac:dyDescent="0.3">
      <c r="A81" s="426" t="s">
        <v>253</v>
      </c>
      <c r="B81" s="426"/>
      <c r="C81" s="426"/>
      <c r="D81" s="426"/>
      <c r="E81" s="426"/>
      <c r="F81" s="426"/>
      <c r="G81" s="426"/>
    </row>
    <row r="82" spans="1:8" x14ac:dyDescent="0.3">
      <c r="A82" s="425" t="s">
        <v>150</v>
      </c>
      <c r="B82" s="425"/>
      <c r="C82" s="425"/>
      <c r="D82" s="425"/>
      <c r="E82" s="425"/>
      <c r="F82" s="425"/>
      <c r="G82" s="425"/>
      <c r="H82" s="425"/>
    </row>
    <row r="83" spans="1:8" ht="46.8" x14ac:dyDescent="0.3">
      <c r="A83" s="284" t="str">
        <f t="shared" ref="A83:H83" si="20">A46</f>
        <v>Year</v>
      </c>
      <c r="B83" s="285" t="str">
        <f t="shared" si="20"/>
        <v xml:space="preserve">Residential </v>
      </c>
      <c r="C83" s="285" t="str">
        <f t="shared" si="20"/>
        <v>General Service &lt; 50 kW</v>
      </c>
      <c r="D83" s="285" t="str">
        <f t="shared" si="20"/>
        <v>General Service 50 to 4,999 kW</v>
      </c>
      <c r="E83" s="285" t="str">
        <f t="shared" si="20"/>
        <v>Sentinel Lighting</v>
      </c>
      <c r="F83" s="285" t="str">
        <f t="shared" si="20"/>
        <v>Street Lights</v>
      </c>
      <c r="G83" s="285" t="str">
        <f t="shared" si="20"/>
        <v xml:space="preserve">Unmetered Scattered Load </v>
      </c>
      <c r="H83" s="285" t="str">
        <f t="shared" si="20"/>
        <v>Total</v>
      </c>
    </row>
    <row r="84" spans="1:8" x14ac:dyDescent="0.3">
      <c r="A84" s="247">
        <f t="shared" ref="A84:A94" si="21">A48</f>
        <v>2003</v>
      </c>
      <c r="B84" s="252">
        <f>+Summary!B14</f>
        <v>28544</v>
      </c>
      <c r="C84" s="252">
        <f>+Summary!B18</f>
        <v>3230</v>
      </c>
      <c r="D84" s="252">
        <f>+Summary!B22</f>
        <v>419</v>
      </c>
      <c r="E84" s="252">
        <f>+Summary!B27</f>
        <v>466</v>
      </c>
      <c r="F84" s="252">
        <f>+Summary!B32</f>
        <v>8619</v>
      </c>
      <c r="G84" s="253">
        <f>+Summary!B37</f>
        <v>12</v>
      </c>
      <c r="H84" s="252">
        <f t="shared" ref="H84:H100" si="22">SUM(B84:G84)</f>
        <v>41290</v>
      </c>
    </row>
    <row r="85" spans="1:8" x14ac:dyDescent="0.3">
      <c r="A85" s="247">
        <f t="shared" si="21"/>
        <v>2004</v>
      </c>
      <c r="B85" s="252">
        <f>+Summary!C14</f>
        <v>28560</v>
      </c>
      <c r="C85" s="252">
        <f>+Summary!C18</f>
        <v>3247</v>
      </c>
      <c r="D85" s="252">
        <f>+Summary!C22</f>
        <v>424</v>
      </c>
      <c r="E85" s="252">
        <f>+Summary!C27</f>
        <v>466</v>
      </c>
      <c r="F85" s="252">
        <f>+Summary!C32</f>
        <v>8635</v>
      </c>
      <c r="G85" s="253">
        <f>+Summary!C37</f>
        <v>19</v>
      </c>
      <c r="H85" s="252">
        <f t="shared" si="22"/>
        <v>41351</v>
      </c>
    </row>
    <row r="86" spans="1:8" x14ac:dyDescent="0.3">
      <c r="A86" s="247">
        <f t="shared" si="21"/>
        <v>2005</v>
      </c>
      <c r="B86" s="252">
        <f>+Summary!D14</f>
        <v>28576</v>
      </c>
      <c r="C86" s="252">
        <f>+Summary!D18</f>
        <v>3274</v>
      </c>
      <c r="D86" s="252">
        <f>+Summary!D22</f>
        <v>431</v>
      </c>
      <c r="E86" s="252">
        <f>+Summary!D27</f>
        <v>459</v>
      </c>
      <c r="F86" s="252">
        <f>+Summary!D32</f>
        <v>8642</v>
      </c>
      <c r="G86" s="253">
        <f>+Summary!D37</f>
        <v>27</v>
      </c>
      <c r="H86" s="252">
        <f t="shared" si="22"/>
        <v>41409</v>
      </c>
    </row>
    <row r="87" spans="1:8" x14ac:dyDescent="0.3">
      <c r="A87" s="247">
        <f t="shared" si="21"/>
        <v>2006</v>
      </c>
      <c r="B87" s="252">
        <f>+Summary!E14</f>
        <v>28596</v>
      </c>
      <c r="C87" s="252">
        <f>+Summary!E18</f>
        <v>3301</v>
      </c>
      <c r="D87" s="252">
        <f>+Summary!E22</f>
        <v>432</v>
      </c>
      <c r="E87" s="252">
        <f>+Summary!E27</f>
        <v>449</v>
      </c>
      <c r="F87" s="252">
        <f>+Summary!E32</f>
        <v>8663</v>
      </c>
      <c r="G87" s="253">
        <f>+Summary!E37</f>
        <v>28</v>
      </c>
      <c r="H87" s="252">
        <f t="shared" si="22"/>
        <v>41469</v>
      </c>
    </row>
    <row r="88" spans="1:8" x14ac:dyDescent="0.3">
      <c r="A88" s="247">
        <f t="shared" si="21"/>
        <v>2007</v>
      </c>
      <c r="B88" s="252">
        <f>+Summary!F14</f>
        <v>28630</v>
      </c>
      <c r="C88" s="252">
        <f>+Summary!F18</f>
        <v>3302</v>
      </c>
      <c r="D88" s="252">
        <f>+Summary!F22</f>
        <v>429</v>
      </c>
      <c r="E88" s="252">
        <f>+Summary!F27</f>
        <v>443</v>
      </c>
      <c r="F88" s="252">
        <f>+Summary!F32</f>
        <v>8707</v>
      </c>
      <c r="G88" s="253">
        <f>+Summary!F37</f>
        <v>27</v>
      </c>
      <c r="H88" s="252">
        <f t="shared" si="22"/>
        <v>41538</v>
      </c>
    </row>
    <row r="89" spans="1:8" x14ac:dyDescent="0.3">
      <c r="A89" s="247">
        <f t="shared" si="21"/>
        <v>2008</v>
      </c>
      <c r="B89" s="252">
        <f>+Summary!G14</f>
        <v>28780</v>
      </c>
      <c r="C89" s="252">
        <f>+Summary!G18</f>
        <v>3325</v>
      </c>
      <c r="D89" s="252">
        <f>+Summary!G22</f>
        <v>426</v>
      </c>
      <c r="E89" s="252">
        <f>+Summary!G27</f>
        <v>435</v>
      </c>
      <c r="F89" s="252">
        <f>+Summary!G32</f>
        <v>8741</v>
      </c>
      <c r="G89" s="253">
        <f>+Summary!G37</f>
        <v>22</v>
      </c>
      <c r="H89" s="252">
        <f t="shared" si="22"/>
        <v>41729</v>
      </c>
    </row>
    <row r="90" spans="1:8" ht="12.75" customHeight="1" x14ac:dyDescent="0.3">
      <c r="A90" s="247">
        <f t="shared" si="21"/>
        <v>2009</v>
      </c>
      <c r="B90" s="252">
        <f>+Summary!H14</f>
        <v>28971</v>
      </c>
      <c r="C90" s="252">
        <f>+Summary!H18</f>
        <v>3352</v>
      </c>
      <c r="D90" s="252">
        <f>+Summary!H22</f>
        <v>433</v>
      </c>
      <c r="E90" s="252">
        <f>+Summary!H27</f>
        <v>423</v>
      </c>
      <c r="F90" s="252">
        <f>+Summary!H32</f>
        <v>8799</v>
      </c>
      <c r="G90" s="253">
        <f>+Summary!H37</f>
        <v>17</v>
      </c>
      <c r="H90" s="252">
        <f t="shared" si="22"/>
        <v>41995</v>
      </c>
    </row>
    <row r="91" spans="1:8" x14ac:dyDescent="0.3">
      <c r="A91" s="247">
        <f t="shared" si="21"/>
        <v>2010</v>
      </c>
      <c r="B91" s="252">
        <f>+Summary!I14</f>
        <v>29057</v>
      </c>
      <c r="C91" s="252">
        <f>+Summary!I18</f>
        <v>3345</v>
      </c>
      <c r="D91" s="252">
        <f>+Summary!I22</f>
        <v>435</v>
      </c>
      <c r="E91" s="252">
        <f>+Summary!I27</f>
        <v>411</v>
      </c>
      <c r="F91" s="252">
        <f>+Summary!I32</f>
        <v>8846</v>
      </c>
      <c r="G91" s="253">
        <f>+Summary!I37</f>
        <v>16</v>
      </c>
      <c r="H91" s="252">
        <f t="shared" si="22"/>
        <v>42110</v>
      </c>
    </row>
    <row r="92" spans="1:8" x14ac:dyDescent="0.3">
      <c r="A92" s="247">
        <f t="shared" si="21"/>
        <v>2011</v>
      </c>
      <c r="B92" s="252">
        <f>+Summary!J14</f>
        <v>29124</v>
      </c>
      <c r="C92" s="252">
        <f>+Summary!J18</f>
        <v>3366</v>
      </c>
      <c r="D92" s="252">
        <f>+Summary!J22</f>
        <v>403</v>
      </c>
      <c r="E92" s="252">
        <f>+Summary!J27</f>
        <v>402</v>
      </c>
      <c r="F92" s="252">
        <f>+Summary!J32</f>
        <v>8846</v>
      </c>
      <c r="G92" s="253">
        <f>+Summary!J37</f>
        <v>19</v>
      </c>
      <c r="H92" s="252">
        <f t="shared" si="22"/>
        <v>42160</v>
      </c>
    </row>
    <row r="93" spans="1:8" x14ac:dyDescent="0.3">
      <c r="A93" s="247">
        <f t="shared" si="21"/>
        <v>2012</v>
      </c>
      <c r="B93" s="252">
        <f>+Summary!K14</f>
        <v>29327</v>
      </c>
      <c r="C93" s="252">
        <f>+Summary!K18</f>
        <v>3448</v>
      </c>
      <c r="D93" s="252">
        <f>+Summary!K22</f>
        <v>366</v>
      </c>
      <c r="E93" s="252">
        <f>+Summary!K27</f>
        <v>392</v>
      </c>
      <c r="F93" s="252">
        <f>+Summary!K32</f>
        <v>8846</v>
      </c>
      <c r="G93" s="253">
        <f>+Summary!K37</f>
        <v>21</v>
      </c>
      <c r="H93" s="252">
        <f t="shared" si="22"/>
        <v>42400</v>
      </c>
    </row>
    <row r="94" spans="1:8" x14ac:dyDescent="0.3">
      <c r="A94" s="247">
        <f t="shared" si="21"/>
        <v>2013</v>
      </c>
      <c r="B94" s="252">
        <f>+Summary!L14</f>
        <v>29504</v>
      </c>
      <c r="C94" s="252">
        <f>+Summary!L18</f>
        <v>3474</v>
      </c>
      <c r="D94" s="252">
        <f>+Summary!L22</f>
        <v>373</v>
      </c>
      <c r="E94" s="252">
        <f>+Summary!L27</f>
        <v>374</v>
      </c>
      <c r="F94" s="252">
        <f>+Summary!L32</f>
        <v>8846</v>
      </c>
      <c r="G94" s="253">
        <f>+Summary!L37</f>
        <v>21</v>
      </c>
      <c r="H94" s="252">
        <f t="shared" si="22"/>
        <v>42592</v>
      </c>
    </row>
    <row r="95" spans="1:8" x14ac:dyDescent="0.3">
      <c r="A95" s="247" t="str">
        <f>A74</f>
        <v>2013 Board Approved</v>
      </c>
      <c r="B95" s="252">
        <v>29271</v>
      </c>
      <c r="C95" s="252">
        <v>3401</v>
      </c>
      <c r="D95" s="252">
        <v>399</v>
      </c>
      <c r="E95" s="252">
        <v>387</v>
      </c>
      <c r="F95" s="252">
        <v>8904</v>
      </c>
      <c r="G95" s="253">
        <v>21</v>
      </c>
      <c r="H95" s="252">
        <f t="shared" si="22"/>
        <v>42383</v>
      </c>
    </row>
    <row r="96" spans="1:8" x14ac:dyDescent="0.3">
      <c r="A96" s="247">
        <f>A59</f>
        <v>2014</v>
      </c>
      <c r="B96" s="252">
        <f>+Summary!M14</f>
        <v>29514</v>
      </c>
      <c r="C96" s="252">
        <f>+Summary!M18</f>
        <v>3464</v>
      </c>
      <c r="D96" s="252">
        <f>+Summary!M22</f>
        <v>370</v>
      </c>
      <c r="E96" s="252">
        <f>+Summary!M27</f>
        <v>362</v>
      </c>
      <c r="F96" s="252">
        <f>+Summary!M32</f>
        <v>8846</v>
      </c>
      <c r="G96" s="253">
        <f>+Summary!M37</f>
        <v>21</v>
      </c>
      <c r="H96" s="252">
        <f t="shared" si="22"/>
        <v>42577</v>
      </c>
    </row>
    <row r="97" spans="1:8" x14ac:dyDescent="0.3">
      <c r="A97" s="247">
        <f>A60</f>
        <v>2015</v>
      </c>
      <c r="B97" s="252">
        <f>+Summary!N14</f>
        <v>29566</v>
      </c>
      <c r="C97" s="252">
        <f>+Summary!N18</f>
        <v>3431</v>
      </c>
      <c r="D97" s="252">
        <f>+Summary!N22</f>
        <v>373</v>
      </c>
      <c r="E97" s="252">
        <f>+Summary!N27</f>
        <v>360</v>
      </c>
      <c r="F97" s="252">
        <f>+Summary!N32</f>
        <v>8839</v>
      </c>
      <c r="G97" s="253">
        <f>+Summary!N37</f>
        <v>21</v>
      </c>
      <c r="H97" s="252">
        <f t="shared" si="22"/>
        <v>42590</v>
      </c>
    </row>
    <row r="98" spans="1:8" x14ac:dyDescent="0.3">
      <c r="A98" s="247">
        <f>A61</f>
        <v>2016</v>
      </c>
      <c r="B98" s="252">
        <f>+Summary!O14</f>
        <v>29620</v>
      </c>
      <c r="C98" s="252">
        <f>+Summary!O18</f>
        <v>3414</v>
      </c>
      <c r="D98" s="252">
        <f>+Summary!O22</f>
        <v>361</v>
      </c>
      <c r="E98" s="252">
        <f>+Summary!O27</f>
        <v>362</v>
      </c>
      <c r="F98" s="252">
        <f>+Summary!O32</f>
        <v>8872</v>
      </c>
      <c r="G98" s="253">
        <f>+Summary!O37</f>
        <v>21</v>
      </c>
      <c r="H98" s="252">
        <f t="shared" si="22"/>
        <v>42650</v>
      </c>
    </row>
    <row r="99" spans="1:8" ht="12.75" customHeight="1" x14ac:dyDescent="0.3">
      <c r="A99" s="248" t="str">
        <f>A78</f>
        <v>2017 Bridge</v>
      </c>
      <c r="B99" s="252">
        <f>+Summary!P14</f>
        <v>29729</v>
      </c>
      <c r="C99" s="252">
        <f>+Summary!P18</f>
        <v>3417</v>
      </c>
      <c r="D99" s="252">
        <f>+Summary!P22</f>
        <v>361</v>
      </c>
      <c r="E99" s="252">
        <f>+Summary!P27</f>
        <v>361</v>
      </c>
      <c r="F99" s="252">
        <f>+Summary!P32</f>
        <v>8070</v>
      </c>
      <c r="G99" s="253">
        <f>+Summary!P37</f>
        <v>21</v>
      </c>
      <c r="H99" s="252">
        <f t="shared" si="22"/>
        <v>41959</v>
      </c>
    </row>
    <row r="100" spans="1:8" ht="12.75" customHeight="1" x14ac:dyDescent="0.3">
      <c r="A100" s="247" t="str">
        <f>A79</f>
        <v>2018 Test</v>
      </c>
      <c r="B100" s="252">
        <f>+Summary!Q14</f>
        <v>29815.501606131944</v>
      </c>
      <c r="C100" s="252">
        <f>+Summary!Q18</f>
        <v>3430.7641919188468</v>
      </c>
      <c r="D100" s="252">
        <f>+Summary!Q22</f>
        <v>357.17848110967191</v>
      </c>
      <c r="E100" s="252">
        <f>+Summary!Q27</f>
        <v>354.47637329291484</v>
      </c>
      <c r="F100" s="252">
        <f>+Summary!Q32</f>
        <v>8070</v>
      </c>
      <c r="G100" s="253">
        <f>+Summary!Q37</f>
        <v>21.856426428186388</v>
      </c>
      <c r="H100" s="252">
        <f t="shared" si="22"/>
        <v>42049.777078881569</v>
      </c>
    </row>
    <row r="101" spans="1:8" ht="12.75" customHeight="1" x14ac:dyDescent="0.3">
      <c r="A101"/>
      <c r="B101"/>
      <c r="C101"/>
      <c r="D101"/>
      <c r="E101"/>
      <c r="F101"/>
      <c r="G101"/>
      <c r="H101"/>
    </row>
    <row r="102" spans="1:8" ht="12.75" customHeight="1" x14ac:dyDescent="0.3">
      <c r="A102" s="426" t="s">
        <v>236</v>
      </c>
      <c r="B102" s="426"/>
      <c r="C102" s="426"/>
      <c r="D102" s="426"/>
      <c r="E102" s="426"/>
      <c r="F102" s="426"/>
      <c r="G102" s="426"/>
      <c r="H102"/>
    </row>
    <row r="103" spans="1:8" ht="46.8" x14ac:dyDescent="0.3">
      <c r="A103" s="326" t="str">
        <f>A83</f>
        <v>Year</v>
      </c>
      <c r="B103" s="285" t="str">
        <f t="shared" ref="B103:G103" si="23">B83</f>
        <v xml:space="preserve">Residential </v>
      </c>
      <c r="C103" s="285" t="str">
        <f t="shared" si="23"/>
        <v>General Service &lt; 50 kW</v>
      </c>
      <c r="D103" s="285" t="str">
        <f t="shared" si="23"/>
        <v>General Service 50 to 4,999 kW</v>
      </c>
      <c r="E103" s="285" t="str">
        <f t="shared" si="23"/>
        <v>Sentinel Lighting</v>
      </c>
      <c r="F103" s="285" t="str">
        <f t="shared" si="23"/>
        <v>Street Lights</v>
      </c>
      <c r="G103" s="285" t="str">
        <f t="shared" si="23"/>
        <v xml:space="preserve">Unmetered Scattered Load </v>
      </c>
      <c r="H103"/>
    </row>
    <row r="104" spans="1:8" x14ac:dyDescent="0.3">
      <c r="A104" s="425" t="s">
        <v>204</v>
      </c>
      <c r="B104" s="425"/>
      <c r="C104" s="425"/>
      <c r="D104" s="425"/>
      <c r="E104" s="425"/>
      <c r="F104" s="425"/>
      <c r="G104" s="425"/>
      <c r="H104"/>
    </row>
    <row r="105" spans="1:8" x14ac:dyDescent="0.3">
      <c r="A105" s="248">
        <f t="shared" ref="A105:A118" si="24">A28</f>
        <v>2003</v>
      </c>
      <c r="B105" s="252">
        <f>B48/B84*1000000</f>
        <v>12298.132357062781</v>
      </c>
      <c r="C105" s="252">
        <f t="shared" ref="C105:G105" si="25">C48/C84*1000000</f>
        <v>29772.223529411764</v>
      </c>
      <c r="D105" s="252">
        <f t="shared" si="25"/>
        <v>629506.41050119337</v>
      </c>
      <c r="E105" s="252">
        <f t="shared" si="25"/>
        <v>593.48068669527891</v>
      </c>
      <c r="F105" s="252">
        <f t="shared" si="25"/>
        <v>834.49831767026342</v>
      </c>
      <c r="G105" s="252">
        <f t="shared" si="25"/>
        <v>70969.75</v>
      </c>
      <c r="H105"/>
    </row>
    <row r="106" spans="1:8" x14ac:dyDescent="0.3">
      <c r="A106" s="248">
        <f t="shared" si="24"/>
        <v>2004</v>
      </c>
      <c r="B106" s="252">
        <f t="shared" ref="B106:G106" si="26">B49/B85*1000000</f>
        <v>12482.160084033614</v>
      </c>
      <c r="C106" s="252">
        <f t="shared" si="26"/>
        <v>29480.088389282413</v>
      </c>
      <c r="D106" s="252">
        <f t="shared" si="26"/>
        <v>628742.38679245289</v>
      </c>
      <c r="E106" s="252">
        <f t="shared" si="26"/>
        <v>624.95278969957087</v>
      </c>
      <c r="F106" s="252">
        <f t="shared" si="26"/>
        <v>854.09693109438331</v>
      </c>
      <c r="G106" s="252">
        <f t="shared" si="26"/>
        <v>44350.210526315794</v>
      </c>
      <c r="H106"/>
    </row>
    <row r="107" spans="1:8" x14ac:dyDescent="0.3">
      <c r="A107" s="248">
        <f t="shared" si="24"/>
        <v>2005</v>
      </c>
      <c r="B107" s="252">
        <f t="shared" ref="B107:G107" si="27">B50/B86*1000000</f>
        <v>12152.654640257557</v>
      </c>
      <c r="C107" s="252">
        <f t="shared" si="27"/>
        <v>29197.196701282835</v>
      </c>
      <c r="D107" s="252">
        <f t="shared" si="27"/>
        <v>617335.85614849185</v>
      </c>
      <c r="E107" s="252">
        <f t="shared" si="27"/>
        <v>613.0849673202614</v>
      </c>
      <c r="F107" s="252">
        <f t="shared" si="27"/>
        <v>893.21071511224261</v>
      </c>
      <c r="G107" s="252">
        <f t="shared" si="27"/>
        <v>31326.925925925923</v>
      </c>
      <c r="H107"/>
    </row>
    <row r="108" spans="1:8" x14ac:dyDescent="0.3">
      <c r="A108" s="248">
        <f t="shared" si="24"/>
        <v>2006</v>
      </c>
      <c r="B108" s="252">
        <f t="shared" ref="B108:G108" si="28">B51/B87*1000000</f>
        <v>11728.757133864876</v>
      </c>
      <c r="C108" s="252">
        <f t="shared" si="28"/>
        <v>26286.238412602241</v>
      </c>
      <c r="D108" s="252">
        <f t="shared" si="28"/>
        <v>616292.60879629629</v>
      </c>
      <c r="E108" s="252">
        <f t="shared" si="28"/>
        <v>610.26503340757245</v>
      </c>
      <c r="F108" s="252">
        <f t="shared" si="28"/>
        <v>877.96652429874177</v>
      </c>
      <c r="G108" s="252">
        <f t="shared" si="28"/>
        <v>30576.892857142859</v>
      </c>
      <c r="H108"/>
    </row>
    <row r="109" spans="1:8" x14ac:dyDescent="0.3">
      <c r="A109" s="248">
        <f t="shared" si="24"/>
        <v>2007</v>
      </c>
      <c r="B109" s="252">
        <f t="shared" ref="B109:G109" si="29">B52/B88*1000000</f>
        <v>11836.337303527769</v>
      </c>
      <c r="C109" s="252">
        <f t="shared" si="29"/>
        <v>28535.877649909147</v>
      </c>
      <c r="D109" s="252">
        <f t="shared" si="29"/>
        <v>605898.37529137533</v>
      </c>
      <c r="E109" s="252">
        <f t="shared" si="29"/>
        <v>607.34537246049661</v>
      </c>
      <c r="F109" s="252">
        <f t="shared" si="29"/>
        <v>877.1710118295623</v>
      </c>
      <c r="G109" s="252">
        <f t="shared" si="29"/>
        <v>31999.333333333332</v>
      </c>
      <c r="H109"/>
    </row>
    <row r="110" spans="1:8" x14ac:dyDescent="0.3">
      <c r="A110" s="248">
        <f t="shared" si="24"/>
        <v>2008</v>
      </c>
      <c r="B110" s="252">
        <f t="shared" ref="B110:G110" si="30">B53/B89*1000000</f>
        <v>12069.604933981931</v>
      </c>
      <c r="C110" s="252">
        <f t="shared" si="30"/>
        <v>28112.528721804512</v>
      </c>
      <c r="D110" s="252">
        <f t="shared" si="30"/>
        <v>612967.00704225351</v>
      </c>
      <c r="E110" s="252">
        <f t="shared" si="30"/>
        <v>617.84597701149414</v>
      </c>
      <c r="F110" s="252">
        <f t="shared" si="30"/>
        <v>871.77725660679562</v>
      </c>
      <c r="G110" s="252">
        <f t="shared" si="30"/>
        <v>38560.227272727272</v>
      </c>
      <c r="H110"/>
    </row>
    <row r="111" spans="1:8" x14ac:dyDescent="0.3">
      <c r="A111" s="248">
        <f t="shared" si="24"/>
        <v>2009</v>
      </c>
      <c r="B111" s="252">
        <f t="shared" ref="B111:G111" si="31">B54/B90*1000000</f>
        <v>12033.390597494044</v>
      </c>
      <c r="C111" s="252">
        <f t="shared" si="31"/>
        <v>27282.285501193317</v>
      </c>
      <c r="D111" s="252">
        <f t="shared" si="31"/>
        <v>598148.13163972285</v>
      </c>
      <c r="E111" s="252">
        <f t="shared" si="31"/>
        <v>620.61938534278954</v>
      </c>
      <c r="F111" s="252">
        <f t="shared" si="31"/>
        <v>864.07648596431409</v>
      </c>
      <c r="G111" s="252">
        <f t="shared" si="31"/>
        <v>48438.117647058818</v>
      </c>
      <c r="H111"/>
    </row>
    <row r="112" spans="1:8" x14ac:dyDescent="0.3">
      <c r="A112" s="248">
        <f t="shared" si="24"/>
        <v>2010</v>
      </c>
      <c r="B112" s="252">
        <f t="shared" ref="B112:G112" si="32">B55/B91*1000000</f>
        <v>11236.318752796229</v>
      </c>
      <c r="C112" s="252">
        <f t="shared" si="32"/>
        <v>27317.597608370703</v>
      </c>
      <c r="D112" s="252">
        <f t="shared" si="32"/>
        <v>590889.24137931026</v>
      </c>
      <c r="E112" s="252">
        <f t="shared" si="32"/>
        <v>628.09489051094897</v>
      </c>
      <c r="F112" s="252">
        <f t="shared" si="32"/>
        <v>876.62084557992318</v>
      </c>
      <c r="G112" s="252">
        <f t="shared" si="32"/>
        <v>52326.8125</v>
      </c>
      <c r="H112"/>
    </row>
    <row r="113" spans="1:8" x14ac:dyDescent="0.3">
      <c r="A113" s="248">
        <f t="shared" si="24"/>
        <v>2011</v>
      </c>
      <c r="B113" s="252">
        <f t="shared" ref="B113:G113" si="33">B56/B92*1000000</f>
        <v>11855.592604037907</v>
      </c>
      <c r="C113" s="252">
        <f t="shared" si="33"/>
        <v>30222.311051693407</v>
      </c>
      <c r="D113" s="252">
        <f t="shared" si="33"/>
        <v>635157.2406947891</v>
      </c>
      <c r="E113" s="252">
        <f t="shared" si="33"/>
        <v>647.66666666666663</v>
      </c>
      <c r="F113" s="252">
        <f t="shared" si="33"/>
        <v>883.43160750621746</v>
      </c>
      <c r="G113" s="252">
        <f t="shared" si="33"/>
        <v>46045.947368421053</v>
      </c>
      <c r="H113"/>
    </row>
    <row r="114" spans="1:8" x14ac:dyDescent="0.3">
      <c r="A114" s="248">
        <f t="shared" si="24"/>
        <v>2012</v>
      </c>
      <c r="B114" s="252">
        <f t="shared" ref="B114:G114" si="34">B57/B93*1000000</f>
        <v>10779.406178606743</v>
      </c>
      <c r="C114" s="252">
        <f t="shared" si="34"/>
        <v>28271.175754060328</v>
      </c>
      <c r="D114" s="252">
        <f t="shared" si="34"/>
        <v>694847.23224043718</v>
      </c>
      <c r="E114" s="252">
        <f t="shared" si="34"/>
        <v>628.85714285714289</v>
      </c>
      <c r="F114" s="252">
        <f t="shared" si="34"/>
        <v>874.57144472077778</v>
      </c>
      <c r="G114" s="252">
        <f t="shared" si="34"/>
        <v>41047.238095238092</v>
      </c>
      <c r="H114"/>
    </row>
    <row r="115" spans="1:8" x14ac:dyDescent="0.3">
      <c r="A115" s="248">
        <f t="shared" si="24"/>
        <v>2013</v>
      </c>
      <c r="B115" s="252">
        <f t="shared" ref="B115:G115" si="35">B58/B94*1000000</f>
        <v>10987.845444685465</v>
      </c>
      <c r="C115" s="252">
        <f t="shared" si="35"/>
        <v>27584.253022452504</v>
      </c>
      <c r="D115" s="252">
        <f t="shared" si="35"/>
        <v>694500.67024128686</v>
      </c>
      <c r="E115" s="252">
        <f t="shared" si="35"/>
        <v>634.5320855614973</v>
      </c>
      <c r="F115" s="252">
        <f t="shared" si="35"/>
        <v>914.26543070314278</v>
      </c>
      <c r="G115" s="252">
        <f t="shared" si="35"/>
        <v>40829.666666666664</v>
      </c>
      <c r="H115"/>
    </row>
    <row r="116" spans="1:8" x14ac:dyDescent="0.3">
      <c r="A116" s="248">
        <f t="shared" si="24"/>
        <v>2014</v>
      </c>
      <c r="B116" s="252">
        <f>B59/B96*1000000</f>
        <v>11348.864369451785</v>
      </c>
      <c r="C116" s="252">
        <f t="shared" ref="C116:G116" si="36">C59/C96*1000000</f>
        <v>28623.968244803695</v>
      </c>
      <c r="D116" s="252">
        <f t="shared" si="36"/>
        <v>699480.62162162177</v>
      </c>
      <c r="E116" s="252">
        <f t="shared" si="36"/>
        <v>672.23480662983434</v>
      </c>
      <c r="F116" s="252">
        <f t="shared" si="36"/>
        <v>883.12401085236274</v>
      </c>
      <c r="G116" s="252">
        <f t="shared" si="36"/>
        <v>41715.428571428572</v>
      </c>
      <c r="H116"/>
    </row>
    <row r="117" spans="1:8" x14ac:dyDescent="0.3">
      <c r="A117" s="248">
        <f t="shared" si="24"/>
        <v>2015</v>
      </c>
      <c r="B117" s="252">
        <f t="shared" ref="B117:G117" si="37">B60/B97*1000000</f>
        <v>10500.515456943787</v>
      </c>
      <c r="C117" s="252">
        <f t="shared" si="37"/>
        <v>27893.081317400171</v>
      </c>
      <c r="D117" s="252">
        <f t="shared" si="37"/>
        <v>683068.53887399449</v>
      </c>
      <c r="E117" s="252">
        <f t="shared" si="37"/>
        <v>653.43888888888898</v>
      </c>
      <c r="F117" s="252">
        <f t="shared" si="37"/>
        <v>825.38884489195618</v>
      </c>
      <c r="G117" s="252">
        <f t="shared" si="37"/>
        <v>43462.333333333328</v>
      </c>
      <c r="H117"/>
    </row>
    <row r="118" spans="1:8" x14ac:dyDescent="0.3">
      <c r="A118" s="248">
        <f t="shared" si="24"/>
        <v>2016</v>
      </c>
      <c r="B118" s="252">
        <f t="shared" ref="B118:G118" si="38">B61/B98*1000000</f>
        <v>9748.3621336934502</v>
      </c>
      <c r="C118" s="252">
        <f t="shared" si="38"/>
        <v>26999.12009373169</v>
      </c>
      <c r="D118" s="252">
        <f t="shared" si="38"/>
        <v>692396.61495844868</v>
      </c>
      <c r="E118" s="252">
        <f t="shared" si="38"/>
        <v>627.22596685082874</v>
      </c>
      <c r="F118" s="252">
        <f t="shared" si="38"/>
        <v>548.83646302975649</v>
      </c>
      <c r="G118" s="252">
        <f t="shared" si="38"/>
        <v>43011.934761904762</v>
      </c>
      <c r="H118"/>
    </row>
    <row r="119" spans="1:8" x14ac:dyDescent="0.3">
      <c r="A119" s="425" t="s">
        <v>205</v>
      </c>
      <c r="B119" s="425"/>
      <c r="C119" s="425"/>
      <c r="D119" s="425"/>
      <c r="E119" s="425"/>
      <c r="F119" s="425"/>
      <c r="G119" s="425"/>
      <c r="H119"/>
    </row>
    <row r="120" spans="1:8" x14ac:dyDescent="0.3">
      <c r="A120" s="248">
        <f t="shared" ref="A120:A136" si="39">A63</f>
        <v>2003</v>
      </c>
      <c r="B120" s="252">
        <f>B63*1000000/B84</f>
        <v>12046.412486198331</v>
      </c>
      <c r="C120" s="252">
        <f t="shared" ref="C120:G120" si="40">C63*1000000/C84</f>
        <v>29162.841548100823</v>
      </c>
      <c r="D120" s="252">
        <f t="shared" si="40"/>
        <v>616621.58638652193</v>
      </c>
      <c r="E120" s="252">
        <f t="shared" si="40"/>
        <v>581.33324206888506</v>
      </c>
      <c r="F120" s="252">
        <f t="shared" si="40"/>
        <v>817.41769090014054</v>
      </c>
      <c r="G120" s="252">
        <f t="shared" si="40"/>
        <v>69517.131359493753</v>
      </c>
      <c r="H120"/>
    </row>
    <row r="121" spans="1:8" x14ac:dyDescent="0.3">
      <c r="A121" s="248">
        <f t="shared" si="39"/>
        <v>2004</v>
      </c>
      <c r="B121" s="252">
        <f t="shared" ref="B121:G121" si="41">B64*1000000/B85</f>
        <v>12314.268766366848</v>
      </c>
      <c r="C121" s="252">
        <f t="shared" si="41"/>
        <v>29083.566405003392</v>
      </c>
      <c r="D121" s="252">
        <f t="shared" si="41"/>
        <v>620285.48613736837</v>
      </c>
      <c r="E121" s="252">
        <f t="shared" si="41"/>
        <v>616.54686102730545</v>
      </c>
      <c r="F121" s="252">
        <f t="shared" si="41"/>
        <v>842.60889871767961</v>
      </c>
      <c r="G121" s="252">
        <f t="shared" si="41"/>
        <v>43753.677936288666</v>
      </c>
      <c r="H121"/>
    </row>
    <row r="122" spans="1:8" x14ac:dyDescent="0.3">
      <c r="A122" s="248">
        <f t="shared" si="39"/>
        <v>2005</v>
      </c>
      <c r="B122" s="252">
        <f t="shared" ref="B122:G122" si="42">B65*1000000/B86</f>
        <v>12052.566969489404</v>
      </c>
      <c r="C122" s="252">
        <f t="shared" si="42"/>
        <v>28956.732416128991</v>
      </c>
      <c r="D122" s="252">
        <f t="shared" si="42"/>
        <v>612251.55895149219</v>
      </c>
      <c r="E122" s="252">
        <f t="shared" si="42"/>
        <v>608.03567988648683</v>
      </c>
      <c r="F122" s="252">
        <f t="shared" si="42"/>
        <v>885.85434873574798</v>
      </c>
      <c r="G122" s="252">
        <f t="shared" si="42"/>
        <v>31068.921470021636</v>
      </c>
      <c r="H122"/>
    </row>
    <row r="123" spans="1:8" x14ac:dyDescent="0.3">
      <c r="A123" s="248">
        <f t="shared" si="39"/>
        <v>2006</v>
      </c>
      <c r="B123" s="252">
        <f t="shared" ref="B123:G123" si="43">B66*1000000/B87</f>
        <v>11924.117842842525</v>
      </c>
      <c r="C123" s="252">
        <f t="shared" si="43"/>
        <v>26724.076634847814</v>
      </c>
      <c r="D123" s="252">
        <f t="shared" si="43"/>
        <v>626557.9216182743</v>
      </c>
      <c r="E123" s="252">
        <f t="shared" si="43"/>
        <v>620.42994757793554</v>
      </c>
      <c r="F123" s="252">
        <f t="shared" si="43"/>
        <v>892.590423548084</v>
      </c>
      <c r="G123" s="252">
        <f t="shared" si="43"/>
        <v>31086.198608700921</v>
      </c>
      <c r="H123"/>
    </row>
    <row r="124" spans="1:8" x14ac:dyDescent="0.3">
      <c r="A124" s="248">
        <f t="shared" si="39"/>
        <v>2007</v>
      </c>
      <c r="B124" s="252">
        <f t="shared" ref="B124:G124" si="44">B67*1000000/B88</f>
        <v>11781.731489168535</v>
      </c>
      <c r="C124" s="252">
        <f t="shared" si="44"/>
        <v>28404.230097328473</v>
      </c>
      <c r="D124" s="252">
        <f t="shared" si="44"/>
        <v>603103.12086821336</v>
      </c>
      <c r="E124" s="252">
        <f t="shared" si="44"/>
        <v>604.54344245376785</v>
      </c>
      <c r="F124" s="252">
        <f t="shared" si="44"/>
        <v>873.12426694514693</v>
      </c>
      <c r="G124" s="252">
        <f t="shared" si="44"/>
        <v>31851.70745796237</v>
      </c>
      <c r="H124"/>
    </row>
    <row r="125" spans="1:8" s="243" customFormat="1" x14ac:dyDescent="0.3">
      <c r="A125" s="248">
        <f t="shared" si="39"/>
        <v>2008</v>
      </c>
      <c r="B125" s="252">
        <f t="shared" ref="B125:G125" si="45">B68*1000000/B89</f>
        <v>11903.701990953354</v>
      </c>
      <c r="C125" s="252">
        <f t="shared" si="45"/>
        <v>27726.107519417725</v>
      </c>
      <c r="D125" s="252">
        <f t="shared" si="45"/>
        <v>604541.4594784379</v>
      </c>
      <c r="E125" s="252">
        <f t="shared" si="45"/>
        <v>609.35336548980479</v>
      </c>
      <c r="F125" s="252">
        <f t="shared" si="45"/>
        <v>859.79422871751967</v>
      </c>
      <c r="G125" s="252">
        <f t="shared" si="45"/>
        <v>38030.197066818473</v>
      </c>
      <c r="H125"/>
    </row>
    <row r="126" spans="1:8" s="243" customFormat="1" x14ac:dyDescent="0.3">
      <c r="A126" s="248">
        <f t="shared" si="39"/>
        <v>2009</v>
      </c>
      <c r="B126" s="252">
        <f t="shared" ref="B126:G126" si="46">B69*1000000/B90</f>
        <v>11875.693448972417</v>
      </c>
      <c r="C126" s="252">
        <f t="shared" si="46"/>
        <v>26924.752136524919</v>
      </c>
      <c r="D126" s="252">
        <f t="shared" si="46"/>
        <v>590309.42201013863</v>
      </c>
      <c r="E126" s="252">
        <f t="shared" si="46"/>
        <v>612.48619074623207</v>
      </c>
      <c r="F126" s="252">
        <f t="shared" si="46"/>
        <v>852.75279487017337</v>
      </c>
      <c r="G126" s="252">
        <f t="shared" si="46"/>
        <v>47803.337867344278</v>
      </c>
      <c r="H126"/>
    </row>
    <row r="127" spans="1:8" x14ac:dyDescent="0.3">
      <c r="A127" s="248">
        <f t="shared" si="39"/>
        <v>2010</v>
      </c>
      <c r="B127" s="252">
        <f t="shared" ref="B127:G127" si="47">B70*1000000/B91</f>
        <v>11365.045621505647</v>
      </c>
      <c r="C127" s="252">
        <f t="shared" si="47"/>
        <v>27630.556761466491</v>
      </c>
      <c r="D127" s="252">
        <f t="shared" si="47"/>
        <v>597658.65789999347</v>
      </c>
      <c r="E127" s="252">
        <f t="shared" si="47"/>
        <v>635.29054687195583</v>
      </c>
      <c r="F127" s="252">
        <f t="shared" si="47"/>
        <v>886.66369493116838</v>
      </c>
      <c r="G127" s="252">
        <f t="shared" si="47"/>
        <v>52926.285233985371</v>
      </c>
      <c r="H127"/>
    </row>
    <row r="128" spans="1:8" x14ac:dyDescent="0.3">
      <c r="A128" s="248">
        <f t="shared" si="39"/>
        <v>2011</v>
      </c>
      <c r="B128" s="252">
        <f t="shared" ref="B128:G128" si="48">B71*1000000/B92</f>
        <v>11858.33445419813</v>
      </c>
      <c r="C128" s="252">
        <f t="shared" si="48"/>
        <v>30229.300584074197</v>
      </c>
      <c r="D128" s="252">
        <f t="shared" si="48"/>
        <v>635304.13389872492</v>
      </c>
      <c r="E128" s="252">
        <f t="shared" si="48"/>
        <v>647.81645293320605</v>
      </c>
      <c r="F128" s="252">
        <f t="shared" si="48"/>
        <v>883.63591927497396</v>
      </c>
      <c r="G128" s="252">
        <f t="shared" si="48"/>
        <v>46056.596442860966</v>
      </c>
      <c r="H128"/>
    </row>
    <row r="129" spans="1:8" x14ac:dyDescent="0.3">
      <c r="A129" s="248">
        <f t="shared" si="39"/>
        <v>2012</v>
      </c>
      <c r="B129" s="252">
        <f t="shared" ref="B129:G129" si="49">B72*1000000/B93</f>
        <v>11272.910799896557</v>
      </c>
      <c r="C129" s="252">
        <f t="shared" si="49"/>
        <v>29565.491568192549</v>
      </c>
      <c r="D129" s="252">
        <f t="shared" si="49"/>
        <v>726658.84732565819</v>
      </c>
      <c r="E129" s="252">
        <f t="shared" si="49"/>
        <v>657.64758835932923</v>
      </c>
      <c r="F129" s="252">
        <f t="shared" si="49"/>
        <v>914.61122450701419</v>
      </c>
      <c r="G129" s="252">
        <f t="shared" si="49"/>
        <v>42926.469785327492</v>
      </c>
      <c r="H129"/>
    </row>
    <row r="130" spans="1:8" x14ac:dyDescent="0.3">
      <c r="A130" s="248">
        <f t="shared" si="39"/>
        <v>2013</v>
      </c>
      <c r="B130" s="252">
        <f t="shared" ref="B130:G130" si="50">B73*1000000/B94</f>
        <v>11138.406051363734</v>
      </c>
      <c r="C130" s="252">
        <f t="shared" si="50"/>
        <v>27962.225382068827</v>
      </c>
      <c r="D130" s="252">
        <f t="shared" si="50"/>
        <v>704017.043835763</v>
      </c>
      <c r="E130" s="252">
        <f t="shared" si="50"/>
        <v>643.22674151019135</v>
      </c>
      <c r="F130" s="252">
        <f t="shared" si="50"/>
        <v>926.7931240170501</v>
      </c>
      <c r="G130" s="252">
        <f t="shared" si="50"/>
        <v>41389.133890223049</v>
      </c>
      <c r="H130"/>
    </row>
    <row r="131" spans="1:8" ht="12.75" customHeight="1" x14ac:dyDescent="0.3">
      <c r="A131" s="248" t="str">
        <f t="shared" si="39"/>
        <v>2013 Board Approved</v>
      </c>
      <c r="B131" s="252">
        <f t="shared" ref="B131:G131" si="51">B74*1000000/B95</f>
        <v>11634.773290970585</v>
      </c>
      <c r="C131" s="252">
        <f t="shared" si="51"/>
        <v>30044.035871802411</v>
      </c>
      <c r="D131" s="252">
        <f t="shared" si="51"/>
        <v>630658.69674185466</v>
      </c>
      <c r="E131" s="252">
        <f t="shared" si="51"/>
        <v>656.7571059431524</v>
      </c>
      <c r="F131" s="252">
        <f t="shared" si="51"/>
        <v>888.04582210242586</v>
      </c>
      <c r="G131" s="252">
        <f t="shared" si="51"/>
        <v>41566.142857142855</v>
      </c>
      <c r="H131"/>
    </row>
    <row r="132" spans="1:8" x14ac:dyDescent="0.3">
      <c r="A132" s="248">
        <f t="shared" si="39"/>
        <v>2014</v>
      </c>
      <c r="B132" s="252">
        <f t="shared" ref="B132:G132" si="52">B75*1000000/B96</f>
        <v>10882.512758711156</v>
      </c>
      <c r="C132" s="252">
        <f t="shared" si="52"/>
        <v>27447.741861071023</v>
      </c>
      <c r="D132" s="252">
        <f t="shared" si="52"/>
        <v>670737.31269168539</v>
      </c>
      <c r="E132" s="252">
        <f t="shared" si="52"/>
        <v>644.6110925151786</v>
      </c>
      <c r="F132" s="252">
        <f t="shared" si="52"/>
        <v>846.83436181458694</v>
      </c>
      <c r="G132" s="252">
        <f t="shared" si="52"/>
        <v>40001.243198010357</v>
      </c>
      <c r="H132"/>
    </row>
    <row r="133" spans="1:8" x14ac:dyDescent="0.3">
      <c r="A133" s="248">
        <f t="shared" si="39"/>
        <v>2015</v>
      </c>
      <c r="B133" s="252">
        <f t="shared" ref="B133:G133" si="53">B76*1000000/B97</f>
        <v>10315.681742244547</v>
      </c>
      <c r="C133" s="252">
        <f t="shared" si="53"/>
        <v>27402.097626604907</v>
      </c>
      <c r="D133" s="252">
        <f t="shared" si="53"/>
        <v>671044.92956148484</v>
      </c>
      <c r="E133" s="252">
        <f t="shared" si="53"/>
        <v>641.93683095111317</v>
      </c>
      <c r="F133" s="252">
        <f t="shared" si="53"/>
        <v>810.86006419559419</v>
      </c>
      <c r="G133" s="252">
        <f t="shared" si="53"/>
        <v>42697.294269066799</v>
      </c>
      <c r="H133"/>
    </row>
    <row r="134" spans="1:8" x14ac:dyDescent="0.3">
      <c r="A134" s="248">
        <f t="shared" si="39"/>
        <v>2016</v>
      </c>
      <c r="B134" s="252">
        <f t="shared" ref="B134:G134" si="54">B77*1000000/B98</f>
        <v>9825.6894826850385</v>
      </c>
      <c r="C134" s="252">
        <f t="shared" si="54"/>
        <v>27213.286366313809</v>
      </c>
      <c r="D134" s="252">
        <f t="shared" si="54"/>
        <v>697888.94217723666</v>
      </c>
      <c r="E134" s="252">
        <f t="shared" si="54"/>
        <v>632.20133815629379</v>
      </c>
      <c r="F134" s="252">
        <f t="shared" si="54"/>
        <v>553.19002192857135</v>
      </c>
      <c r="G134" s="252">
        <f t="shared" si="54"/>
        <v>43353.12016767067</v>
      </c>
      <c r="H134"/>
    </row>
    <row r="135" spans="1:8" ht="12.75" customHeight="1" x14ac:dyDescent="0.3">
      <c r="A135" s="248" t="str">
        <f t="shared" si="39"/>
        <v>2017 Bridge</v>
      </c>
      <c r="B135" s="252" t="e">
        <f t="shared" ref="B135:G135" si="55">B78*1000000/B99</f>
        <v>#REF!</v>
      </c>
      <c r="C135" s="252" t="e">
        <f t="shared" si="55"/>
        <v>#REF!</v>
      </c>
      <c r="D135" s="252" t="e">
        <f t="shared" si="55"/>
        <v>#REF!</v>
      </c>
      <c r="E135" s="252" t="e">
        <f t="shared" si="55"/>
        <v>#REF!</v>
      </c>
      <c r="F135" s="252" t="e">
        <f t="shared" si="55"/>
        <v>#REF!</v>
      </c>
      <c r="G135" s="252" t="e">
        <f t="shared" si="55"/>
        <v>#REF!</v>
      </c>
      <c r="H135"/>
    </row>
    <row r="136" spans="1:8" x14ac:dyDescent="0.3">
      <c r="A136" s="248" t="str">
        <f t="shared" si="39"/>
        <v>2018 Test</v>
      </c>
      <c r="B136" s="252">
        <f t="shared" ref="B136:G136" si="56">B79*1000000/B100</f>
        <v>9429.7231562478046</v>
      </c>
      <c r="C136" s="252">
        <f t="shared" si="56"/>
        <v>26391.247456841782</v>
      </c>
      <c r="D136" s="252">
        <f t="shared" si="56"/>
        <v>672002.72667216824</v>
      </c>
      <c r="E136" s="252">
        <f t="shared" si="56"/>
        <v>591.85927977839333</v>
      </c>
      <c r="F136" s="252">
        <f t="shared" si="56"/>
        <v>297.17736059479552</v>
      </c>
      <c r="G136" s="252">
        <f t="shared" si="56"/>
        <v>43224.423809523811</v>
      </c>
      <c r="H136"/>
    </row>
    <row r="138" spans="1:8" x14ac:dyDescent="0.3">
      <c r="A138" s="425" t="s">
        <v>237</v>
      </c>
      <c r="B138" s="425"/>
      <c r="C138" s="425"/>
      <c r="D138" s="425"/>
      <c r="E138" s="425"/>
      <c r="F138" s="425"/>
      <c r="G138"/>
    </row>
    <row r="139" spans="1:8" ht="78" x14ac:dyDescent="0.3">
      <c r="A139" s="284" t="s">
        <v>143</v>
      </c>
      <c r="B139" s="285" t="s">
        <v>225</v>
      </c>
      <c r="C139" s="285" t="s">
        <v>228</v>
      </c>
      <c r="D139" s="285" t="s">
        <v>226</v>
      </c>
      <c r="E139" s="285" t="s">
        <v>227</v>
      </c>
      <c r="F139" s="285" t="s">
        <v>224</v>
      </c>
      <c r="G139" s="304"/>
    </row>
    <row r="140" spans="1:8" x14ac:dyDescent="0.3">
      <c r="A140" s="247">
        <f>'CDM Activity'!A4</f>
        <v>2006</v>
      </c>
      <c r="B140" s="252">
        <f>'CDM Activity'!B4</f>
        <v>1571521.531015906</v>
      </c>
      <c r="C140" s="252">
        <f>'CDM Activity'!C4</f>
        <v>0</v>
      </c>
      <c r="D140" s="252">
        <f>'CDM Activity'!D4</f>
        <v>0</v>
      </c>
      <c r="E140" s="252">
        <f>'CDM Activity'!E4</f>
        <v>0</v>
      </c>
      <c r="F140" s="252">
        <f t="shared" ref="F140:F152" si="57">SUM(B140:E140)</f>
        <v>1571521.531015906</v>
      </c>
      <c r="G140" s="304"/>
    </row>
    <row r="141" spans="1:8" x14ac:dyDescent="0.3">
      <c r="A141" s="247">
        <f>'CDM Activity'!A5</f>
        <v>2007</v>
      </c>
      <c r="B141" s="252">
        <f>'CDM Activity'!B5</f>
        <v>4551503.5039854897</v>
      </c>
      <c r="C141" s="252">
        <f>'CDM Activity'!C5</f>
        <v>0</v>
      </c>
      <c r="D141" s="252">
        <f>'CDM Activity'!D5</f>
        <v>0</v>
      </c>
      <c r="E141" s="252">
        <f>'CDM Activity'!E5</f>
        <v>0</v>
      </c>
      <c r="F141" s="252">
        <f t="shared" si="57"/>
        <v>4551503.5039854897</v>
      </c>
      <c r="G141" s="304"/>
    </row>
    <row r="142" spans="1:8" x14ac:dyDescent="0.3">
      <c r="A142" s="247">
        <f>'CDM Activity'!A6</f>
        <v>2008</v>
      </c>
      <c r="B142" s="252">
        <f>'CDM Activity'!B6</f>
        <v>6625848.8160930136</v>
      </c>
      <c r="C142" s="252">
        <f>'CDM Activity'!C6</f>
        <v>0</v>
      </c>
      <c r="D142" s="252">
        <f>'CDM Activity'!D6</f>
        <v>0</v>
      </c>
      <c r="E142" s="252">
        <f>'CDM Activity'!E6</f>
        <v>0</v>
      </c>
      <c r="F142" s="252">
        <f t="shared" si="57"/>
        <v>6625848.8160930136</v>
      </c>
      <c r="G142" s="304"/>
    </row>
    <row r="143" spans="1:8" x14ac:dyDescent="0.3">
      <c r="A143" s="247">
        <f>'CDM Activity'!A7</f>
        <v>2009</v>
      </c>
      <c r="B143" s="252">
        <f>'CDM Activity'!B7</f>
        <v>8277543.6652882816</v>
      </c>
      <c r="C143" s="252">
        <f>'CDM Activity'!C7</f>
        <v>0</v>
      </c>
      <c r="D143" s="252">
        <f>'CDM Activity'!D7</f>
        <v>0</v>
      </c>
      <c r="E143" s="252">
        <f>'CDM Activity'!E7</f>
        <v>0</v>
      </c>
      <c r="F143" s="252">
        <f t="shared" si="57"/>
        <v>8277543.6652882816</v>
      </c>
      <c r="G143" s="304"/>
    </row>
    <row r="144" spans="1:8" x14ac:dyDescent="0.3">
      <c r="A144" s="247">
        <f>'CDM Activity'!A8</f>
        <v>2010</v>
      </c>
      <c r="B144" s="252">
        <f>'CDM Activity'!B8</f>
        <v>7031261.5937940674</v>
      </c>
      <c r="C144" s="252">
        <f>'CDM Activity'!C8</f>
        <v>0</v>
      </c>
      <c r="D144" s="252">
        <f>'CDM Activity'!D8</f>
        <v>0</v>
      </c>
      <c r="E144" s="252">
        <f>'CDM Activity'!E8</f>
        <v>0</v>
      </c>
      <c r="F144" s="252">
        <f t="shared" si="57"/>
        <v>7031261.5937940674</v>
      </c>
      <c r="G144" s="304"/>
    </row>
    <row r="145" spans="1:7" x14ac:dyDescent="0.3">
      <c r="A145" s="247">
        <f>'CDM Activity'!A9</f>
        <v>2011</v>
      </c>
      <c r="B145" s="252">
        <f>'CDM Activity'!B9</f>
        <v>6681180.1009053634</v>
      </c>
      <c r="C145" s="252">
        <f>'CDM Activity'!C9</f>
        <v>2252978.2328380258</v>
      </c>
      <c r="D145" s="252">
        <f>'CDM Activity'!D9</f>
        <v>0</v>
      </c>
      <c r="E145" s="252">
        <f>'CDM Activity'!E9</f>
        <v>0</v>
      </c>
      <c r="F145" s="252">
        <f t="shared" si="57"/>
        <v>8934158.3337433897</v>
      </c>
      <c r="G145" s="304"/>
    </row>
    <row r="146" spans="1:7" x14ac:dyDescent="0.3">
      <c r="A146" s="247">
        <f>'CDM Activity'!A10</f>
        <v>2012</v>
      </c>
      <c r="B146" s="252">
        <f>'CDM Activity'!B10</f>
        <v>6429476.3711081557</v>
      </c>
      <c r="C146" s="252">
        <f>'CDM Activity'!C10</f>
        <v>5995033.082275168</v>
      </c>
      <c r="D146" s="252">
        <f>'CDM Activity'!D10</f>
        <v>0</v>
      </c>
      <c r="E146" s="252">
        <f>'CDM Activity'!E10</f>
        <v>0</v>
      </c>
      <c r="F146" s="252">
        <f t="shared" si="57"/>
        <v>12424509.453383323</v>
      </c>
      <c r="G146" s="304"/>
    </row>
    <row r="147" spans="1:7" x14ac:dyDescent="0.3">
      <c r="A147" s="247">
        <f>'CDM Activity'!A11</f>
        <v>2013</v>
      </c>
      <c r="B147" s="252">
        <f>'CDM Activity'!B11</f>
        <v>6368225.4161085803</v>
      </c>
      <c r="C147" s="252">
        <f>'CDM Activity'!C11</f>
        <v>7754368.6475839196</v>
      </c>
      <c r="D147" s="252">
        <f>'CDM Activity'!D11</f>
        <v>0</v>
      </c>
      <c r="E147" s="252">
        <f>'CDM Activity'!E11</f>
        <v>0</v>
      </c>
      <c r="F147" s="252">
        <f t="shared" si="57"/>
        <v>14122594.063692499</v>
      </c>
      <c r="G147" s="304"/>
    </row>
    <row r="148" spans="1:7" x14ac:dyDescent="0.3">
      <c r="A148" s="247">
        <f>'CDM Activity'!A12</f>
        <v>2014</v>
      </c>
      <c r="B148" s="252">
        <f>'CDM Activity'!B12</f>
        <v>5978748.6936793262</v>
      </c>
      <c r="C148" s="252">
        <f>'CDM Activity'!C12</f>
        <v>13124708.601250896</v>
      </c>
      <c r="D148" s="252">
        <f>'CDM Activity'!D12</f>
        <v>0</v>
      </c>
      <c r="E148" s="252">
        <f>'CDM Activity'!E12</f>
        <v>0</v>
      </c>
      <c r="F148" s="252">
        <f t="shared" si="57"/>
        <v>19103457.294930223</v>
      </c>
      <c r="G148" s="304"/>
    </row>
    <row r="149" spans="1:7" x14ac:dyDescent="0.3">
      <c r="A149" s="247">
        <f>'CDM Activity'!A13</f>
        <v>2015</v>
      </c>
      <c r="B149" s="252">
        <f>'CDM Activity'!B13</f>
        <v>4582235.2244218513</v>
      </c>
      <c r="C149" s="252">
        <f>'CDM Activity'!C13</f>
        <v>14272201.154785659</v>
      </c>
      <c r="D149" s="252">
        <f>'CDM Activity'!D13</f>
        <v>2704002</v>
      </c>
      <c r="E149" s="252">
        <f>'CDM Activity'!E13</f>
        <v>0</v>
      </c>
      <c r="F149" s="252">
        <f t="shared" si="57"/>
        <v>21558438.379207511</v>
      </c>
      <c r="G149" s="304"/>
    </row>
    <row r="150" spans="1:7" x14ac:dyDescent="0.3">
      <c r="A150" s="247">
        <f>'CDM Activity'!A14</f>
        <v>2016</v>
      </c>
      <c r="B150" s="252">
        <f>'CDM Activity'!B14</f>
        <v>3917534.8311292906</v>
      </c>
      <c r="C150" s="252">
        <f>'CDM Activity'!C14</f>
        <v>13893402.480929734</v>
      </c>
      <c r="D150" s="252">
        <f>'CDM Activity'!D14</f>
        <v>5354552</v>
      </c>
      <c r="E150" s="252">
        <f>'CDM Activity'!E14</f>
        <v>5360115</v>
      </c>
      <c r="F150" s="252">
        <f t="shared" si="57"/>
        <v>28525604.312059026</v>
      </c>
      <c r="G150" s="304"/>
    </row>
    <row r="151" spans="1:7" x14ac:dyDescent="0.3">
      <c r="A151" s="247">
        <f>'CDM Activity'!A15</f>
        <v>2017</v>
      </c>
      <c r="B151" s="252">
        <f>'CDM Activity'!B15</f>
        <v>3161651.5077473391</v>
      </c>
      <c r="C151" s="252">
        <f>'CDM Activity'!C15</f>
        <v>11963920.006254736</v>
      </c>
      <c r="D151" s="252">
        <f>'CDM Activity'!D15</f>
        <v>5348661</v>
      </c>
      <c r="E151" s="252">
        <f>'CDM Activity'!E15</f>
        <v>10720229</v>
      </c>
      <c r="F151" s="252">
        <f t="shared" si="57"/>
        <v>31194461.514002077</v>
      </c>
      <c r="G151" s="304"/>
    </row>
    <row r="152" spans="1:7" x14ac:dyDescent="0.3">
      <c r="A152" s="247">
        <f>'CDM Activity'!A16</f>
        <v>2018</v>
      </c>
      <c r="B152" s="252">
        <f>'CDM Activity'!B16</f>
        <v>2827980.5324192522</v>
      </c>
      <c r="C152" s="252">
        <f>'CDM Activity'!C16</f>
        <v>11022261.155388592</v>
      </c>
      <c r="D152" s="252">
        <f>'CDM Activity'!D16</f>
        <v>5344206</v>
      </c>
      <c r="E152" s="252">
        <f>'CDM Activity'!E16</f>
        <v>10747568</v>
      </c>
      <c r="F152" s="252">
        <f t="shared" si="57"/>
        <v>29942015.687807843</v>
      </c>
      <c r="G152" s="304"/>
    </row>
    <row r="154" spans="1:7" x14ac:dyDescent="0.3">
      <c r="A154" s="426" t="s">
        <v>238</v>
      </c>
      <c r="B154" s="426"/>
    </row>
    <row r="155" spans="1:7" x14ac:dyDescent="0.3">
      <c r="A155" s="435" t="s">
        <v>26</v>
      </c>
      <c r="B155" s="435"/>
      <c r="C155" s="256">
        <f>'Purchased Power Model'!T6</f>
        <v>0.96523709744607056</v>
      </c>
    </row>
    <row r="156" spans="1:7" x14ac:dyDescent="0.3">
      <c r="A156" s="435" t="s">
        <v>27</v>
      </c>
      <c r="B156" s="435"/>
      <c r="C156" s="256">
        <f>'Purchased Power Model'!T7</f>
        <v>0.96394158554965081</v>
      </c>
    </row>
    <row r="157" spans="1:7" x14ac:dyDescent="0.3">
      <c r="A157" s="435" t="s">
        <v>151</v>
      </c>
      <c r="B157" s="435"/>
      <c r="C157" s="257">
        <f>'Purchased Power Model'!W13</f>
        <v>745.06231869703004</v>
      </c>
      <c r="F157" s="258"/>
    </row>
    <row r="158" spans="1:7" x14ac:dyDescent="0.3">
      <c r="A158" s="435" t="s">
        <v>152</v>
      </c>
      <c r="B158" s="435"/>
      <c r="C158" s="256">
        <f>'Purchased Power Model'!P183</f>
        <v>2.7779200492913381E-2</v>
      </c>
    </row>
    <row r="159" spans="1:7" x14ac:dyDescent="0.3">
      <c r="A159" s="435" t="s">
        <v>153</v>
      </c>
      <c r="B159" s="435"/>
      <c r="C159" s="257"/>
    </row>
    <row r="160" spans="1:7" x14ac:dyDescent="0.3">
      <c r="A160" s="436" t="str">
        <f>'Purchased Power Model'!S19</f>
        <v>Heating Degree Days</v>
      </c>
      <c r="B160" s="436"/>
      <c r="C160" s="259">
        <f>'Purchased Power Model'!V19</f>
        <v>50.738080980066293</v>
      </c>
    </row>
    <row r="161" spans="1:9" x14ac:dyDescent="0.3">
      <c r="A161" s="436" t="str">
        <f>'Purchased Power Model'!S20</f>
        <v>Cooling Degree Days</v>
      </c>
      <c r="B161" s="436"/>
      <c r="C161" s="259">
        <f>'Purchased Power Model'!V20</f>
        <v>5.7788893237774435</v>
      </c>
    </row>
    <row r="162" spans="1:9" x14ac:dyDescent="0.3">
      <c r="A162" s="436" t="str">
        <f>'Purchased Power Model'!S21</f>
        <v>Spring Fall Flag</v>
      </c>
      <c r="B162" s="436"/>
      <c r="C162" s="259">
        <f>'Purchased Power Model'!V21</f>
        <v>-7.3852684633267556</v>
      </c>
    </row>
    <row r="163" spans="1:9" x14ac:dyDescent="0.3">
      <c r="A163" s="436" t="str">
        <f>'Purchased Power Model'!S22</f>
        <v>Number of Days in Month</v>
      </c>
      <c r="B163" s="436"/>
      <c r="C163" s="259">
        <f>'Purchased Power Model'!V22</f>
        <v>8.6215835465685426</v>
      </c>
    </row>
    <row r="164" spans="1:9" x14ac:dyDescent="0.3">
      <c r="A164" s="436" t="str">
        <f>'Purchased Power Model'!S23</f>
        <v>CDM Activity</v>
      </c>
      <c r="B164" s="436"/>
      <c r="C164" s="259">
        <f>'Purchased Power Model'!V23</f>
        <v>-6.6196135063106167</v>
      </c>
    </row>
    <row r="165" spans="1:9" x14ac:dyDescent="0.3">
      <c r="A165" s="436" t="str">
        <f>'Purchased Power Model'!S24</f>
        <v>Number of Customers</v>
      </c>
      <c r="B165" s="436"/>
      <c r="C165" s="259">
        <f>'Purchased Power Model'!V24</f>
        <v>3.0969064556285386</v>
      </c>
    </row>
    <row r="166" spans="1:9" x14ac:dyDescent="0.3">
      <c r="A166" s="436" t="s">
        <v>154</v>
      </c>
      <c r="B166" s="436"/>
      <c r="C166" s="259">
        <f>'Purchased Power Model'!V18</f>
        <v>-3.2946122878393673</v>
      </c>
    </row>
    <row r="169" spans="1:9" x14ac:dyDescent="0.3">
      <c r="A169" s="426" t="s">
        <v>239</v>
      </c>
      <c r="B169" s="426"/>
      <c r="C169" s="426"/>
      <c r="D169" s="426"/>
      <c r="E169" s="426"/>
      <c r="F169" s="426"/>
      <c r="G169" s="426"/>
    </row>
    <row r="170" spans="1:9" ht="62.4" x14ac:dyDescent="0.3">
      <c r="A170" s="284" t="s">
        <v>143</v>
      </c>
      <c r="B170" s="285" t="s">
        <v>155</v>
      </c>
      <c r="C170" s="285" t="s">
        <v>156</v>
      </c>
      <c r="D170" s="285" t="s">
        <v>11</v>
      </c>
      <c r="E170" s="285" t="s">
        <v>206</v>
      </c>
      <c r="F170" s="285" t="s">
        <v>207</v>
      </c>
      <c r="G170" s="285" t="s">
        <v>208</v>
      </c>
    </row>
    <row r="171" spans="1:9" x14ac:dyDescent="0.3">
      <c r="A171" s="425" t="s">
        <v>157</v>
      </c>
      <c r="B171" s="425"/>
      <c r="C171" s="425"/>
      <c r="D171" s="425"/>
      <c r="E171" s="425"/>
      <c r="F171" s="425"/>
      <c r="G171" s="425"/>
    </row>
    <row r="172" spans="1:9" x14ac:dyDescent="0.3">
      <c r="A172" s="235">
        <v>2003</v>
      </c>
      <c r="B172" s="239">
        <f>'Purchased Power Model'!B200/1000000</f>
        <v>755.12602000000004</v>
      </c>
      <c r="C172" s="239">
        <f>'Purchased Power Model'!M200/1000000</f>
        <v>755.60639531945321</v>
      </c>
      <c r="D172" s="260">
        <f t="shared" ref="D172:D185" si="58">C172/B172-1</f>
        <v>6.361525185600847E-4</v>
      </c>
      <c r="E172" s="239">
        <f>'Purchased Power Model'!Q200/1000000</f>
        <v>740.14053930718364</v>
      </c>
      <c r="F172" s="261">
        <f t="shared" ref="F172:F176" si="59">E172/C172</f>
        <v>0.97953186194813646</v>
      </c>
      <c r="G172" s="239">
        <f t="shared" ref="G172:G185" si="60">B172*F172</f>
        <v>739.66999637608581</v>
      </c>
      <c r="I172" s="304"/>
    </row>
    <row r="173" spans="1:9" x14ac:dyDescent="0.3">
      <c r="A173" s="235">
        <v>2004</v>
      </c>
      <c r="B173" s="239">
        <f>'Purchased Power Model'!B201/1000000</f>
        <v>757.68575199999998</v>
      </c>
      <c r="C173" s="239">
        <f>'Purchased Power Model'!M201/1000000</f>
        <v>753.12336754559544</v>
      </c>
      <c r="D173" s="260">
        <f t="shared" si="58"/>
        <v>-6.0214732062224829E-3</v>
      </c>
      <c r="E173" s="239">
        <f>'Purchased Power Model'!Q201/1000000</f>
        <v>742.99348027515407</v>
      </c>
      <c r="F173" s="261">
        <f t="shared" si="59"/>
        <v>0.98654949812080017</v>
      </c>
      <c r="G173" s="239">
        <f t="shared" si="60"/>
        <v>747.49449836888107</v>
      </c>
      <c r="I173" s="304"/>
    </row>
    <row r="174" spans="1:9" x14ac:dyDescent="0.3">
      <c r="A174" s="235">
        <v>2005</v>
      </c>
      <c r="B174" s="239">
        <f>'Purchased Power Model'!B202/1000000</f>
        <v>749.21903199999997</v>
      </c>
      <c r="C174" s="239">
        <f>'Purchased Power Model'!M202/1000000</f>
        <v>750.48114250597303</v>
      </c>
      <c r="D174" s="260">
        <f t="shared" si="58"/>
        <v>1.684568133038411E-3</v>
      </c>
      <c r="E174" s="239">
        <f>'Purchased Power Model'!Q202/1000000</f>
        <v>744.30027818189194</v>
      </c>
      <c r="F174" s="261">
        <f t="shared" si="59"/>
        <v>0.99176413107004635</v>
      </c>
      <c r="G174" s="239">
        <f t="shared" si="60"/>
        <v>743.0485622526212</v>
      </c>
      <c r="I174" s="304"/>
    </row>
    <row r="175" spans="1:9" x14ac:dyDescent="0.3">
      <c r="A175" s="235">
        <v>2006</v>
      </c>
      <c r="B175" s="239">
        <f>'Purchased Power Model'!B203/1000000</f>
        <v>728.09333300000003</v>
      </c>
      <c r="C175" s="239">
        <f>'Purchased Power Model'!M203/1000000</f>
        <v>729.07857682526617</v>
      </c>
      <c r="D175" s="260">
        <f t="shared" si="58"/>
        <v>1.3531834184039582E-3</v>
      </c>
      <c r="E175" s="239">
        <f>'Purchased Power Model'!Q203/1000000</f>
        <v>741.22251552596163</v>
      </c>
      <c r="F175" s="261">
        <f t="shared" si="59"/>
        <v>1.0166565567645336</v>
      </c>
      <c r="G175" s="239">
        <f t="shared" si="60"/>
        <v>740.22086093099301</v>
      </c>
      <c r="I175" s="304"/>
    </row>
    <row r="176" spans="1:9" x14ac:dyDescent="0.3">
      <c r="A176" s="235">
        <v>2007</v>
      </c>
      <c r="B176" s="239">
        <f>'Purchased Power Model'!B204/1000000</f>
        <v>738.09357599999998</v>
      </c>
      <c r="C176" s="239">
        <f>'Purchased Power Model'!M204/1000000</f>
        <v>734.87304945721519</v>
      </c>
      <c r="D176" s="260">
        <f t="shared" si="58"/>
        <v>-4.3633038513056777E-3</v>
      </c>
      <c r="E176" s="239">
        <f>'Purchased Power Model'!Q204/1000000</f>
        <v>731.48278266376167</v>
      </c>
      <c r="F176" s="261">
        <f t="shared" si="59"/>
        <v>0.99538659528205908</v>
      </c>
      <c r="G176" s="239">
        <f t="shared" si="60"/>
        <v>734.68845161419972</v>
      </c>
      <c r="I176" s="304"/>
    </row>
    <row r="177" spans="1:10" x14ac:dyDescent="0.3">
      <c r="A177" s="235">
        <v>2008</v>
      </c>
      <c r="B177" s="239">
        <f>'Purchased Power Model'!B205/1000000</f>
        <v>740.96648600000003</v>
      </c>
      <c r="C177" s="239">
        <f>'Purchased Power Model'!M205/1000000</f>
        <v>741.4578534223341</v>
      </c>
      <c r="D177" s="260">
        <f t="shared" si="58"/>
        <v>6.631439229953795E-4</v>
      </c>
      <c r="E177" s="239">
        <f>'Purchased Power Model'!Q205/1000000</f>
        <v>731.26613292383763</v>
      </c>
      <c r="F177" s="261">
        <f t="shared" ref="F177:F188" si="61">E177/C177</f>
        <v>0.98625448438983454</v>
      </c>
      <c r="G177" s="239">
        <f t="shared" si="60"/>
        <v>730.78151960007756</v>
      </c>
      <c r="I177" s="304"/>
    </row>
    <row r="178" spans="1:10" x14ac:dyDescent="0.3">
      <c r="A178" s="235">
        <v>2009</v>
      </c>
      <c r="B178" s="239">
        <f>'Purchased Power Model'!B206/1000000</f>
        <v>732.86998400000004</v>
      </c>
      <c r="C178" s="239">
        <f>'Purchased Power Model'!M206/1000000</f>
        <v>738.4170777861068</v>
      </c>
      <c r="D178" s="260">
        <f t="shared" si="58"/>
        <v>7.569001196952696E-3</v>
      </c>
      <c r="E178" s="239">
        <f>'Purchased Power Model'!Q206/1000000</f>
        <v>728.74014869092798</v>
      </c>
      <c r="F178" s="261">
        <f t="shared" si="61"/>
        <v>0.98689503617089702</v>
      </c>
      <c r="G178" s="239">
        <f t="shared" si="60"/>
        <v>723.26574936824477</v>
      </c>
      <c r="I178" s="304"/>
    </row>
    <row r="179" spans="1:10" x14ac:dyDescent="0.3">
      <c r="A179" s="235">
        <v>2010</v>
      </c>
      <c r="B179" s="239">
        <f>'Purchased Power Model'!B207/1000000</f>
        <v>714.19906200000003</v>
      </c>
      <c r="C179" s="239">
        <f>'Purchased Power Model'!M207/1000000</f>
        <v>729.09057303183044</v>
      </c>
      <c r="D179" s="260">
        <f t="shared" si="58"/>
        <v>2.0850644903017912E-2</v>
      </c>
      <c r="E179" s="239">
        <f>'Purchased Power Model'!Q207/1000000</f>
        <v>737.44326829944964</v>
      </c>
      <c r="F179" s="261">
        <f t="shared" si="61"/>
        <v>1.0114563204855134</v>
      </c>
      <c r="G179" s="239">
        <f t="shared" si="60"/>
        <v>722.38115534472502</v>
      </c>
      <c r="I179" s="304"/>
    </row>
    <row r="180" spans="1:10" x14ac:dyDescent="0.3">
      <c r="A180" s="235">
        <v>2011</v>
      </c>
      <c r="B180" s="239">
        <f>'Purchased Power Model'!B208/1000000</f>
        <v>745.04919400000006</v>
      </c>
      <c r="C180" s="239">
        <f>'Purchased Power Model'!M208/1000000</f>
        <v>734.157347450879</v>
      </c>
      <c r="D180" s="260">
        <f t="shared" si="58"/>
        <v>-1.4618962931353785E-2</v>
      </c>
      <c r="E180" s="239">
        <f>'Purchased Power Model'!Q208/1000000</f>
        <v>734.32713647011803</v>
      </c>
      <c r="F180" s="261">
        <f t="shared" si="61"/>
        <v>1.0002312706122585</v>
      </c>
      <c r="G180" s="239">
        <f t="shared" si="60"/>
        <v>745.22150198325915</v>
      </c>
      <c r="I180" s="304"/>
    </row>
    <row r="181" spans="1:10" x14ac:dyDescent="0.3">
      <c r="A181" s="235">
        <v>2012</v>
      </c>
      <c r="B181" s="239">
        <f>'Purchased Power Model'!B209/1000000</f>
        <v>706.95351300000004</v>
      </c>
      <c r="C181" s="239">
        <f>'Purchased Power Model'!M209/1000000</f>
        <v>694.70103339093657</v>
      </c>
      <c r="D181" s="260">
        <f t="shared" si="58"/>
        <v>-1.7331379480765796E-2</v>
      </c>
      <c r="E181" s="239">
        <f>'Purchased Power Model'!Q209/1000000</f>
        <v>726.5059551753709</v>
      </c>
      <c r="F181" s="261">
        <f t="shared" si="61"/>
        <v>1.0457821714028406</v>
      </c>
      <c r="G181" s="239">
        <f t="shared" si="60"/>
        <v>739.31937990600636</v>
      </c>
      <c r="I181" s="304"/>
    </row>
    <row r="182" spans="1:10" x14ac:dyDescent="0.3">
      <c r="A182" s="235">
        <v>2013</v>
      </c>
      <c r="B182" s="239">
        <f>'Purchased Power Model'!B210/1000000</f>
        <v>730.56831099999999</v>
      </c>
      <c r="C182" s="239">
        <f>'Purchased Power Model'!M210/1000000</f>
        <v>714.6501295120961</v>
      </c>
      <c r="D182" s="260">
        <f t="shared" si="58"/>
        <v>-2.1788765332724558E-2</v>
      </c>
      <c r="E182" s="239">
        <f>'Purchased Power Model'!Q210/1000000</f>
        <v>724.4426004386039</v>
      </c>
      <c r="F182" s="261">
        <f t="shared" si="61"/>
        <v>1.0137024685536589</v>
      </c>
      <c r="G182" s="239">
        <f t="shared" si="60"/>
        <v>740.57890030777719</v>
      </c>
      <c r="I182" s="304"/>
    </row>
    <row r="183" spans="1:10" x14ac:dyDescent="0.3">
      <c r="A183" s="235">
        <v>2014</v>
      </c>
      <c r="B183" s="239">
        <f>'Purchased Power Model'!B211/1000000</f>
        <v>730.49028498999996</v>
      </c>
      <c r="C183" s="239">
        <f>'Purchased Power Model'!M211/1000000</f>
        <v>738.28935705702747</v>
      </c>
      <c r="D183" s="260">
        <f t="shared" si="58"/>
        <v>1.0676489786765941E-2</v>
      </c>
      <c r="E183" s="239">
        <f>'Purchased Power Model'!Q211/1000000</f>
        <v>707.95130563198961</v>
      </c>
      <c r="F183" s="261">
        <f t="shared" si="61"/>
        <v>0.95890764083885549</v>
      </c>
      <c r="G183" s="239">
        <f t="shared" si="60"/>
        <v>700.4727158354641</v>
      </c>
      <c r="I183" s="304"/>
    </row>
    <row r="184" spans="1:10" x14ac:dyDescent="0.3">
      <c r="A184" s="235">
        <v>2015</v>
      </c>
      <c r="B184" s="239">
        <f>'Purchased Power Model'!B212/1000000</f>
        <v>698.51737710999987</v>
      </c>
      <c r="C184" s="239">
        <f>'Purchased Power Model'!M212/1000000</f>
        <v>712.98367307175931</v>
      </c>
      <c r="D184" s="260">
        <f t="shared" si="58"/>
        <v>2.0710001548724932E-2</v>
      </c>
      <c r="E184" s="239">
        <f>'Purchased Power Model'!Q212/1000000</f>
        <v>700.43348719239702</v>
      </c>
      <c r="F184" s="261">
        <f t="shared" si="61"/>
        <v>0.98239765319549033</v>
      </c>
      <c r="G184" s="239">
        <f t="shared" si="60"/>
        <v>686.22183198913319</v>
      </c>
      <c r="I184" s="304"/>
    </row>
    <row r="185" spans="1:10" x14ac:dyDescent="0.3">
      <c r="A185" s="235">
        <v>2016</v>
      </c>
      <c r="B185" s="239">
        <f>'Purchased Power Model'!B213/1000000</f>
        <v>669.95846173000018</v>
      </c>
      <c r="C185" s="239">
        <f>'Purchased Power Model'!M213/1000000</f>
        <v>672.89377387281343</v>
      </c>
      <c r="D185" s="260">
        <f t="shared" si="58"/>
        <v>4.3813345311491947E-3</v>
      </c>
      <c r="E185" s="239">
        <f>'Purchased Power Model'!Q213/1000000</f>
        <v>678.23139787291973</v>
      </c>
      <c r="F185" s="261">
        <f t="shared" si="61"/>
        <v>1.0079323426777838</v>
      </c>
      <c r="G185" s="239">
        <f t="shared" si="60"/>
        <v>675.2728018283234</v>
      </c>
      <c r="I185" s="304"/>
    </row>
    <row r="186" spans="1:10" ht="12.75" customHeight="1" x14ac:dyDescent="0.3">
      <c r="A186" s="235" t="s">
        <v>199</v>
      </c>
      <c r="B186" s="262"/>
      <c r="C186" s="239">
        <f>'Purchased Power Model'!M214/1000000</f>
        <v>650.95750958071221</v>
      </c>
      <c r="D186" s="263"/>
      <c r="E186" s="239">
        <f>'Purchased Power Model'!Q214/1000000</f>
        <v>658.2568954808811</v>
      </c>
      <c r="F186" s="261">
        <f t="shared" si="61"/>
        <v>1.0112133062338746</v>
      </c>
      <c r="G186" s="239"/>
    </row>
    <row r="187" spans="1:10" x14ac:dyDescent="0.3">
      <c r="A187" s="235" t="s">
        <v>200</v>
      </c>
      <c r="B187" s="262"/>
      <c r="C187" s="239">
        <f>'Purchased Power Model'!M215/1000000</f>
        <v>646.08081026982495</v>
      </c>
      <c r="D187" s="263"/>
      <c r="E187" s="239">
        <f>'Purchased Power Model'!Q215/1000000</f>
        <v>646.08081026982495</v>
      </c>
      <c r="F187" s="261">
        <f t="shared" si="61"/>
        <v>1</v>
      </c>
      <c r="G187" s="239"/>
    </row>
    <row r="188" spans="1:10" s="265" customFormat="1" x14ac:dyDescent="0.3">
      <c r="A188" s="235" t="s">
        <v>229</v>
      </c>
      <c r="B188" s="257"/>
      <c r="C188" s="239">
        <f>'Purchased Power Model'!N235/1000000</f>
        <v>644.07719694732623</v>
      </c>
      <c r="D188" s="260"/>
      <c r="E188" s="239">
        <f t="shared" ref="E188" si="62">C188</f>
        <v>644.07719694732623</v>
      </c>
      <c r="F188" s="261">
        <f t="shared" si="61"/>
        <v>1</v>
      </c>
      <c r="G188" s="264"/>
    </row>
    <row r="190" spans="1:10" s="308" customFormat="1" x14ac:dyDescent="0.3">
      <c r="A190" s="305" t="s">
        <v>240</v>
      </c>
      <c r="B190" s="306"/>
      <c r="C190" s="306"/>
      <c r="D190" s="306"/>
      <c r="E190" s="306"/>
      <c r="F190" s="306"/>
      <c r="G190" s="306"/>
      <c r="H190" s="306"/>
      <c r="I190" s="254"/>
      <c r="J190" s="307"/>
    </row>
    <row r="191" spans="1:10" s="308" customFormat="1" ht="46.8" x14ac:dyDescent="0.3">
      <c r="A191" s="284" t="s">
        <v>143</v>
      </c>
      <c r="B191" s="285" t="str">
        <f>B83</f>
        <v xml:space="preserve">Residential </v>
      </c>
      <c r="C191" s="285" t="str">
        <f t="shared" ref="C191:H191" si="63">C83</f>
        <v>General Service &lt; 50 kW</v>
      </c>
      <c r="D191" s="285" t="str">
        <f t="shared" si="63"/>
        <v>General Service 50 to 4,999 kW</v>
      </c>
      <c r="E191" s="285" t="str">
        <f t="shared" si="63"/>
        <v>Sentinel Lighting</v>
      </c>
      <c r="F191" s="285" t="str">
        <f t="shared" si="63"/>
        <v>Street Lights</v>
      </c>
      <c r="G191" s="285" t="str">
        <f t="shared" si="63"/>
        <v xml:space="preserve">Unmetered Scattered Load </v>
      </c>
      <c r="H191" s="285" t="str">
        <f t="shared" si="63"/>
        <v>Total</v>
      </c>
      <c r="I191" s="254"/>
      <c r="J191" s="254"/>
    </row>
    <row r="192" spans="1:10" s="308" customFormat="1" x14ac:dyDescent="0.3">
      <c r="A192" s="411" t="s">
        <v>150</v>
      </c>
      <c r="B192" s="411"/>
      <c r="C192" s="411"/>
      <c r="D192" s="411"/>
      <c r="E192" s="411"/>
      <c r="F192" s="411"/>
      <c r="G192" s="411"/>
      <c r="H192" s="411"/>
      <c r="I192" s="254"/>
      <c r="J192" s="254"/>
    </row>
    <row r="193" spans="1:10" s="308" customFormat="1" x14ac:dyDescent="0.3">
      <c r="A193" s="311">
        <v>2003</v>
      </c>
      <c r="B193" s="320">
        <f>'Rate Class Customer Model'!B4</f>
        <v>28544</v>
      </c>
      <c r="C193" s="320">
        <f>'Rate Class Customer Model'!C4</f>
        <v>3230</v>
      </c>
      <c r="D193" s="320">
        <f>'Rate Class Customer Model'!D4</f>
        <v>419</v>
      </c>
      <c r="E193" s="320">
        <f>'Rate Class Customer Model'!E4</f>
        <v>466</v>
      </c>
      <c r="F193" s="320">
        <f>'Rate Class Customer Model'!F4</f>
        <v>8619</v>
      </c>
      <c r="G193" s="320">
        <f>'Rate Class Customer Model'!G4</f>
        <v>12</v>
      </c>
      <c r="H193" s="320">
        <f>SUM(B193:G193)</f>
        <v>41290</v>
      </c>
      <c r="I193" s="254"/>
      <c r="J193" s="254"/>
    </row>
    <row r="194" spans="1:10" s="308" customFormat="1" x14ac:dyDescent="0.3">
      <c r="A194" s="311">
        <v>2004</v>
      </c>
      <c r="B194" s="320">
        <f>'Rate Class Customer Model'!B5</f>
        <v>28560</v>
      </c>
      <c r="C194" s="320">
        <f>'Rate Class Customer Model'!C5</f>
        <v>3247</v>
      </c>
      <c r="D194" s="320">
        <f>'Rate Class Customer Model'!D5</f>
        <v>424</v>
      </c>
      <c r="E194" s="320">
        <f>'Rate Class Customer Model'!E5</f>
        <v>466</v>
      </c>
      <c r="F194" s="320">
        <f>'Rate Class Customer Model'!F5</f>
        <v>8635</v>
      </c>
      <c r="G194" s="320">
        <f>'Rate Class Customer Model'!G5</f>
        <v>19</v>
      </c>
      <c r="H194" s="320">
        <f t="shared" ref="H194:H206" si="64">SUM(B194:G194)</f>
        <v>41351</v>
      </c>
      <c r="I194" s="254"/>
      <c r="J194" s="254"/>
    </row>
    <row r="195" spans="1:10" s="308" customFormat="1" x14ac:dyDescent="0.3">
      <c r="A195" s="311">
        <v>2005</v>
      </c>
      <c r="B195" s="320">
        <f>'Rate Class Customer Model'!B6</f>
        <v>28576</v>
      </c>
      <c r="C195" s="320">
        <f>'Rate Class Customer Model'!C6</f>
        <v>3274</v>
      </c>
      <c r="D195" s="320">
        <f>'Rate Class Customer Model'!D6</f>
        <v>431</v>
      </c>
      <c r="E195" s="320">
        <f>'Rate Class Customer Model'!E6</f>
        <v>459</v>
      </c>
      <c r="F195" s="320">
        <f>'Rate Class Customer Model'!F6</f>
        <v>8642</v>
      </c>
      <c r="G195" s="320">
        <f>'Rate Class Customer Model'!G6</f>
        <v>27</v>
      </c>
      <c r="H195" s="320">
        <f t="shared" si="64"/>
        <v>41409</v>
      </c>
      <c r="I195" s="254"/>
      <c r="J195" s="254"/>
    </row>
    <row r="196" spans="1:10" s="308" customFormat="1" x14ac:dyDescent="0.3">
      <c r="A196" s="311">
        <v>2006</v>
      </c>
      <c r="B196" s="320">
        <f>'Rate Class Customer Model'!B7</f>
        <v>28596</v>
      </c>
      <c r="C196" s="320">
        <f>'Rate Class Customer Model'!C7</f>
        <v>3301</v>
      </c>
      <c r="D196" s="320">
        <f>'Rate Class Customer Model'!D7</f>
        <v>432</v>
      </c>
      <c r="E196" s="320">
        <f>'Rate Class Customer Model'!E7</f>
        <v>449</v>
      </c>
      <c r="F196" s="320">
        <f>'Rate Class Customer Model'!F7</f>
        <v>8663</v>
      </c>
      <c r="G196" s="320">
        <f>'Rate Class Customer Model'!G7</f>
        <v>28</v>
      </c>
      <c r="H196" s="320">
        <f t="shared" si="64"/>
        <v>41469</v>
      </c>
      <c r="I196" s="254"/>
      <c r="J196" s="254"/>
    </row>
    <row r="197" spans="1:10" s="308" customFormat="1" x14ac:dyDescent="0.3">
      <c r="A197" s="311">
        <v>2007</v>
      </c>
      <c r="B197" s="320">
        <f>'Rate Class Customer Model'!B8</f>
        <v>28630</v>
      </c>
      <c r="C197" s="320">
        <f>'Rate Class Customer Model'!C8</f>
        <v>3302</v>
      </c>
      <c r="D197" s="320">
        <f>'Rate Class Customer Model'!D8</f>
        <v>429</v>
      </c>
      <c r="E197" s="320">
        <f>'Rate Class Customer Model'!E8</f>
        <v>443</v>
      </c>
      <c r="F197" s="320">
        <f>'Rate Class Customer Model'!F8</f>
        <v>8707</v>
      </c>
      <c r="G197" s="320">
        <f>'Rate Class Customer Model'!G8</f>
        <v>27</v>
      </c>
      <c r="H197" s="320">
        <f t="shared" si="64"/>
        <v>41538</v>
      </c>
      <c r="I197" s="254"/>
      <c r="J197" s="254"/>
    </row>
    <row r="198" spans="1:10" s="308" customFormat="1" x14ac:dyDescent="0.3">
      <c r="A198" s="311">
        <v>2008</v>
      </c>
      <c r="B198" s="320">
        <f>'Rate Class Customer Model'!B9</f>
        <v>28780</v>
      </c>
      <c r="C198" s="320">
        <f>'Rate Class Customer Model'!C9</f>
        <v>3325</v>
      </c>
      <c r="D198" s="320">
        <f>'Rate Class Customer Model'!D9</f>
        <v>426</v>
      </c>
      <c r="E198" s="320">
        <f>'Rate Class Customer Model'!E9</f>
        <v>435</v>
      </c>
      <c r="F198" s="320">
        <f>'Rate Class Customer Model'!F9</f>
        <v>8741</v>
      </c>
      <c r="G198" s="320">
        <f>'Rate Class Customer Model'!G9</f>
        <v>22</v>
      </c>
      <c r="H198" s="320">
        <f t="shared" si="64"/>
        <v>41729</v>
      </c>
      <c r="I198" s="254"/>
      <c r="J198" s="254"/>
    </row>
    <row r="199" spans="1:10" s="308" customFormat="1" x14ac:dyDescent="0.3">
      <c r="A199" s="311">
        <v>2009</v>
      </c>
      <c r="B199" s="320">
        <f>'Rate Class Customer Model'!B10</f>
        <v>28971</v>
      </c>
      <c r="C199" s="320">
        <f>'Rate Class Customer Model'!C10</f>
        <v>3352</v>
      </c>
      <c r="D199" s="320">
        <f>'Rate Class Customer Model'!D10</f>
        <v>433</v>
      </c>
      <c r="E199" s="320">
        <f>'Rate Class Customer Model'!E10</f>
        <v>423</v>
      </c>
      <c r="F199" s="320">
        <f>'Rate Class Customer Model'!F10</f>
        <v>8799</v>
      </c>
      <c r="G199" s="320">
        <f>'Rate Class Customer Model'!G10</f>
        <v>17</v>
      </c>
      <c r="H199" s="320">
        <f t="shared" si="64"/>
        <v>41995</v>
      </c>
      <c r="I199" s="254"/>
      <c r="J199" s="254"/>
    </row>
    <row r="200" spans="1:10" s="308" customFormat="1" x14ac:dyDescent="0.3">
      <c r="A200" s="311">
        <v>2010</v>
      </c>
      <c r="B200" s="320">
        <f>'Rate Class Customer Model'!B11</f>
        <v>29057</v>
      </c>
      <c r="C200" s="320">
        <f>'Rate Class Customer Model'!C11</f>
        <v>3345</v>
      </c>
      <c r="D200" s="320">
        <f>'Rate Class Customer Model'!D11</f>
        <v>435</v>
      </c>
      <c r="E200" s="320">
        <f>'Rate Class Customer Model'!E11</f>
        <v>411</v>
      </c>
      <c r="F200" s="320">
        <f>'Rate Class Customer Model'!F11</f>
        <v>8846</v>
      </c>
      <c r="G200" s="320">
        <f>'Rate Class Customer Model'!G11</f>
        <v>16</v>
      </c>
      <c r="H200" s="320">
        <f t="shared" si="64"/>
        <v>42110</v>
      </c>
      <c r="I200" s="254"/>
      <c r="J200" s="254"/>
    </row>
    <row r="201" spans="1:10" s="308" customFormat="1" x14ac:dyDescent="0.3">
      <c r="A201" s="311">
        <v>2011</v>
      </c>
      <c r="B201" s="320">
        <f>'Rate Class Customer Model'!B12</f>
        <v>29124</v>
      </c>
      <c r="C201" s="320">
        <f>'Rate Class Customer Model'!C12</f>
        <v>3366</v>
      </c>
      <c r="D201" s="320">
        <f>'Rate Class Customer Model'!D12</f>
        <v>403</v>
      </c>
      <c r="E201" s="320">
        <f>'Rate Class Customer Model'!E12</f>
        <v>402</v>
      </c>
      <c r="F201" s="320">
        <f>'Rate Class Customer Model'!F12</f>
        <v>8846</v>
      </c>
      <c r="G201" s="320">
        <f>'Rate Class Customer Model'!G12</f>
        <v>19</v>
      </c>
      <c r="H201" s="320">
        <f t="shared" si="64"/>
        <v>42160</v>
      </c>
      <c r="I201" s="254"/>
      <c r="J201" s="254"/>
    </row>
    <row r="202" spans="1:10" s="308" customFormat="1" x14ac:dyDescent="0.3">
      <c r="A202" s="311">
        <v>2012</v>
      </c>
      <c r="B202" s="320">
        <f>'Rate Class Customer Model'!B13</f>
        <v>29327</v>
      </c>
      <c r="C202" s="320">
        <f>'Rate Class Customer Model'!C13</f>
        <v>3448</v>
      </c>
      <c r="D202" s="320">
        <f>'Rate Class Customer Model'!D13</f>
        <v>366</v>
      </c>
      <c r="E202" s="320">
        <f>'Rate Class Customer Model'!E13</f>
        <v>392</v>
      </c>
      <c r="F202" s="320">
        <f>'Rate Class Customer Model'!F13</f>
        <v>8846</v>
      </c>
      <c r="G202" s="320">
        <f>'Rate Class Customer Model'!G13</f>
        <v>21</v>
      </c>
      <c r="H202" s="320">
        <f t="shared" si="64"/>
        <v>42400</v>
      </c>
      <c r="I202" s="254"/>
      <c r="J202" s="254"/>
    </row>
    <row r="203" spans="1:10" s="308" customFormat="1" x14ac:dyDescent="0.3">
      <c r="A203" s="311">
        <v>2013</v>
      </c>
      <c r="B203" s="320">
        <f>'Rate Class Customer Model'!B14</f>
        <v>29504</v>
      </c>
      <c r="C203" s="320">
        <f>'Rate Class Customer Model'!C14</f>
        <v>3474</v>
      </c>
      <c r="D203" s="320">
        <f>'Rate Class Customer Model'!D14</f>
        <v>373</v>
      </c>
      <c r="E203" s="320">
        <f>'Rate Class Customer Model'!E14</f>
        <v>374</v>
      </c>
      <c r="F203" s="320">
        <f>'Rate Class Customer Model'!F14</f>
        <v>8846</v>
      </c>
      <c r="G203" s="320">
        <f>'Rate Class Customer Model'!G14</f>
        <v>21</v>
      </c>
      <c r="H203" s="320">
        <f t="shared" si="64"/>
        <v>42592</v>
      </c>
      <c r="I203" s="254"/>
      <c r="J203" s="254"/>
    </row>
    <row r="204" spans="1:10" s="308" customFormat="1" x14ac:dyDescent="0.3">
      <c r="A204" s="311">
        <v>2014</v>
      </c>
      <c r="B204" s="320">
        <f>'Rate Class Customer Model'!B15</f>
        <v>29514</v>
      </c>
      <c r="C204" s="320">
        <f>'Rate Class Customer Model'!C15</f>
        <v>3464</v>
      </c>
      <c r="D204" s="320">
        <f>'Rate Class Customer Model'!D15</f>
        <v>370</v>
      </c>
      <c r="E204" s="320">
        <f>'Rate Class Customer Model'!E15</f>
        <v>362</v>
      </c>
      <c r="F204" s="320">
        <f>'Rate Class Customer Model'!F15</f>
        <v>8846</v>
      </c>
      <c r="G204" s="320">
        <f>'Rate Class Customer Model'!G15</f>
        <v>21</v>
      </c>
      <c r="H204" s="320">
        <f t="shared" si="64"/>
        <v>42577</v>
      </c>
      <c r="I204" s="254"/>
      <c r="J204" s="254"/>
    </row>
    <row r="205" spans="1:10" s="308" customFormat="1" x14ac:dyDescent="0.3">
      <c r="A205" s="311">
        <v>2015</v>
      </c>
      <c r="B205" s="320">
        <f>'Rate Class Customer Model'!B16</f>
        <v>29566</v>
      </c>
      <c r="C205" s="320">
        <f>'Rate Class Customer Model'!C16</f>
        <v>3431</v>
      </c>
      <c r="D205" s="320">
        <f>'Rate Class Customer Model'!D16</f>
        <v>373</v>
      </c>
      <c r="E205" s="320">
        <f>'Rate Class Customer Model'!E16</f>
        <v>360</v>
      </c>
      <c r="F205" s="320">
        <f>'Rate Class Customer Model'!F16</f>
        <v>8839</v>
      </c>
      <c r="G205" s="320">
        <f>'Rate Class Customer Model'!G16</f>
        <v>21</v>
      </c>
      <c r="H205" s="320">
        <f t="shared" si="64"/>
        <v>42590</v>
      </c>
      <c r="I205" s="254"/>
      <c r="J205" s="254"/>
    </row>
    <row r="206" spans="1:10" s="308" customFormat="1" x14ac:dyDescent="0.3">
      <c r="A206" s="311">
        <v>2016</v>
      </c>
      <c r="B206" s="320">
        <f>'Rate Class Customer Model'!B17</f>
        <v>29620</v>
      </c>
      <c r="C206" s="320">
        <f>'Rate Class Customer Model'!C17</f>
        <v>3414</v>
      </c>
      <c r="D206" s="320">
        <f>'Rate Class Customer Model'!D17</f>
        <v>361</v>
      </c>
      <c r="E206" s="320">
        <f>'Rate Class Customer Model'!E17</f>
        <v>362</v>
      </c>
      <c r="F206" s="320">
        <f>'Rate Class Customer Model'!F17</f>
        <v>8872</v>
      </c>
      <c r="G206" s="320">
        <f>'Rate Class Customer Model'!G17</f>
        <v>21</v>
      </c>
      <c r="H206" s="320">
        <f t="shared" si="64"/>
        <v>42650</v>
      </c>
      <c r="I206" s="254"/>
      <c r="J206" s="254"/>
    </row>
    <row r="207" spans="1:10" s="308" customFormat="1" x14ac:dyDescent="0.3">
      <c r="A207" s="313"/>
      <c r="B207" s="314"/>
      <c r="C207" s="314"/>
      <c r="D207" s="314"/>
      <c r="E207" s="314"/>
      <c r="F207" s="314"/>
      <c r="G207" s="314"/>
      <c r="H207" s="314"/>
      <c r="I207" s="314"/>
      <c r="J207" s="314"/>
    </row>
    <row r="208" spans="1:10" s="308" customFormat="1" x14ac:dyDescent="0.3"/>
    <row r="209" spans="1:10" s="308" customFormat="1" x14ac:dyDescent="0.3">
      <c r="A209" s="444" t="s">
        <v>241</v>
      </c>
      <c r="B209" s="445"/>
      <c r="C209" s="445"/>
      <c r="D209" s="445"/>
      <c r="E209" s="445"/>
      <c r="F209" s="445"/>
    </row>
    <row r="210" spans="1:10" s="308" customFormat="1" ht="46.8" x14ac:dyDescent="0.3">
      <c r="A210" s="284" t="s">
        <v>143</v>
      </c>
      <c r="B210" s="285" t="str">
        <f t="shared" ref="B210:G210" si="65">B191</f>
        <v xml:space="preserve">Residential </v>
      </c>
      <c r="C210" s="285" t="str">
        <f t="shared" si="65"/>
        <v>General Service &lt; 50 kW</v>
      </c>
      <c r="D210" s="285" t="str">
        <f t="shared" si="65"/>
        <v>General Service 50 to 4,999 kW</v>
      </c>
      <c r="E210" s="285" t="str">
        <f t="shared" si="65"/>
        <v>Sentinel Lighting</v>
      </c>
      <c r="F210" s="285" t="str">
        <f t="shared" si="65"/>
        <v>Street Lights</v>
      </c>
      <c r="G210" s="285" t="str">
        <f t="shared" si="65"/>
        <v xml:space="preserve">Unmetered Scattered Load </v>
      </c>
      <c r="H210"/>
      <c r="I210"/>
      <c r="J210"/>
    </row>
    <row r="211" spans="1:10" s="308" customFormat="1" x14ac:dyDescent="0.3">
      <c r="A211" s="411" t="s">
        <v>158</v>
      </c>
      <c r="B211" s="411"/>
      <c r="C211" s="411"/>
      <c r="D211" s="411"/>
      <c r="E211" s="411"/>
      <c r="F211" s="411"/>
      <c r="G211" s="411"/>
      <c r="H211"/>
      <c r="I211"/>
      <c r="J211"/>
    </row>
    <row r="212" spans="1:10" s="308" customFormat="1" x14ac:dyDescent="0.3">
      <c r="A212" s="315">
        <f t="shared" ref="A212:A215" si="66">A193</f>
        <v>2003</v>
      </c>
      <c r="B212" s="322"/>
      <c r="C212" s="322"/>
      <c r="D212" s="322"/>
      <c r="E212" s="322"/>
      <c r="F212" s="322"/>
      <c r="G212" s="322"/>
      <c r="H212"/>
      <c r="I212"/>
      <c r="J212"/>
    </row>
    <row r="213" spans="1:10" s="308" customFormat="1" x14ac:dyDescent="0.3">
      <c r="A213" s="315">
        <f t="shared" si="66"/>
        <v>2004</v>
      </c>
      <c r="B213" s="316">
        <f>B194/B193-1</f>
        <v>5.605381165918466E-4</v>
      </c>
      <c r="C213" s="316">
        <f t="shared" ref="C213:G213" si="67">C194/C193-1</f>
        <v>5.2631578947368585E-3</v>
      </c>
      <c r="D213" s="316">
        <f t="shared" si="67"/>
        <v>1.193317422434359E-2</v>
      </c>
      <c r="E213" s="316">
        <f t="shared" si="67"/>
        <v>0</v>
      </c>
      <c r="F213" s="316">
        <f t="shared" si="67"/>
        <v>1.8563638473141353E-3</v>
      </c>
      <c r="G213" s="316">
        <f t="shared" si="67"/>
        <v>0.58333333333333326</v>
      </c>
      <c r="H213"/>
      <c r="I213"/>
      <c r="J213"/>
    </row>
    <row r="214" spans="1:10" s="308" customFormat="1" x14ac:dyDescent="0.3">
      <c r="A214" s="315">
        <f t="shared" si="66"/>
        <v>2005</v>
      </c>
      <c r="B214" s="316">
        <f t="shared" ref="B214:G225" si="68">B195/B194-1</f>
        <v>5.6022408963585235E-4</v>
      </c>
      <c r="C214" s="316">
        <f t="shared" si="68"/>
        <v>8.3153680320295909E-3</v>
      </c>
      <c r="D214" s="316">
        <f t="shared" si="68"/>
        <v>1.6509433962264231E-2</v>
      </c>
      <c r="E214" s="316">
        <f t="shared" si="68"/>
        <v>-1.5021459227467782E-2</v>
      </c>
      <c r="F214" s="316">
        <f t="shared" si="68"/>
        <v>8.1065431383908759E-4</v>
      </c>
      <c r="G214" s="316">
        <f t="shared" si="68"/>
        <v>0.42105263157894735</v>
      </c>
      <c r="H214"/>
      <c r="I214"/>
      <c r="J214"/>
    </row>
    <row r="215" spans="1:10" s="308" customFormat="1" x14ac:dyDescent="0.3">
      <c r="A215" s="315">
        <f t="shared" si="66"/>
        <v>2006</v>
      </c>
      <c r="B215" s="316">
        <f t="shared" si="68"/>
        <v>6.9988801791720512E-4</v>
      </c>
      <c r="C215" s="316">
        <f t="shared" si="68"/>
        <v>8.2467929138667628E-3</v>
      </c>
      <c r="D215" s="316">
        <f t="shared" si="68"/>
        <v>2.3201856148491462E-3</v>
      </c>
      <c r="E215" s="316">
        <f t="shared" si="68"/>
        <v>-2.1786492374727628E-2</v>
      </c>
      <c r="F215" s="316">
        <f t="shared" si="68"/>
        <v>2.4299930571627382E-3</v>
      </c>
      <c r="G215" s="316">
        <f t="shared" si="68"/>
        <v>3.7037037037036979E-2</v>
      </c>
      <c r="H215"/>
      <c r="I215"/>
      <c r="J215"/>
    </row>
    <row r="216" spans="1:10" s="308" customFormat="1" x14ac:dyDescent="0.3">
      <c r="A216" s="315">
        <f t="shared" ref="A216:A225" si="69">A197</f>
        <v>2007</v>
      </c>
      <c r="B216" s="316">
        <f t="shared" si="68"/>
        <v>1.1889774793676366E-3</v>
      </c>
      <c r="C216" s="316">
        <f t="shared" si="68"/>
        <v>3.0293850348384055E-4</v>
      </c>
      <c r="D216" s="316">
        <f t="shared" si="68"/>
        <v>-6.9444444444444198E-3</v>
      </c>
      <c r="E216" s="316">
        <f t="shared" si="68"/>
        <v>-1.3363028953229383E-2</v>
      </c>
      <c r="F216" s="316">
        <f t="shared" si="68"/>
        <v>5.079071915041089E-3</v>
      </c>
      <c r="G216" s="316">
        <f t="shared" si="68"/>
        <v>-3.5714285714285698E-2</v>
      </c>
      <c r="H216"/>
      <c r="I216"/>
      <c r="J216"/>
    </row>
    <row r="217" spans="1:10" s="308" customFormat="1" x14ac:dyDescent="0.3">
      <c r="A217" s="315">
        <f t="shared" si="69"/>
        <v>2008</v>
      </c>
      <c r="B217" s="316">
        <f t="shared" si="68"/>
        <v>5.239259517988204E-3</v>
      </c>
      <c r="C217" s="316">
        <f t="shared" si="68"/>
        <v>6.9654754694123966E-3</v>
      </c>
      <c r="D217" s="316">
        <f t="shared" si="68"/>
        <v>-6.9930069930069783E-3</v>
      </c>
      <c r="E217" s="316">
        <f t="shared" si="68"/>
        <v>-1.8058690744920947E-2</v>
      </c>
      <c r="F217" s="316">
        <f t="shared" si="68"/>
        <v>3.9049041001493201E-3</v>
      </c>
      <c r="G217" s="316">
        <f t="shared" si="68"/>
        <v>-0.18518518518518523</v>
      </c>
      <c r="H217"/>
      <c r="I217"/>
      <c r="J217"/>
    </row>
    <row r="218" spans="1:10" s="308" customFormat="1" x14ac:dyDescent="0.3">
      <c r="A218" s="315">
        <f t="shared" si="69"/>
        <v>2009</v>
      </c>
      <c r="B218" s="316">
        <f t="shared" si="68"/>
        <v>6.636553161917913E-3</v>
      </c>
      <c r="C218" s="316">
        <f t="shared" si="68"/>
        <v>8.1203007518797499E-3</v>
      </c>
      <c r="D218" s="316">
        <f t="shared" si="68"/>
        <v>1.6431924882629012E-2</v>
      </c>
      <c r="E218" s="316">
        <f t="shared" si="68"/>
        <v>-2.7586206896551779E-2</v>
      </c>
      <c r="F218" s="316">
        <f t="shared" si="68"/>
        <v>6.6353964077336958E-3</v>
      </c>
      <c r="G218" s="316">
        <f t="shared" si="68"/>
        <v>-0.22727272727272729</v>
      </c>
      <c r="H218"/>
      <c r="I218"/>
      <c r="J218"/>
    </row>
    <row r="219" spans="1:10" s="308" customFormat="1" x14ac:dyDescent="0.3">
      <c r="A219" s="315">
        <f t="shared" si="69"/>
        <v>2010</v>
      </c>
      <c r="B219" s="316">
        <f t="shared" si="68"/>
        <v>2.9684857271063958E-3</v>
      </c>
      <c r="C219" s="316">
        <f t="shared" si="68"/>
        <v>-2.0883054892600894E-3</v>
      </c>
      <c r="D219" s="316">
        <f t="shared" si="68"/>
        <v>4.6189376443417363E-3</v>
      </c>
      <c r="E219" s="316">
        <f t="shared" si="68"/>
        <v>-2.8368794326241176E-2</v>
      </c>
      <c r="F219" s="316">
        <f t="shared" si="68"/>
        <v>5.341516081372788E-3</v>
      </c>
      <c r="G219" s="316">
        <f t="shared" si="68"/>
        <v>-5.8823529411764719E-2</v>
      </c>
      <c r="H219"/>
      <c r="I219"/>
      <c r="J219"/>
    </row>
    <row r="220" spans="1:10" s="308" customFormat="1" x14ac:dyDescent="0.3">
      <c r="A220" s="315">
        <f t="shared" si="69"/>
        <v>2011</v>
      </c>
      <c r="B220" s="316">
        <f t="shared" si="68"/>
        <v>2.3058127129436112E-3</v>
      </c>
      <c r="C220" s="316">
        <f t="shared" si="68"/>
        <v>6.2780269058295701E-3</v>
      </c>
      <c r="D220" s="316">
        <f t="shared" si="68"/>
        <v>-7.3563218390804597E-2</v>
      </c>
      <c r="E220" s="316">
        <f t="shared" si="68"/>
        <v>-2.1897810218978075E-2</v>
      </c>
      <c r="F220" s="316">
        <f t="shared" si="68"/>
        <v>0</v>
      </c>
      <c r="G220" s="316">
        <f t="shared" si="68"/>
        <v>0.1875</v>
      </c>
      <c r="H220"/>
      <c r="I220"/>
      <c r="J220"/>
    </row>
    <row r="221" spans="1:10" s="308" customFormat="1" x14ac:dyDescent="0.3">
      <c r="A221" s="315">
        <f t="shared" si="69"/>
        <v>2012</v>
      </c>
      <c r="B221" s="316">
        <f t="shared" si="68"/>
        <v>6.9701964015931317E-3</v>
      </c>
      <c r="C221" s="316">
        <f t="shared" si="68"/>
        <v>2.4361259655377276E-2</v>
      </c>
      <c r="D221" s="316">
        <f t="shared" si="68"/>
        <v>-9.1811414392059532E-2</v>
      </c>
      <c r="E221" s="316">
        <f t="shared" si="68"/>
        <v>-2.4875621890547261E-2</v>
      </c>
      <c r="F221" s="316">
        <f t="shared" si="68"/>
        <v>0</v>
      </c>
      <c r="G221" s="316">
        <f t="shared" si="68"/>
        <v>0.10526315789473695</v>
      </c>
      <c r="H221"/>
      <c r="I221"/>
      <c r="J221"/>
    </row>
    <row r="222" spans="1:10" s="308" customFormat="1" x14ac:dyDescent="0.3">
      <c r="A222" s="315">
        <f t="shared" si="69"/>
        <v>2013</v>
      </c>
      <c r="B222" s="316">
        <f t="shared" si="68"/>
        <v>6.0353940055239974E-3</v>
      </c>
      <c r="C222" s="316">
        <f t="shared" si="68"/>
        <v>7.5406032482598917E-3</v>
      </c>
      <c r="D222" s="316">
        <f t="shared" si="68"/>
        <v>1.91256830601092E-2</v>
      </c>
      <c r="E222" s="316">
        <f t="shared" si="68"/>
        <v>-4.5918367346938771E-2</v>
      </c>
      <c r="F222" s="316">
        <f t="shared" si="68"/>
        <v>0</v>
      </c>
      <c r="G222" s="316">
        <f t="shared" si="68"/>
        <v>0</v>
      </c>
      <c r="H222"/>
      <c r="I222"/>
      <c r="J222"/>
    </row>
    <row r="223" spans="1:10" s="308" customFormat="1" x14ac:dyDescent="0.3">
      <c r="A223" s="315">
        <f t="shared" si="69"/>
        <v>2014</v>
      </c>
      <c r="B223" s="316">
        <f t="shared" si="68"/>
        <v>3.3893709327559307E-4</v>
      </c>
      <c r="C223" s="316">
        <f t="shared" si="68"/>
        <v>-2.8785261945883933E-3</v>
      </c>
      <c r="D223" s="316">
        <f t="shared" si="68"/>
        <v>-8.0428954423592547E-3</v>
      </c>
      <c r="E223" s="316">
        <f t="shared" si="68"/>
        <v>-3.208556149732622E-2</v>
      </c>
      <c r="F223" s="316">
        <f t="shared" si="68"/>
        <v>0</v>
      </c>
      <c r="G223" s="316">
        <f t="shared" si="68"/>
        <v>0</v>
      </c>
      <c r="H223"/>
      <c r="I223"/>
      <c r="J223"/>
    </row>
    <row r="224" spans="1:10" s="308" customFormat="1" x14ac:dyDescent="0.3">
      <c r="A224" s="315">
        <f t="shared" si="69"/>
        <v>2015</v>
      </c>
      <c r="B224" s="316">
        <f t="shared" si="68"/>
        <v>1.7618757199973079E-3</v>
      </c>
      <c r="C224" s="316">
        <f t="shared" si="68"/>
        <v>-9.5265588914549282E-3</v>
      </c>
      <c r="D224" s="316">
        <f t="shared" si="68"/>
        <v>8.1081081081080253E-3</v>
      </c>
      <c r="E224" s="316">
        <f t="shared" si="68"/>
        <v>-5.5248618784530246E-3</v>
      </c>
      <c r="F224" s="316">
        <f t="shared" si="68"/>
        <v>-7.9131810988020135E-4</v>
      </c>
      <c r="G224" s="316">
        <f t="shared" si="68"/>
        <v>0</v>
      </c>
      <c r="H224"/>
      <c r="I224"/>
      <c r="J224"/>
    </row>
    <row r="225" spans="1:10" s="308" customFormat="1" x14ac:dyDescent="0.3">
      <c r="A225" s="315">
        <f t="shared" si="69"/>
        <v>2016</v>
      </c>
      <c r="B225" s="316">
        <f t="shared" si="68"/>
        <v>1.8264222417641029E-3</v>
      </c>
      <c r="C225" s="316">
        <f t="shared" si="68"/>
        <v>-4.9548236665695189E-3</v>
      </c>
      <c r="D225" s="316">
        <f t="shared" si="68"/>
        <v>-3.2171581769437019E-2</v>
      </c>
      <c r="E225" s="316">
        <f t="shared" si="68"/>
        <v>5.5555555555555358E-3</v>
      </c>
      <c r="F225" s="316">
        <f t="shared" si="68"/>
        <v>3.7334540106346292E-3</v>
      </c>
      <c r="G225" s="316">
        <f t="shared" si="68"/>
        <v>0</v>
      </c>
      <c r="H225"/>
      <c r="I225"/>
      <c r="J225"/>
    </row>
    <row r="226" spans="1:10" s="308" customFormat="1" x14ac:dyDescent="0.3">
      <c r="A226" s="317" t="s">
        <v>230</v>
      </c>
      <c r="B226" s="316">
        <f>'Rate Class Customer Model'!B40-1</f>
        <v>2.9096708981783959E-3</v>
      </c>
      <c r="C226" s="316">
        <f>'Rate Class Customer Model'!C40-1</f>
        <v>4.0281509859076969E-3</v>
      </c>
      <c r="D226" s="316">
        <f>'Rate Class Customer Model'!D40-1</f>
        <v>-1.0585924903955934E-2</v>
      </c>
      <c r="E226" s="316">
        <f>'Rate Class Customer Model'!E40-1</f>
        <v>-1.8070988108269126E-2</v>
      </c>
      <c r="F226" s="316">
        <f>'Rate Class Customer Model'!F40-1</f>
        <v>-4.6900803757096154E-3</v>
      </c>
      <c r="G226" s="316">
        <f>'Rate Class Customer Model'!G40-1</f>
        <v>4.078221086601852E-2</v>
      </c>
      <c r="H226"/>
      <c r="I226"/>
      <c r="J226"/>
    </row>
    <row r="227" spans="1:10" s="308" customFormat="1" x14ac:dyDescent="0.3">
      <c r="A227" s="313"/>
      <c r="B227" s="321"/>
      <c r="C227" s="321"/>
      <c r="D227" s="321"/>
      <c r="E227" s="321"/>
      <c r="F227" s="321"/>
      <c r="G227" s="321"/>
      <c r="H227" s="321"/>
      <c r="I227" s="321"/>
      <c r="J227" s="321"/>
    </row>
    <row r="228" spans="1:10" s="308" customFormat="1" x14ac:dyDescent="0.3">
      <c r="A228" s="446" t="s">
        <v>242</v>
      </c>
      <c r="B228" s="446"/>
      <c r="C228" s="446"/>
      <c r="D228" s="446"/>
      <c r="E228" s="446"/>
      <c r="F228" s="446"/>
      <c r="G228" s="446"/>
      <c r="H228" s="446"/>
      <c r="I228" s="446"/>
    </row>
    <row r="229" spans="1:10" s="308" customFormat="1" ht="46.8" x14ac:dyDescent="0.3">
      <c r="A229" s="284" t="str">
        <f t="shared" ref="A229:H229" si="70">A191</f>
        <v>Year</v>
      </c>
      <c r="B229" s="285" t="str">
        <f t="shared" si="70"/>
        <v xml:space="preserve">Residential </v>
      </c>
      <c r="C229" s="285" t="str">
        <f t="shared" si="70"/>
        <v>General Service &lt; 50 kW</v>
      </c>
      <c r="D229" s="285" t="str">
        <f t="shared" si="70"/>
        <v>General Service 50 to 4,999 kW</v>
      </c>
      <c r="E229" s="285" t="str">
        <f t="shared" si="70"/>
        <v>Sentinel Lighting</v>
      </c>
      <c r="F229" s="285" t="str">
        <f t="shared" si="70"/>
        <v>Street Lights</v>
      </c>
      <c r="G229" s="285" t="str">
        <f t="shared" si="70"/>
        <v xml:space="preserve">Unmetered Scattered Load </v>
      </c>
      <c r="H229" s="285" t="str">
        <f t="shared" si="70"/>
        <v>Total</v>
      </c>
      <c r="I229"/>
      <c r="J229"/>
    </row>
    <row r="230" spans="1:10" s="308" customFormat="1" x14ac:dyDescent="0.3">
      <c r="A230" s="411" t="s">
        <v>231</v>
      </c>
      <c r="B230" s="411"/>
      <c r="C230" s="411"/>
      <c r="D230" s="411"/>
      <c r="E230" s="411"/>
      <c r="F230" s="411"/>
      <c r="G230" s="411"/>
      <c r="H230" s="411"/>
      <c r="I230"/>
      <c r="J230"/>
    </row>
    <row r="231" spans="1:10" s="308" customFormat="1" x14ac:dyDescent="0.3">
      <c r="A231" s="318" t="str">
        <f>A186</f>
        <v>2017 Bridge</v>
      </c>
      <c r="B231" s="312">
        <f>'Rate Class Customer Model'!B18</f>
        <v>29729</v>
      </c>
      <c r="C231" s="312">
        <f>'Rate Class Customer Model'!C18</f>
        <v>3417</v>
      </c>
      <c r="D231" s="312">
        <f>'Rate Class Customer Model'!D18</f>
        <v>361</v>
      </c>
      <c r="E231" s="312">
        <f>'Rate Class Customer Model'!E18</f>
        <v>361</v>
      </c>
      <c r="F231" s="312">
        <f>'Rate Class Customer Model'!F18</f>
        <v>8070</v>
      </c>
      <c r="G231" s="312">
        <f>'Rate Class Customer Model'!G18</f>
        <v>21</v>
      </c>
      <c r="H231" s="312">
        <f>SUM(B231:G231)</f>
        <v>41959</v>
      </c>
      <c r="I231"/>
      <c r="J231"/>
    </row>
    <row r="232" spans="1:10" s="308" customFormat="1" x14ac:dyDescent="0.3">
      <c r="A232" s="318" t="str">
        <f>A187</f>
        <v>2018 Test</v>
      </c>
      <c r="B232" s="312">
        <f>'Rate Class Customer Model'!B19</f>
        <v>29815.501606131944</v>
      </c>
      <c r="C232" s="312">
        <f>'Rate Class Customer Model'!C19</f>
        <v>3430.7641919188468</v>
      </c>
      <c r="D232" s="312">
        <f>'Rate Class Customer Model'!D19</f>
        <v>357.17848110967191</v>
      </c>
      <c r="E232" s="312">
        <f>'Rate Class Customer Model'!E19</f>
        <v>354.47637329291484</v>
      </c>
      <c r="F232" s="312">
        <f>'Rate Class Customer Model'!F19</f>
        <v>8070</v>
      </c>
      <c r="G232" s="312">
        <f>'Rate Class Customer Model'!G19</f>
        <v>21.856426428186388</v>
      </c>
      <c r="H232" s="312">
        <f>SUM(B232:G232)</f>
        <v>42049.777078881569</v>
      </c>
      <c r="I232"/>
      <c r="J232"/>
    </row>
    <row r="233" spans="1:10" s="308" customFormat="1" x14ac:dyDescent="0.3"/>
    <row r="234" spans="1:10" s="308" customFormat="1" x14ac:dyDescent="0.3">
      <c r="A234" s="309" t="s">
        <v>243</v>
      </c>
      <c r="B234" s="310"/>
      <c r="C234" s="310"/>
      <c r="D234" s="310"/>
      <c r="E234" s="310"/>
      <c r="F234" s="310"/>
      <c r="G234" s="310"/>
      <c r="H234"/>
      <c r="I234"/>
      <c r="J234"/>
    </row>
    <row r="235" spans="1:10" s="308" customFormat="1" ht="46.8" x14ac:dyDescent="0.3">
      <c r="A235" s="284" t="s">
        <v>143</v>
      </c>
      <c r="B235" s="285" t="str">
        <f>B229</f>
        <v xml:space="preserve">Residential </v>
      </c>
      <c r="C235" s="285" t="str">
        <f t="shared" ref="C235:G235" si="71">C229</f>
        <v>General Service &lt; 50 kW</v>
      </c>
      <c r="D235" s="285" t="str">
        <f t="shared" si="71"/>
        <v>General Service 50 to 4,999 kW</v>
      </c>
      <c r="E235" s="285" t="str">
        <f t="shared" si="71"/>
        <v>Sentinel Lighting</v>
      </c>
      <c r="F235" s="285" t="str">
        <f t="shared" si="71"/>
        <v>Street Lights</v>
      </c>
      <c r="G235" s="285" t="str">
        <f t="shared" si="71"/>
        <v xml:space="preserve">Unmetered Scattered Load </v>
      </c>
      <c r="H235"/>
      <c r="I235"/>
      <c r="J235"/>
    </row>
    <row r="236" spans="1:10" s="308" customFormat="1" x14ac:dyDescent="0.3">
      <c r="A236" s="411" t="s">
        <v>232</v>
      </c>
      <c r="B236" s="411"/>
      <c r="C236" s="411"/>
      <c r="D236" s="411"/>
      <c r="E236" s="411"/>
      <c r="F236" s="411"/>
      <c r="G236" s="411"/>
      <c r="H236"/>
      <c r="I236"/>
      <c r="J236"/>
    </row>
    <row r="237" spans="1:10" s="308" customFormat="1" x14ac:dyDescent="0.3">
      <c r="A237" s="311">
        <v>2016</v>
      </c>
      <c r="B237" s="312">
        <f>'Rate Class Energy Model'!H49</f>
        <v>9748.3621336934502</v>
      </c>
      <c r="C237" s="312">
        <f>'Rate Class Energy Model'!I49</f>
        <v>26999.120093731693</v>
      </c>
      <c r="D237" s="312">
        <f>'Rate Class Energy Model'!J49</f>
        <v>692396.6149584488</v>
      </c>
      <c r="E237" s="312">
        <f>'Rate Class Energy Model'!K49</f>
        <v>627.22596685082874</v>
      </c>
      <c r="F237" s="312">
        <f>'Rate Class Energy Model'!L49</f>
        <v>548.83646302975649</v>
      </c>
      <c r="G237" s="312">
        <f>'Rate Class Energy Model'!M49</f>
        <v>43011.934761904762</v>
      </c>
      <c r="H237"/>
      <c r="I237"/>
      <c r="J237"/>
    </row>
    <row r="238" spans="1:10" s="308" customFormat="1" x14ac:dyDescent="0.3">
      <c r="A238" s="313"/>
      <c r="B238" s="314"/>
      <c r="C238" s="314"/>
      <c r="D238" s="314"/>
      <c r="E238" s="314"/>
      <c r="F238" s="314"/>
      <c r="G238" s="314"/>
    </row>
    <row r="239" spans="1:10" s="308" customFormat="1" x14ac:dyDescent="0.3"/>
    <row r="240" spans="1:10" s="308" customFormat="1" x14ac:dyDescent="0.3">
      <c r="A240" s="305" t="s">
        <v>244</v>
      </c>
      <c r="B240" s="306"/>
      <c r="C240" s="306"/>
      <c r="D240" s="306"/>
      <c r="E240" s="306"/>
      <c r="F240" s="306"/>
      <c r="G240" s="306"/>
    </row>
    <row r="241" spans="1:10" s="308" customFormat="1" ht="46.8" x14ac:dyDescent="0.3">
      <c r="A241" s="284" t="str">
        <f>A235</f>
        <v>Year</v>
      </c>
      <c r="B241" s="285" t="str">
        <f t="shared" ref="B241:G241" si="72">B235</f>
        <v xml:space="preserve">Residential </v>
      </c>
      <c r="C241" s="285" t="str">
        <f t="shared" si="72"/>
        <v>General Service &lt; 50 kW</v>
      </c>
      <c r="D241" s="285" t="str">
        <f t="shared" si="72"/>
        <v>General Service 50 to 4,999 kW</v>
      </c>
      <c r="E241" s="285" t="str">
        <f t="shared" si="72"/>
        <v>Sentinel Lighting</v>
      </c>
      <c r="F241" s="285" t="str">
        <f t="shared" si="72"/>
        <v>Street Lights</v>
      </c>
      <c r="G241" s="285" t="str">
        <f t="shared" si="72"/>
        <v xml:space="preserve">Unmetered Scattered Load </v>
      </c>
      <c r="H241"/>
      <c r="I241"/>
      <c r="J241"/>
    </row>
    <row r="242" spans="1:10" s="308" customFormat="1" x14ac:dyDescent="0.3">
      <c r="A242" s="411" t="s">
        <v>233</v>
      </c>
      <c r="B242" s="411"/>
      <c r="C242" s="411"/>
      <c r="D242" s="411"/>
      <c r="E242" s="411"/>
      <c r="F242" s="411"/>
      <c r="G242" s="411"/>
      <c r="H242"/>
      <c r="I242"/>
      <c r="J242"/>
    </row>
    <row r="243" spans="1:10" s="308" customFormat="1" x14ac:dyDescent="0.3">
      <c r="A243" s="318" t="str">
        <f>A231</f>
        <v>2017 Bridge</v>
      </c>
      <c r="B243" s="312">
        <f>B237</f>
        <v>9748.3621336934502</v>
      </c>
      <c r="C243" s="312">
        <f t="shared" ref="C243:G243" si="73">C237</f>
        <v>26999.120093731693</v>
      </c>
      <c r="D243" s="312">
        <f t="shared" si="73"/>
        <v>692396.6149584488</v>
      </c>
      <c r="E243" s="312">
        <f t="shared" si="73"/>
        <v>627.22596685082874</v>
      </c>
      <c r="F243" s="312">
        <f t="shared" si="73"/>
        <v>548.83646302975649</v>
      </c>
      <c r="G243" s="312">
        <f t="shared" si="73"/>
        <v>43011.934761904762</v>
      </c>
      <c r="H243"/>
      <c r="I243"/>
      <c r="J243"/>
    </row>
    <row r="244" spans="1:10" s="308" customFormat="1" x14ac:dyDescent="0.3">
      <c r="A244" s="318" t="str">
        <f>A232</f>
        <v>2018 Test</v>
      </c>
      <c r="B244" s="312">
        <f>B243</f>
        <v>9748.3621336934502</v>
      </c>
      <c r="C244" s="312">
        <f t="shared" ref="C244:G244" si="74">C243</f>
        <v>26999.120093731693</v>
      </c>
      <c r="D244" s="312">
        <f t="shared" si="74"/>
        <v>692396.6149584488</v>
      </c>
      <c r="E244" s="312">
        <f t="shared" si="74"/>
        <v>627.22596685082874</v>
      </c>
      <c r="F244" s="312">
        <f t="shared" si="74"/>
        <v>548.83646302975649</v>
      </c>
      <c r="G244" s="312">
        <f t="shared" si="74"/>
        <v>43011.934761904762</v>
      </c>
      <c r="H244"/>
      <c r="I244"/>
      <c r="J244"/>
    </row>
    <row r="245" spans="1:10" s="308" customFormat="1" x14ac:dyDescent="0.3"/>
    <row r="246" spans="1:10" s="308" customFormat="1" x14ac:dyDescent="0.3">
      <c r="A246" s="305" t="s">
        <v>245</v>
      </c>
      <c r="B246" s="306"/>
      <c r="C246" s="306"/>
      <c r="D246" s="306"/>
      <c r="E246" s="306"/>
      <c r="F246" s="306"/>
      <c r="G246" s="306"/>
    </row>
    <row r="247" spans="1:10" s="308" customFormat="1" ht="46.8" x14ac:dyDescent="0.3">
      <c r="A247" s="284" t="str">
        <f>A229</f>
        <v>Year</v>
      </c>
      <c r="B247" s="285" t="str">
        <f t="shared" ref="B247:G247" si="75">B229</f>
        <v xml:space="preserve">Residential </v>
      </c>
      <c r="C247" s="285" t="str">
        <f t="shared" si="75"/>
        <v>General Service &lt; 50 kW</v>
      </c>
      <c r="D247" s="285" t="str">
        <f t="shared" si="75"/>
        <v>General Service 50 to 4,999 kW</v>
      </c>
      <c r="E247" s="285" t="str">
        <f t="shared" si="75"/>
        <v>Sentinel Lighting</v>
      </c>
      <c r="F247" s="285" t="str">
        <f t="shared" si="75"/>
        <v>Street Lights</v>
      </c>
      <c r="G247" s="285" t="str">
        <f t="shared" si="75"/>
        <v xml:space="preserve">Unmetered Scattered Load </v>
      </c>
      <c r="H247" s="285" t="str">
        <f>H229</f>
        <v>Total</v>
      </c>
      <c r="I247"/>
      <c r="J247"/>
    </row>
    <row r="248" spans="1:10" s="308" customFormat="1" x14ac:dyDescent="0.3">
      <c r="A248" s="309" t="s">
        <v>234</v>
      </c>
      <c r="B248" s="310"/>
      <c r="C248" s="310"/>
      <c r="D248" s="310"/>
      <c r="E248" s="310"/>
      <c r="F248" s="310"/>
      <c r="G248" s="310"/>
      <c r="H248" s="323"/>
      <c r="I248"/>
      <c r="J248"/>
    </row>
    <row r="249" spans="1:10" s="308" customFormat="1" x14ac:dyDescent="0.3">
      <c r="A249" s="315" t="str">
        <f>A243</f>
        <v>2017 Bridge</v>
      </c>
      <c r="B249" s="319" t="e">
        <f>'Rate Class Energy Model'!#REF!/1000000</f>
        <v>#REF!</v>
      </c>
      <c r="C249" s="319" t="e">
        <f>'Rate Class Energy Model'!#REF!/1000000</f>
        <v>#REF!</v>
      </c>
      <c r="D249" s="319" t="e">
        <f>'Rate Class Energy Model'!#REF!/1000000</f>
        <v>#REF!</v>
      </c>
      <c r="E249" s="319" t="e">
        <f>'Rate Class Energy Model'!#REF!/1000000</f>
        <v>#REF!</v>
      </c>
      <c r="F249" s="319" t="e">
        <f>'Rate Class Energy Model'!#REF!/1000000</f>
        <v>#REF!</v>
      </c>
      <c r="G249" s="319" t="e">
        <f>'Rate Class Energy Model'!#REF!/1000000</f>
        <v>#REF!</v>
      </c>
      <c r="H249" s="319" t="e">
        <f>SUM(B249:G249)</f>
        <v>#REF!</v>
      </c>
      <c r="I249"/>
      <c r="J249"/>
    </row>
    <row r="250" spans="1:10" s="308" customFormat="1" x14ac:dyDescent="0.3">
      <c r="A250" s="315" t="str">
        <f>A244</f>
        <v>2018 Test</v>
      </c>
      <c r="B250" s="319">
        <f>'Rate Class Energy Model'!H73/1000000</f>
        <v>283.64346161472179</v>
      </c>
      <c r="C250" s="319">
        <f>'Rate Class Energy Model'!I73/1000000</f>
        <v>91.595061933817988</v>
      </c>
      <c r="D250" s="319">
        <f>'Rate Class Energy Model'!J73/1000000</f>
        <v>242.57106295680614</v>
      </c>
      <c r="E250" s="319">
        <f>'Rate Class Energy Model'!K73/1000000</f>
        <v>0.20980013099560146</v>
      </c>
      <c r="F250" s="319">
        <f>'Rate Class Energy Model'!L73/1000000</f>
        <v>2.3982212999999999</v>
      </c>
      <c r="G250" s="319">
        <f>'Rate Class Energy Model'!M73/1000000</f>
        <v>0.94473143889360511</v>
      </c>
      <c r="H250" s="319">
        <f>SUM(B250:G250)</f>
        <v>621.36233937523525</v>
      </c>
      <c r="I250"/>
      <c r="J250"/>
    </row>
    <row r="251" spans="1:10" s="308" customFormat="1" x14ac:dyDescent="0.3"/>
    <row r="252" spans="1:10" s="308" customFormat="1" x14ac:dyDescent="0.3">
      <c r="B252" s="446" t="s">
        <v>246</v>
      </c>
      <c r="C252" s="446"/>
      <c r="D252" s="446"/>
      <c r="E252" s="446"/>
    </row>
    <row r="253" spans="1:10" s="308" customFormat="1" ht="46.8" x14ac:dyDescent="0.3">
      <c r="B253" s="285" t="str">
        <f>B247</f>
        <v xml:space="preserve">Residential </v>
      </c>
      <c r="C253" s="285" t="str">
        <f t="shared" ref="C253:G253" si="76">C247</f>
        <v>General Service &lt; 50 kW</v>
      </c>
      <c r="D253" s="285" t="str">
        <f t="shared" si="76"/>
        <v>General Service 50 to 4,999 kW</v>
      </c>
      <c r="E253" s="285" t="str">
        <f t="shared" si="76"/>
        <v>Sentinel Lighting</v>
      </c>
      <c r="F253" s="285" t="str">
        <f t="shared" si="76"/>
        <v>Street Lights</v>
      </c>
      <c r="G253" s="285" t="str">
        <f t="shared" si="76"/>
        <v xml:space="preserve">Unmetered Scattered Load </v>
      </c>
      <c r="H253"/>
      <c r="I253"/>
      <c r="J253"/>
    </row>
    <row r="254" spans="1:10" s="308" customFormat="1" x14ac:dyDescent="0.3">
      <c r="B254" s="309" t="s">
        <v>235</v>
      </c>
      <c r="C254" s="310"/>
      <c r="D254" s="310"/>
      <c r="E254" s="310"/>
      <c r="F254" s="310"/>
      <c r="G254" s="310"/>
      <c r="H254"/>
      <c r="I254"/>
      <c r="J254"/>
    </row>
    <row r="255" spans="1:10" s="308" customFormat="1" x14ac:dyDescent="0.3">
      <c r="B255" s="324">
        <f>'Rate Class Energy Model'!H78</f>
        <v>0.92649999999999999</v>
      </c>
      <c r="C255" s="324">
        <f>'Rate Class Energy Model'!I78</f>
        <v>0.92649999999999999</v>
      </c>
      <c r="D255" s="324">
        <f>'Rate Class Energy Model'!J78</f>
        <v>0.85299999999999998</v>
      </c>
      <c r="E255" s="324">
        <f>'Rate Class Energy Model'!K78</f>
        <v>0</v>
      </c>
      <c r="F255" s="324">
        <f>'Rate Class Energy Model'!L78</f>
        <v>0</v>
      </c>
      <c r="G255" s="324">
        <f>'Rate Class Energy Model'!M78</f>
        <v>0</v>
      </c>
      <c r="H255"/>
      <c r="I255"/>
      <c r="J255"/>
    </row>
    <row r="257" spans="1:5" x14ac:dyDescent="0.3">
      <c r="B257" s="266"/>
      <c r="C257" s="266"/>
      <c r="D257" s="266"/>
      <c r="E257" s="266"/>
    </row>
    <row r="258" spans="1:5" x14ac:dyDescent="0.3">
      <c r="A258" s="437" t="s">
        <v>247</v>
      </c>
      <c r="B258" s="438"/>
      <c r="C258" s="438"/>
      <c r="D258" s="438"/>
      <c r="E258" s="438"/>
    </row>
    <row r="259" spans="1:5" x14ac:dyDescent="0.3">
      <c r="A259" s="285"/>
      <c r="B259" s="285">
        <v>2017</v>
      </c>
      <c r="C259" s="285">
        <v>2018</v>
      </c>
      <c r="D259" s="254"/>
    </row>
    <row r="260" spans="1:5" x14ac:dyDescent="0.3">
      <c r="A260" s="267" t="s">
        <v>187</v>
      </c>
      <c r="B260" s="255" t="e">
        <f>'CDM Activity'!#REF!</f>
        <v>#REF!</v>
      </c>
      <c r="C260" s="255" t="e">
        <f>'CDM Activity'!#REF!</f>
        <v>#REF!</v>
      </c>
      <c r="D260" s="254"/>
    </row>
    <row r="261" spans="1:5" x14ac:dyDescent="0.3">
      <c r="A261" s="267" t="s">
        <v>188</v>
      </c>
      <c r="B261" s="255"/>
      <c r="C261" s="255">
        <f>'CDM Activity'!S4</f>
        <v>4645200</v>
      </c>
      <c r="D261" s="254"/>
    </row>
    <row r="262" spans="1:5" x14ac:dyDescent="0.3">
      <c r="A262" s="268" t="s">
        <v>209</v>
      </c>
      <c r="B262" s="255" t="e">
        <f>SUM(B260:B261)</f>
        <v>#REF!</v>
      </c>
      <c r="C262" s="255" t="e">
        <f>SUM(C260:C261)</f>
        <v>#REF!</v>
      </c>
      <c r="D262" s="254"/>
    </row>
    <row r="264" spans="1:5" x14ac:dyDescent="0.3">
      <c r="A264" s="437" t="s">
        <v>248</v>
      </c>
      <c r="B264" s="438"/>
      <c r="C264" s="438"/>
      <c r="D264" s="438"/>
      <c r="E264" s="438"/>
    </row>
    <row r="265" spans="1:5" s="254" customFormat="1" x14ac:dyDescent="0.3">
      <c r="A265" s="285"/>
      <c r="B265" s="285">
        <v>2017</v>
      </c>
      <c r="C265" s="285">
        <v>2018</v>
      </c>
    </row>
    <row r="266" spans="1:5" s="254" customFormat="1" x14ac:dyDescent="0.3">
      <c r="A266" s="267" t="s">
        <v>187</v>
      </c>
      <c r="B266" s="255" t="e">
        <f>'CDM Activity'!#REF!</f>
        <v>#REF!</v>
      </c>
      <c r="C266" s="255" t="e">
        <f>'CDM Activity'!#REF!</f>
        <v>#REF!</v>
      </c>
    </row>
    <row r="267" spans="1:5" s="254" customFormat="1" x14ac:dyDescent="0.3">
      <c r="A267" s="267" t="s">
        <v>188</v>
      </c>
      <c r="B267" s="255"/>
      <c r="C267" s="255">
        <f>'CDM Activity'!S9</f>
        <v>1411975.3671820988</v>
      </c>
    </row>
    <row r="268" spans="1:5" s="254" customFormat="1" x14ac:dyDescent="0.3">
      <c r="A268" s="268" t="s">
        <v>209</v>
      </c>
      <c r="B268" s="255" t="e">
        <f>SUM(B266:B267)</f>
        <v>#REF!</v>
      </c>
      <c r="C268" s="255" t="e">
        <f>SUM(C266:C267)</f>
        <v>#REF!</v>
      </c>
    </row>
    <row r="269" spans="1:5" s="254" customFormat="1" x14ac:dyDescent="0.3"/>
    <row r="271" spans="1:5" x14ac:dyDescent="0.3">
      <c r="A271" s="437" t="s">
        <v>249</v>
      </c>
      <c r="B271" s="438"/>
      <c r="C271" s="438"/>
      <c r="D271" s="438"/>
      <c r="E271" s="438"/>
    </row>
    <row r="272" spans="1:5" x14ac:dyDescent="0.3">
      <c r="A272" s="285"/>
      <c r="B272" s="285">
        <v>2017</v>
      </c>
      <c r="C272" s="285">
        <v>2018</v>
      </c>
      <c r="D272" s="254"/>
    </row>
    <row r="273" spans="1:5" x14ac:dyDescent="0.3">
      <c r="A273" s="267" t="s">
        <v>187</v>
      </c>
      <c r="B273" s="255" t="e">
        <f>'CDM Activity'!#REF!</f>
        <v>#REF!</v>
      </c>
      <c r="C273" s="255" t="e">
        <f>'CDM Activity'!#REF!</f>
        <v>#REF!</v>
      </c>
      <c r="D273" s="254"/>
    </row>
    <row r="274" spans="1:5" x14ac:dyDescent="0.3">
      <c r="A274" s="267" t="s">
        <v>188</v>
      </c>
      <c r="B274" s="255"/>
      <c r="C274" s="255">
        <f>'CDM Activity'!S14</f>
        <v>952640.50015559536</v>
      </c>
      <c r="D274" s="254"/>
    </row>
    <row r="275" spans="1:5" x14ac:dyDescent="0.3">
      <c r="A275" s="268" t="s">
        <v>209</v>
      </c>
      <c r="B275" s="255" t="e">
        <f>SUM(B273:B274)</f>
        <v>#REF!</v>
      </c>
      <c r="C275" s="255" t="e">
        <f>SUM(C273:C274)</f>
        <v>#REF!</v>
      </c>
      <c r="D275" s="254"/>
    </row>
    <row r="276" spans="1:5" x14ac:dyDescent="0.3">
      <c r="A276" s="254"/>
      <c r="B276" s="254"/>
      <c r="C276" s="254"/>
      <c r="D276" s="254"/>
    </row>
    <row r="278" spans="1:5" x14ac:dyDescent="0.3">
      <c r="A278" s="437" t="s">
        <v>250</v>
      </c>
      <c r="B278" s="438"/>
      <c r="C278" s="438"/>
      <c r="D278" s="438"/>
      <c r="E278" s="438"/>
    </row>
    <row r="279" spans="1:5" x14ac:dyDescent="0.3">
      <c r="A279" s="285"/>
      <c r="B279" s="285">
        <v>2017</v>
      </c>
      <c r="C279" s="285">
        <v>2018</v>
      </c>
      <c r="D279" s="254"/>
    </row>
    <row r="280" spans="1:5" x14ac:dyDescent="0.3">
      <c r="A280" s="267" t="s">
        <v>187</v>
      </c>
      <c r="B280" s="255" t="e">
        <f>'CDM Activity'!#REF!</f>
        <v>#REF!</v>
      </c>
      <c r="C280" s="255" t="e">
        <f>'CDM Activity'!#REF!</f>
        <v>#REF!</v>
      </c>
      <c r="D280" s="254"/>
    </row>
    <row r="281" spans="1:5" x14ac:dyDescent="0.3">
      <c r="A281" s="267" t="s">
        <v>188</v>
      </c>
      <c r="B281" s="255"/>
      <c r="C281" s="255">
        <f>'CDM Activity'!S19</f>
        <v>2280584.1326623056</v>
      </c>
      <c r="D281" s="254"/>
    </row>
    <row r="282" spans="1:5" x14ac:dyDescent="0.3">
      <c r="A282" s="268" t="s">
        <v>209</v>
      </c>
      <c r="B282" s="255" t="e">
        <f>SUM(B280:B281)</f>
        <v>#REF!</v>
      </c>
      <c r="C282" s="255" t="e">
        <f>SUM(C280:C281)</f>
        <v>#REF!</v>
      </c>
      <c r="D282" s="254"/>
    </row>
    <row r="283" spans="1:5" x14ac:dyDescent="0.3">
      <c r="A283" s="254"/>
      <c r="B283" s="254"/>
      <c r="C283" s="254"/>
      <c r="D283" s="254"/>
    </row>
    <row r="285" spans="1:5" x14ac:dyDescent="0.3">
      <c r="A285" s="437" t="s">
        <v>251</v>
      </c>
      <c r="B285" s="438"/>
      <c r="C285" s="438"/>
      <c r="D285" s="438"/>
      <c r="E285" s="438"/>
    </row>
    <row r="286" spans="1:5" ht="44.4" customHeight="1" x14ac:dyDescent="0.3">
      <c r="A286" s="285" t="s">
        <v>143</v>
      </c>
      <c r="B286" s="285" t="str">
        <f>B253</f>
        <v xml:space="preserve">Residential </v>
      </c>
      <c r="C286" s="285" t="str">
        <f t="shared" ref="C286:D286" si="77">C253</f>
        <v>General Service &lt; 50 kW</v>
      </c>
      <c r="D286" s="285" t="str">
        <f t="shared" si="77"/>
        <v>General Service 50 to 4,999 kW</v>
      </c>
      <c r="E286" s="285" t="s">
        <v>12</v>
      </c>
    </row>
    <row r="287" spans="1:5" x14ac:dyDescent="0.3">
      <c r="A287" s="267" t="str">
        <f>A186</f>
        <v>2017 Bridge</v>
      </c>
      <c r="B287" s="255" t="e">
        <f>B266*0.5</f>
        <v>#REF!</v>
      </c>
      <c r="C287" s="255" t="e">
        <f>B273*0.5</f>
        <v>#REF!</v>
      </c>
      <c r="D287" s="255" t="e">
        <f>B280*0.5</f>
        <v>#REF!</v>
      </c>
      <c r="E287" s="255" t="e">
        <f>SUM(B287:D287)</f>
        <v>#REF!</v>
      </c>
    </row>
    <row r="288" spans="1:5" x14ac:dyDescent="0.3">
      <c r="A288" s="267" t="str">
        <f>A187</f>
        <v>2018 Test</v>
      </c>
      <c r="B288" s="255" t="e">
        <f>C266+C267*0.5</f>
        <v>#REF!</v>
      </c>
      <c r="C288" s="255" t="e">
        <f>C273+C274*0.5</f>
        <v>#REF!</v>
      </c>
      <c r="D288" s="255" t="e">
        <f>C280+C281*0.5</f>
        <v>#REF!</v>
      </c>
      <c r="E288" s="255" t="e">
        <f>SUM(B288:D288)</f>
        <v>#REF!</v>
      </c>
    </row>
    <row r="290" spans="1:8" ht="33" customHeight="1" x14ac:dyDescent="0.3">
      <c r="A290" s="439" t="s">
        <v>252</v>
      </c>
      <c r="B290" s="440"/>
      <c r="C290" s="440"/>
      <c r="D290" s="440"/>
      <c r="E290" s="440"/>
    </row>
    <row r="291" spans="1:8" ht="31.2" x14ac:dyDescent="0.3">
      <c r="A291" s="285" t="s">
        <v>143</v>
      </c>
      <c r="B291" s="285" t="str">
        <f>B286</f>
        <v xml:space="preserve">Residential </v>
      </c>
      <c r="C291" s="285" t="str">
        <f t="shared" ref="C291:D291" si="78">C286</f>
        <v>General Service &lt; 50 kW</v>
      </c>
      <c r="D291" s="285" t="str">
        <f t="shared" si="78"/>
        <v>General Service 50 to 4,999 kW</v>
      </c>
      <c r="E291" s="285" t="s">
        <v>12</v>
      </c>
    </row>
    <row r="292" spans="1:8" x14ac:dyDescent="0.3">
      <c r="A292" s="267" t="s">
        <v>210</v>
      </c>
      <c r="B292" s="255" t="e">
        <f>C268</f>
        <v>#REF!</v>
      </c>
      <c r="C292" s="255" t="e">
        <f>C275</f>
        <v>#REF!</v>
      </c>
      <c r="D292" s="255" t="e">
        <f>C282</f>
        <v>#REF!</v>
      </c>
      <c r="E292" s="255" t="e">
        <f>SUM(B292:D292)</f>
        <v>#REF!</v>
      </c>
    </row>
    <row r="293" spans="1:8" x14ac:dyDescent="0.3">
      <c r="A293" s="416" t="s">
        <v>211</v>
      </c>
      <c r="B293" s="417"/>
      <c r="C293" s="418"/>
      <c r="D293" s="255" t="e">
        <f>D292*B349</f>
        <v>#REF!</v>
      </c>
      <c r="E293" s="255" t="e">
        <f>SUM(B293:D293)</f>
        <v>#REF!</v>
      </c>
    </row>
    <row r="294" spans="1:8" x14ac:dyDescent="0.3">
      <c r="A294" s="416" t="s">
        <v>212</v>
      </c>
      <c r="B294" s="417"/>
      <c r="C294" s="418"/>
      <c r="D294" s="255" t="e">
        <f>D293/12</f>
        <v>#REF!</v>
      </c>
      <c r="E294" s="255" t="e">
        <f>SUM(B294:D294)</f>
        <v>#REF!</v>
      </c>
    </row>
    <row r="295" spans="1:8" x14ac:dyDescent="0.3">
      <c r="B295" s="266"/>
      <c r="C295" s="266"/>
      <c r="D295" s="266"/>
      <c r="E295" s="266"/>
    </row>
    <row r="297" spans="1:8" x14ac:dyDescent="0.3">
      <c r="A297" s="425" t="s">
        <v>254</v>
      </c>
      <c r="B297" s="425"/>
      <c r="C297" s="425"/>
      <c r="D297" s="425"/>
      <c r="E297" s="425"/>
      <c r="F297" s="425"/>
      <c r="G297" s="425"/>
      <c r="H297" s="425"/>
    </row>
    <row r="298" spans="1:8" ht="46.8" x14ac:dyDescent="0.3">
      <c r="A298" s="284" t="str">
        <f>A247</f>
        <v>Year</v>
      </c>
      <c r="B298" s="285" t="str">
        <f t="shared" ref="B298:G298" si="79">B247</f>
        <v xml:space="preserve">Residential </v>
      </c>
      <c r="C298" s="285" t="str">
        <f t="shared" si="79"/>
        <v>General Service &lt; 50 kW</v>
      </c>
      <c r="D298" s="285" t="str">
        <f t="shared" si="79"/>
        <v>General Service 50 to 4,999 kW</v>
      </c>
      <c r="E298" s="285" t="str">
        <f t="shared" si="79"/>
        <v>Sentinel Lighting</v>
      </c>
      <c r="F298" s="285" t="str">
        <f t="shared" si="79"/>
        <v>Street Lights</v>
      </c>
      <c r="G298" s="285" t="str">
        <f t="shared" si="79"/>
        <v xml:space="preserve">Unmetered Scattered Load </v>
      </c>
      <c r="H298" s="285" t="s">
        <v>12</v>
      </c>
    </row>
    <row r="299" spans="1:8" x14ac:dyDescent="0.3">
      <c r="A299" s="432" t="s">
        <v>159</v>
      </c>
      <c r="B299" s="433"/>
      <c r="C299" s="433"/>
      <c r="D299" s="433"/>
      <c r="E299" s="433"/>
      <c r="F299" s="433"/>
      <c r="G299" s="433"/>
      <c r="H299" s="434"/>
    </row>
    <row r="300" spans="1:8" x14ac:dyDescent="0.3">
      <c r="A300" s="235" t="str">
        <f>A287</f>
        <v>2017 Bridge</v>
      </c>
      <c r="B300" s="269" t="e">
        <f>B249</f>
        <v>#REF!</v>
      </c>
      <c r="C300" s="269" t="e">
        <f t="shared" ref="C300:G301" si="80">C249</f>
        <v>#REF!</v>
      </c>
      <c r="D300" s="269" t="e">
        <f t="shared" si="80"/>
        <v>#REF!</v>
      </c>
      <c r="E300" s="269" t="e">
        <f t="shared" si="80"/>
        <v>#REF!</v>
      </c>
      <c r="F300" s="269" t="e">
        <f t="shared" si="80"/>
        <v>#REF!</v>
      </c>
      <c r="G300" s="269" t="e">
        <f t="shared" si="80"/>
        <v>#REF!</v>
      </c>
      <c r="H300" s="270" t="e">
        <f>SUM(B300:G300)</f>
        <v>#REF!</v>
      </c>
    </row>
    <row r="301" spans="1:8" x14ac:dyDescent="0.3">
      <c r="A301" s="235" t="str">
        <f>A288</f>
        <v>2018 Test</v>
      </c>
      <c r="B301" s="269">
        <f>B250</f>
        <v>283.64346161472179</v>
      </c>
      <c r="C301" s="269">
        <f t="shared" si="80"/>
        <v>91.595061933817988</v>
      </c>
      <c r="D301" s="269">
        <f t="shared" si="80"/>
        <v>242.57106295680614</v>
      </c>
      <c r="E301" s="269">
        <f t="shared" si="80"/>
        <v>0.20980013099560146</v>
      </c>
      <c r="F301" s="269">
        <f t="shared" si="80"/>
        <v>2.3982212999999999</v>
      </c>
      <c r="G301" s="269">
        <f t="shared" si="80"/>
        <v>0.94473143889360511</v>
      </c>
      <c r="H301" s="270">
        <f>SUM(B301:G301)</f>
        <v>621.36233937523525</v>
      </c>
    </row>
    <row r="302" spans="1:8" x14ac:dyDescent="0.3">
      <c r="A302" s="432" t="s">
        <v>213</v>
      </c>
      <c r="B302" s="433"/>
      <c r="C302" s="433"/>
      <c r="D302" s="433"/>
      <c r="E302" s="433"/>
      <c r="F302" s="433"/>
      <c r="G302" s="433"/>
      <c r="H302" s="434"/>
    </row>
    <row r="303" spans="1:8" x14ac:dyDescent="0.3">
      <c r="A303" s="242" t="str">
        <f>A300</f>
        <v>2017 Bridge</v>
      </c>
      <c r="B303" s="270" t="e">
        <f>'Rate Class Energy Model'!#REF!/1000000</f>
        <v>#REF!</v>
      </c>
      <c r="C303" s="270" t="e">
        <f>'Rate Class Energy Model'!#REF!/1000000</f>
        <v>#REF!</v>
      </c>
      <c r="D303" s="270" t="e">
        <f>'Rate Class Energy Model'!#REF!/1000000</f>
        <v>#REF!</v>
      </c>
      <c r="E303" s="270" t="e">
        <f>'Rate Class Energy Model'!#REF!/1000000</f>
        <v>#REF!</v>
      </c>
      <c r="F303" s="270" t="e">
        <f>'Rate Class Energy Model'!#REF!/1000000</f>
        <v>#REF!</v>
      </c>
      <c r="G303" s="270" t="e">
        <f>'Rate Class Energy Model'!#REF!/1000000</f>
        <v>#REF!</v>
      </c>
      <c r="H303" s="270" t="e">
        <f>SUM(B303:G303)</f>
        <v>#REF!</v>
      </c>
    </row>
    <row r="304" spans="1:8" x14ac:dyDescent="0.3">
      <c r="A304" s="242" t="str">
        <f>A301</f>
        <v>2018 Test</v>
      </c>
      <c r="B304" s="270">
        <f>'Rate Class Energy Model'!H82/1000000</f>
        <v>-1.7855480206447425</v>
      </c>
      <c r="C304" s="270">
        <f>'Rate Class Energy Model'!I82/1000000</f>
        <v>-0.57659492873807461</v>
      </c>
      <c r="D304" s="270">
        <f>'Rate Class Energy Model'!J82/1000000</f>
        <v>-1.4058576761519559</v>
      </c>
      <c r="E304" s="270">
        <f>'Rate Class Energy Model'!K82/1000000</f>
        <v>0</v>
      </c>
      <c r="F304" s="270">
        <f>'Rate Class Energy Model'!L82/1000000</f>
        <v>0</v>
      </c>
      <c r="G304" s="270">
        <f>'Rate Class Energy Model'!M82/1000000</f>
        <v>0</v>
      </c>
      <c r="H304" s="270">
        <f t="shared" ref="H304:H310" si="81">SUM(B304:G304)</f>
        <v>-3.7680006255347731</v>
      </c>
    </row>
    <row r="305" spans="1:9" x14ac:dyDescent="0.3">
      <c r="A305" s="432" t="s">
        <v>214</v>
      </c>
      <c r="B305" s="433"/>
      <c r="C305" s="433"/>
      <c r="D305" s="433"/>
      <c r="E305" s="433"/>
      <c r="F305" s="433"/>
      <c r="G305" s="433"/>
      <c r="H305" s="434"/>
    </row>
    <row r="306" spans="1:9" ht="15" customHeight="1" x14ac:dyDescent="0.3">
      <c r="A306" s="242" t="str">
        <f>A303</f>
        <v>2017 Bridge</v>
      </c>
      <c r="B306" s="270" t="e">
        <f>-B287/1000000</f>
        <v>#REF!</v>
      </c>
      <c r="C306" s="270" t="e">
        <f t="shared" ref="C306:D307" si="82">-C287/1000000</f>
        <v>#REF!</v>
      </c>
      <c r="D306" s="270" t="e">
        <f t="shared" si="82"/>
        <v>#REF!</v>
      </c>
      <c r="E306" s="270"/>
      <c r="F306" s="270"/>
      <c r="G306" s="270"/>
      <c r="H306" s="270" t="e">
        <f t="shared" si="81"/>
        <v>#REF!</v>
      </c>
    </row>
    <row r="307" spans="1:9" x14ac:dyDescent="0.3">
      <c r="A307" s="242" t="str">
        <f>A304</f>
        <v>2018 Test</v>
      </c>
      <c r="B307" s="270" t="e">
        <f>-B288/1000000</f>
        <v>#REF!</v>
      </c>
      <c r="C307" s="270" t="e">
        <f t="shared" si="82"/>
        <v>#REF!</v>
      </c>
      <c r="D307" s="270" t="e">
        <f t="shared" si="82"/>
        <v>#REF!</v>
      </c>
      <c r="E307" s="270"/>
      <c r="F307" s="270"/>
      <c r="G307" s="270"/>
      <c r="H307" s="270" t="e">
        <f t="shared" si="81"/>
        <v>#REF!</v>
      </c>
    </row>
    <row r="308" spans="1:9" x14ac:dyDescent="0.3">
      <c r="A308" s="432" t="s">
        <v>160</v>
      </c>
      <c r="B308" s="433"/>
      <c r="C308" s="433"/>
      <c r="D308" s="433"/>
      <c r="E308" s="433"/>
      <c r="F308" s="433"/>
      <c r="G308" s="433"/>
      <c r="H308" s="434"/>
    </row>
    <row r="309" spans="1:9" x14ac:dyDescent="0.3">
      <c r="A309" s="235" t="str">
        <f>A306</f>
        <v>2017 Bridge</v>
      </c>
      <c r="B309" s="271" t="e">
        <f>B300+B303+B306</f>
        <v>#REF!</v>
      </c>
      <c r="C309" s="271" t="e">
        <f t="shared" ref="C309:G309" si="83">C300+C303+C306</f>
        <v>#REF!</v>
      </c>
      <c r="D309" s="271" t="e">
        <f t="shared" si="83"/>
        <v>#REF!</v>
      </c>
      <c r="E309" s="271" t="e">
        <f t="shared" si="83"/>
        <v>#REF!</v>
      </c>
      <c r="F309" s="271" t="e">
        <f t="shared" si="83"/>
        <v>#REF!</v>
      </c>
      <c r="G309" s="271" t="e">
        <f t="shared" si="83"/>
        <v>#REF!</v>
      </c>
      <c r="H309" s="270" t="e">
        <f t="shared" si="81"/>
        <v>#REF!</v>
      </c>
    </row>
    <row r="310" spans="1:9" x14ac:dyDescent="0.3">
      <c r="A310" s="235" t="str">
        <f>A307</f>
        <v>2018 Test</v>
      </c>
      <c r="B310" s="271" t="e">
        <f>B301+B304+B307</f>
        <v>#REF!</v>
      </c>
      <c r="C310" s="271" t="e">
        <f t="shared" ref="C310:G310" si="84">C301+C304+C307</f>
        <v>#REF!</v>
      </c>
      <c r="D310" s="271" t="e">
        <f t="shared" si="84"/>
        <v>#REF!</v>
      </c>
      <c r="E310" s="271">
        <f t="shared" si="84"/>
        <v>0.20980013099560146</v>
      </c>
      <c r="F310" s="271">
        <f t="shared" si="84"/>
        <v>2.3982212999999999</v>
      </c>
      <c r="G310" s="271">
        <f t="shared" si="84"/>
        <v>0.94473143889360511</v>
      </c>
      <c r="H310" s="270" t="e">
        <f t="shared" si="81"/>
        <v>#REF!</v>
      </c>
    </row>
    <row r="312" spans="1:9" x14ac:dyDescent="0.3">
      <c r="A312" s="426" t="s">
        <v>255</v>
      </c>
      <c r="B312" s="426"/>
      <c r="C312" s="426"/>
      <c r="D312" s="426"/>
      <c r="E312" s="426"/>
      <c r="F312" s="426"/>
      <c r="G312" s="426"/>
    </row>
    <row r="313" spans="1:9" ht="46.8" x14ac:dyDescent="0.3">
      <c r="A313" s="284" t="s">
        <v>143</v>
      </c>
      <c r="B313" s="285" t="str">
        <f>D298</f>
        <v>General Service 50 to 4,999 kW</v>
      </c>
      <c r="C313" s="285" t="str">
        <f t="shared" ref="C313:D313" si="85">E298</f>
        <v>Sentinel Lighting</v>
      </c>
      <c r="D313" s="285" t="str">
        <f t="shared" si="85"/>
        <v>Street Lights</v>
      </c>
      <c r="E313" s="285" t="str">
        <f>H298</f>
        <v>Total</v>
      </c>
      <c r="F313" s="285" t="str">
        <f>B313</f>
        <v>General Service 50 to 4,999 kW</v>
      </c>
      <c r="G313" s="285" t="str">
        <f t="shared" ref="G313:I313" si="86">C313</f>
        <v>Sentinel Lighting</v>
      </c>
      <c r="H313" s="285" t="str">
        <f t="shared" si="86"/>
        <v>Street Lights</v>
      </c>
      <c r="I313" s="285" t="str">
        <f t="shared" si="86"/>
        <v>Total</v>
      </c>
    </row>
    <row r="314" spans="1:9" x14ac:dyDescent="0.3">
      <c r="A314" s="425" t="s">
        <v>161</v>
      </c>
      <c r="B314" s="425"/>
      <c r="C314" s="425"/>
      <c r="D314" s="425"/>
      <c r="E314" s="425"/>
      <c r="F314" s="425"/>
      <c r="G314" s="425"/>
      <c r="H314" s="425"/>
      <c r="I314" s="425"/>
    </row>
    <row r="315" spans="1:9" x14ac:dyDescent="0.3">
      <c r="A315" s="327"/>
      <c r="B315" s="427" t="s">
        <v>215</v>
      </c>
      <c r="C315" s="428"/>
      <c r="D315" s="428"/>
      <c r="E315" s="429"/>
      <c r="F315" s="430" t="s">
        <v>67</v>
      </c>
      <c r="G315" s="430"/>
      <c r="H315" s="430"/>
      <c r="I315" s="430"/>
    </row>
    <row r="316" spans="1:9" x14ac:dyDescent="0.3">
      <c r="A316" s="303">
        <v>2003</v>
      </c>
      <c r="B316" s="272">
        <f>'Rate Class Load Model'!B4</f>
        <v>659827</v>
      </c>
      <c r="C316" s="272">
        <f>'Rate Class Load Model'!C4</f>
        <v>768</v>
      </c>
      <c r="D316" s="272">
        <f>'Rate Class Load Model'!D4</f>
        <v>21295</v>
      </c>
      <c r="E316" s="272">
        <f>SUM(B316:D316)</f>
        <v>681890</v>
      </c>
      <c r="F316" s="272">
        <f>B316*F172</f>
        <v>646321.569873653</v>
      </c>
      <c r="G316" s="272">
        <f>C316*F172</f>
        <v>752.28046997616877</v>
      </c>
      <c r="H316" s="272">
        <f>D316*F172</f>
        <v>20859.131000185567</v>
      </c>
      <c r="I316" s="272">
        <f>SUM(F316:H316)</f>
        <v>667932.98134381475</v>
      </c>
    </row>
    <row r="317" spans="1:9" x14ac:dyDescent="0.3">
      <c r="A317" s="303">
        <v>2004</v>
      </c>
      <c r="B317" s="272">
        <f>'Rate Class Load Model'!B5</f>
        <v>673069</v>
      </c>
      <c r="C317" s="272">
        <f>'Rate Class Load Model'!C5</f>
        <v>873</v>
      </c>
      <c r="D317" s="272">
        <f>'Rate Class Load Model'!D5</f>
        <v>21340</v>
      </c>
      <c r="E317" s="272">
        <f t="shared" ref="E317:E329" si="87">SUM(B317:D317)</f>
        <v>695282</v>
      </c>
      <c r="F317" s="272">
        <f t="shared" ref="F317:F329" si="88">B317*F173</f>
        <v>664015.88415066886</v>
      </c>
      <c r="G317" s="272">
        <f t="shared" ref="G317:G329" si="89">C317*F173</f>
        <v>861.2577118594586</v>
      </c>
      <c r="H317" s="272">
        <f t="shared" ref="H317:H329" si="90">D317*F173</f>
        <v>21052.966289897875</v>
      </c>
      <c r="I317" s="272">
        <f t="shared" ref="I317:I329" si="91">SUM(F317:H317)</f>
        <v>685930.1081524262</v>
      </c>
    </row>
    <row r="318" spans="1:9" x14ac:dyDescent="0.3">
      <c r="A318" s="303">
        <v>2005</v>
      </c>
      <c r="B318" s="272">
        <f>'Rate Class Load Model'!B6</f>
        <v>682195</v>
      </c>
      <c r="C318" s="272">
        <f>'Rate Class Load Model'!C6</f>
        <v>784</v>
      </c>
      <c r="D318" s="272">
        <f>'Rate Class Load Model'!D6</f>
        <v>21295</v>
      </c>
      <c r="E318" s="272">
        <f t="shared" si="87"/>
        <v>704274</v>
      </c>
      <c r="F318" s="272">
        <f t="shared" si="88"/>
        <v>676576.53139533033</v>
      </c>
      <c r="G318" s="272">
        <f t="shared" si="89"/>
        <v>777.54307875891629</v>
      </c>
      <c r="H318" s="272">
        <f t="shared" si="90"/>
        <v>21119.617171136637</v>
      </c>
      <c r="I318" s="272">
        <f t="shared" si="91"/>
        <v>698473.69164522586</v>
      </c>
    </row>
    <row r="319" spans="1:9" x14ac:dyDescent="0.3">
      <c r="A319" s="303">
        <v>2006</v>
      </c>
      <c r="B319" s="272">
        <f>'Rate Class Load Model'!B7</f>
        <v>657827</v>
      </c>
      <c r="C319" s="272">
        <f>'Rate Class Load Model'!C7</f>
        <v>766</v>
      </c>
      <c r="D319" s="272">
        <f>'Rate Class Load Model'!D7</f>
        <v>23029</v>
      </c>
      <c r="E319" s="272">
        <f t="shared" si="87"/>
        <v>681622</v>
      </c>
      <c r="F319" s="272">
        <f t="shared" si="88"/>
        <v>668784.13276674284</v>
      </c>
      <c r="G319" s="272">
        <f t="shared" si="89"/>
        <v>778.75892248163268</v>
      </c>
      <c r="H319" s="272">
        <f t="shared" si="90"/>
        <v>23412.583845730445</v>
      </c>
      <c r="I319" s="272">
        <f t="shared" si="91"/>
        <v>692975.47553495492</v>
      </c>
    </row>
    <row r="320" spans="1:9" x14ac:dyDescent="0.3">
      <c r="A320" s="235">
        <v>2007</v>
      </c>
      <c r="B320" s="272">
        <f>'Rate Class Load Model'!B8</f>
        <v>657184</v>
      </c>
      <c r="C320" s="272">
        <f>'Rate Class Load Model'!C8</f>
        <v>747</v>
      </c>
      <c r="D320" s="272">
        <f>'Rate Class Load Model'!D8</f>
        <v>21406</v>
      </c>
      <c r="E320" s="272">
        <f t="shared" si="87"/>
        <v>679337</v>
      </c>
      <c r="F320" s="272">
        <f t="shared" si="88"/>
        <v>654152.14423384471</v>
      </c>
      <c r="G320" s="272">
        <f t="shared" si="89"/>
        <v>743.55378667569812</v>
      </c>
      <c r="H320" s="272">
        <f t="shared" si="90"/>
        <v>21307.245458607758</v>
      </c>
      <c r="I320" s="272">
        <f t="shared" si="91"/>
        <v>676202.94347912818</v>
      </c>
    </row>
    <row r="321" spans="1:10" x14ac:dyDescent="0.3">
      <c r="A321" s="235">
        <v>2008</v>
      </c>
      <c r="B321" s="272">
        <f>'Rate Class Load Model'!B9</f>
        <v>650699</v>
      </c>
      <c r="C321" s="272">
        <f>'Rate Class Load Model'!C9</f>
        <v>744</v>
      </c>
      <c r="D321" s="272">
        <f>'Rate Class Load Model'!D9</f>
        <v>21317</v>
      </c>
      <c r="E321" s="272">
        <f t="shared" si="87"/>
        <v>672760</v>
      </c>
      <c r="F321" s="272">
        <f t="shared" si="88"/>
        <v>641754.80673798092</v>
      </c>
      <c r="G321" s="272">
        <f t="shared" si="89"/>
        <v>733.77333638603693</v>
      </c>
      <c r="H321" s="272">
        <f t="shared" si="90"/>
        <v>21023.986843738105</v>
      </c>
      <c r="I321" s="272">
        <f t="shared" si="91"/>
        <v>663512.56691810512</v>
      </c>
    </row>
    <row r="322" spans="1:10" x14ac:dyDescent="0.3">
      <c r="A322" s="235">
        <v>2009</v>
      </c>
      <c r="B322" s="272">
        <f>'Rate Class Load Model'!B10</f>
        <v>637622</v>
      </c>
      <c r="C322" s="272">
        <f>'Rate Class Load Model'!C10</f>
        <v>730</v>
      </c>
      <c r="D322" s="272">
        <f>'Rate Class Load Model'!D10</f>
        <v>21346</v>
      </c>
      <c r="E322" s="272">
        <f t="shared" si="87"/>
        <v>659698</v>
      </c>
      <c r="F322" s="272">
        <f t="shared" si="88"/>
        <v>629265.98675335967</v>
      </c>
      <c r="G322" s="272">
        <f t="shared" si="89"/>
        <v>720.43337640475488</v>
      </c>
      <c r="H322" s="272">
        <f t="shared" si="90"/>
        <v>21066.261442103969</v>
      </c>
      <c r="I322" s="272">
        <f t="shared" si="91"/>
        <v>651052.68157186848</v>
      </c>
    </row>
    <row r="323" spans="1:10" x14ac:dyDescent="0.3">
      <c r="A323" s="235">
        <v>2010</v>
      </c>
      <c r="B323" s="272">
        <f>'Rate Class Load Model'!B11</f>
        <v>635104</v>
      </c>
      <c r="C323" s="272">
        <f>'Rate Class Load Model'!C11</f>
        <v>714</v>
      </c>
      <c r="D323" s="272">
        <f>'Rate Class Load Model'!D11</f>
        <v>23264</v>
      </c>
      <c r="E323" s="272">
        <f t="shared" si="87"/>
        <v>659082</v>
      </c>
      <c r="F323" s="272">
        <f t="shared" si="88"/>
        <v>642379.95496563148</v>
      </c>
      <c r="G323" s="272">
        <f t="shared" si="89"/>
        <v>722.17981282665653</v>
      </c>
      <c r="H323" s="272">
        <f t="shared" si="90"/>
        <v>23530.519839774985</v>
      </c>
      <c r="I323" s="272">
        <f t="shared" si="91"/>
        <v>666632.65461823309</v>
      </c>
    </row>
    <row r="324" spans="1:10" x14ac:dyDescent="0.3">
      <c r="A324" s="235">
        <v>2011</v>
      </c>
      <c r="B324" s="272">
        <f>'Rate Class Load Model'!B12</f>
        <v>629024</v>
      </c>
      <c r="C324" s="272">
        <f>'Rate Class Load Model'!C12</f>
        <v>703</v>
      </c>
      <c r="D324" s="272">
        <f>'Rate Class Load Model'!D12</f>
        <v>21619</v>
      </c>
      <c r="E324" s="272">
        <f t="shared" si="87"/>
        <v>651346</v>
      </c>
      <c r="F324" s="272">
        <f t="shared" si="88"/>
        <v>629169.47476560529</v>
      </c>
      <c r="G324" s="272">
        <f t="shared" si="89"/>
        <v>703.16258324041769</v>
      </c>
      <c r="H324" s="272">
        <f t="shared" si="90"/>
        <v>21623.999839366417</v>
      </c>
      <c r="I324" s="272">
        <f t="shared" si="91"/>
        <v>651496.63718821213</v>
      </c>
    </row>
    <row r="325" spans="1:10" x14ac:dyDescent="0.3">
      <c r="A325" s="235">
        <v>2012</v>
      </c>
      <c r="B325" s="272">
        <f>'Rate Class Load Model'!B13</f>
        <v>627836</v>
      </c>
      <c r="C325" s="272">
        <f>'Rate Class Load Model'!C13</f>
        <v>687</v>
      </c>
      <c r="D325" s="272">
        <f>'Rate Class Load Model'!D13</f>
        <v>21596</v>
      </c>
      <c r="E325" s="272">
        <f t="shared" si="87"/>
        <v>650119</v>
      </c>
      <c r="F325" s="272">
        <f t="shared" si="88"/>
        <v>656579.69536487386</v>
      </c>
      <c r="G325" s="272">
        <f t="shared" si="89"/>
        <v>718.45235175375149</v>
      </c>
      <c r="H325" s="272">
        <f t="shared" si="90"/>
        <v>22584.711773615745</v>
      </c>
      <c r="I325" s="272">
        <f t="shared" si="91"/>
        <v>679882.85949024337</v>
      </c>
    </row>
    <row r="326" spans="1:10" x14ac:dyDescent="0.3">
      <c r="A326" s="235">
        <v>2013</v>
      </c>
      <c r="B326" s="272">
        <f>'Rate Class Load Model'!B14</f>
        <v>656137</v>
      </c>
      <c r="C326" s="272">
        <f>'Rate Class Load Model'!C14</f>
        <v>660</v>
      </c>
      <c r="D326" s="272">
        <f>'Rate Class Load Model'!D14</f>
        <v>21588</v>
      </c>
      <c r="E326" s="272">
        <f t="shared" si="87"/>
        <v>678385</v>
      </c>
      <c r="F326" s="272">
        <f t="shared" si="88"/>
        <v>665127.69660939206</v>
      </c>
      <c r="G326" s="272">
        <f t="shared" si="89"/>
        <v>669.04362924541488</v>
      </c>
      <c r="H326" s="272">
        <f t="shared" si="90"/>
        <v>21883.808891136388</v>
      </c>
      <c r="I326" s="272">
        <f t="shared" si="91"/>
        <v>687680.54912977386</v>
      </c>
    </row>
    <row r="327" spans="1:10" x14ac:dyDescent="0.3">
      <c r="A327" s="235">
        <v>2014</v>
      </c>
      <c r="B327" s="272">
        <f>'Rate Class Load Model'!B15</f>
        <v>634289</v>
      </c>
      <c r="C327" s="272">
        <f>'Rate Class Load Model'!C15</f>
        <v>676</v>
      </c>
      <c r="D327" s="272">
        <f>'Rate Class Load Model'!D15</f>
        <v>21876</v>
      </c>
      <c r="E327" s="272">
        <f t="shared" si="87"/>
        <v>656841</v>
      </c>
      <c r="F327" s="272">
        <f t="shared" si="88"/>
        <v>608224.56860003679</v>
      </c>
      <c r="G327" s="272">
        <f t="shared" si="89"/>
        <v>648.22156520706631</v>
      </c>
      <c r="H327" s="272">
        <f t="shared" si="90"/>
        <v>20977.063550990802</v>
      </c>
      <c r="I327" s="272">
        <f t="shared" si="91"/>
        <v>629849.85371623468</v>
      </c>
    </row>
    <row r="328" spans="1:10" x14ac:dyDescent="0.3">
      <c r="A328" s="235">
        <v>2015</v>
      </c>
      <c r="B328" s="272">
        <f>'Rate Class Load Model'!B16</f>
        <v>711311</v>
      </c>
      <c r="C328" s="272">
        <f>'Rate Class Load Model'!C16</f>
        <v>752</v>
      </c>
      <c r="D328" s="272">
        <f>'Rate Class Load Model'!D16</f>
        <v>21794</v>
      </c>
      <c r="E328" s="272">
        <f t="shared" si="87"/>
        <v>733857</v>
      </c>
      <c r="F328" s="272">
        <f t="shared" si="88"/>
        <v>698790.25709213747</v>
      </c>
      <c r="G328" s="272">
        <f t="shared" si="89"/>
        <v>738.76303520300871</v>
      </c>
      <c r="H328" s="272">
        <f t="shared" si="90"/>
        <v>21410.374453742515</v>
      </c>
      <c r="I328" s="272">
        <f t="shared" si="91"/>
        <v>720939.39458108298</v>
      </c>
    </row>
    <row r="329" spans="1:10" x14ac:dyDescent="0.3">
      <c r="A329" s="235">
        <v>2016</v>
      </c>
      <c r="B329" s="272">
        <f>'Rate Class Load Model'!B17</f>
        <v>622066.30000000005</v>
      </c>
      <c r="C329" s="272">
        <f>'Rate Class Load Model'!C17</f>
        <v>630</v>
      </c>
      <c r="D329" s="272">
        <f>'Rate Class Load Model'!D17</f>
        <v>14262.4</v>
      </c>
      <c r="E329" s="272">
        <f t="shared" si="87"/>
        <v>636958.70000000007</v>
      </c>
      <c r="F329" s="272">
        <f t="shared" si="88"/>
        <v>627000.74305990105</v>
      </c>
      <c r="G329" s="272">
        <f t="shared" si="89"/>
        <v>634.99737588700373</v>
      </c>
      <c r="H329" s="272">
        <f t="shared" si="90"/>
        <v>14375.534244207623</v>
      </c>
      <c r="I329" s="272">
        <f t="shared" si="91"/>
        <v>642011.27467999572</v>
      </c>
    </row>
    <row r="330" spans="1:10" x14ac:dyDescent="0.3">
      <c r="A330" s="273"/>
      <c r="B330" s="274"/>
      <c r="C330" s="274"/>
      <c r="D330" s="274"/>
      <c r="E330" s="274"/>
      <c r="F330" s="274"/>
      <c r="G330" s="274"/>
      <c r="H330" s="274"/>
      <c r="I330" s="274"/>
    </row>
    <row r="331" spans="1:10" s="328" customFormat="1" ht="15" customHeight="1" x14ac:dyDescent="0.25">
      <c r="A331" s="372" t="s">
        <v>259</v>
      </c>
      <c r="B331" s="372"/>
      <c r="C331" s="372"/>
      <c r="D331" s="372"/>
      <c r="E331" s="371"/>
      <c r="F331"/>
      <c r="G331"/>
      <c r="H331"/>
    </row>
    <row r="332" spans="1:10" s="328" customFormat="1" ht="46.8" x14ac:dyDescent="0.25">
      <c r="A332" s="326" t="str">
        <f>A313</f>
        <v>Year</v>
      </c>
      <c r="B332" s="285" t="str">
        <f t="shared" ref="B332:D332" si="92">B313</f>
        <v>General Service 50 to 4,999 kW</v>
      </c>
      <c r="C332" s="285" t="str">
        <f t="shared" si="92"/>
        <v>Sentinel Lighting</v>
      </c>
      <c r="D332" s="285" t="str">
        <f t="shared" si="92"/>
        <v>Street Lights</v>
      </c>
      <c r="E332"/>
      <c r="F332"/>
      <c r="G332"/>
      <c r="H332"/>
      <c r="I332" s="329"/>
      <c r="J332" s="329"/>
    </row>
    <row r="333" spans="1:10" s="328" customFormat="1" ht="13.8" x14ac:dyDescent="0.25">
      <c r="A333" s="332" t="s">
        <v>256</v>
      </c>
      <c r="B333" s="332"/>
      <c r="C333" s="332"/>
      <c r="D333" s="332"/>
      <c r="E333"/>
      <c r="F333"/>
      <c r="G333"/>
      <c r="H333"/>
    </row>
    <row r="334" spans="1:10" s="328" customFormat="1" x14ac:dyDescent="0.25">
      <c r="A334" s="330">
        <f t="shared" ref="A334:A339" si="93">A316</f>
        <v>2003</v>
      </c>
      <c r="B334" s="331">
        <f>'Rate Class Load Model'!B24</f>
        <v>2.5015886788689306E-3</v>
      </c>
      <c r="C334" s="331">
        <f>'Rate Class Load Model'!C24</f>
        <v>2.7769541730244935E-3</v>
      </c>
      <c r="D334" s="331">
        <f>'Rate Class Load Model'!D24</f>
        <v>2.9607060981647515E-3</v>
      </c>
      <c r="E334"/>
      <c r="F334"/>
      <c r="G334"/>
      <c r="H334"/>
    </row>
    <row r="335" spans="1:10" s="328" customFormat="1" x14ac:dyDescent="0.25">
      <c r="A335" s="330">
        <f t="shared" si="93"/>
        <v>2004</v>
      </c>
      <c r="B335" s="331">
        <f>'Rate Class Load Model'!B25</f>
        <v>2.5247651822724346E-3</v>
      </c>
      <c r="C335" s="331">
        <f>'Rate Class Load Model'!C25</f>
        <v>2.9976513247352591E-3</v>
      </c>
      <c r="D335" s="331">
        <f>'Rate Class Load Model'!D25</f>
        <v>2.8935094948195467E-3</v>
      </c>
      <c r="E335"/>
      <c r="F335"/>
      <c r="G335"/>
      <c r="H335"/>
    </row>
    <row r="336" spans="1:10" s="328" customFormat="1" x14ac:dyDescent="0.25">
      <c r="A336" s="330">
        <f t="shared" si="93"/>
        <v>2005</v>
      </c>
      <c r="B336" s="331">
        <f>'Rate Class Load Model'!B26</f>
        <v>2.563951226480057E-3</v>
      </c>
      <c r="C336" s="331">
        <f>'Rate Class Load Model'!C26</f>
        <v>2.7860102485377002E-3</v>
      </c>
      <c r="D336" s="331">
        <f>'Rate Class Load Model'!D26</f>
        <v>2.7587316544992716E-3</v>
      </c>
      <c r="E336"/>
      <c r="F336"/>
      <c r="G336"/>
      <c r="H336"/>
    </row>
    <row r="337" spans="1:10" s="328" customFormat="1" x14ac:dyDescent="0.25">
      <c r="A337" s="330">
        <f t="shared" si="93"/>
        <v>2006</v>
      </c>
      <c r="B337" s="331">
        <f>'Rate Class Load Model'!B27</f>
        <v>2.4708193209704715E-3</v>
      </c>
      <c r="C337" s="331">
        <f>'Rate Class Load Model'!C27</f>
        <v>2.7955286140236269E-3</v>
      </c>
      <c r="D337" s="331">
        <f>'Rate Class Load Model'!D27</f>
        <v>3.0278113193258219E-3</v>
      </c>
      <c r="E337"/>
      <c r="F337"/>
      <c r="G337"/>
      <c r="H337"/>
    </row>
    <row r="338" spans="1:10" s="328" customFormat="1" x14ac:dyDescent="0.25">
      <c r="A338" s="330">
        <f t="shared" si="93"/>
        <v>2007</v>
      </c>
      <c r="B338" s="331">
        <f>'Rate Class Load Model'!B28</f>
        <v>2.5283075485402146E-3</v>
      </c>
      <c r="C338" s="331">
        <f>'Rate Class Load Model'!C28</f>
        <v>2.7763943297627984E-3</v>
      </c>
      <c r="D338" s="331">
        <f>'Rate Class Load Model'!D28</f>
        <v>2.8027393156529181E-3</v>
      </c>
      <c r="E338"/>
      <c r="F338"/>
      <c r="G338"/>
      <c r="H338"/>
    </row>
    <row r="339" spans="1:10" s="328" customFormat="1" x14ac:dyDescent="0.25">
      <c r="A339" s="330">
        <f t="shared" si="93"/>
        <v>2008</v>
      </c>
      <c r="B339" s="331">
        <f>'Rate Class Load Model'!B29</f>
        <v>2.4919162430699338E-3</v>
      </c>
      <c r="C339" s="331">
        <f>'Rate Class Load Model'!C29</f>
        <v>2.7682381875481373E-3</v>
      </c>
      <c r="D339" s="331">
        <f>'Rate Class Load Model'!D29</f>
        <v>2.797431302701174E-3</v>
      </c>
      <c r="E339"/>
      <c r="F339"/>
      <c r="G339"/>
      <c r="H339"/>
    </row>
    <row r="340" spans="1:10" s="328" customFormat="1" x14ac:dyDescent="0.25">
      <c r="A340" s="330">
        <f t="shared" ref="A340:A347" si="94">A322</f>
        <v>2009</v>
      </c>
      <c r="B340" s="331">
        <f>'Rate Class Load Model'!B30</f>
        <v>2.4618786742565848E-3</v>
      </c>
      <c r="C340" s="331">
        <f>'Rate Class Load Model'!C30</f>
        <v>2.78071933018947E-3</v>
      </c>
      <c r="D340" s="331">
        <f>'Rate Class Load Model'!D30</f>
        <v>2.8075726334139549E-3</v>
      </c>
      <c r="E340"/>
      <c r="F340"/>
      <c r="G340"/>
      <c r="H340"/>
      <c r="I340" s="329"/>
    </row>
    <row r="341" spans="1:10" s="328" customFormat="1" x14ac:dyDescent="0.25">
      <c r="A341" s="330">
        <f t="shared" si="94"/>
        <v>2010</v>
      </c>
      <c r="B341" s="331">
        <f>'Rate Class Load Model'!B31</f>
        <v>2.4708677924042168E-3</v>
      </c>
      <c r="C341" s="331">
        <f>'Rate Class Load Model'!C31</f>
        <v>2.7658659600925052E-3</v>
      </c>
      <c r="D341" s="331">
        <f>'Rate Class Load Model'!D31</f>
        <v>3.0000304335962144E-3</v>
      </c>
      <c r="E341"/>
      <c r="F341"/>
      <c r="G341"/>
      <c r="H341"/>
    </row>
    <row r="342" spans="1:10" s="328" customFormat="1" x14ac:dyDescent="0.25">
      <c r="A342" s="330">
        <f t="shared" si="94"/>
        <v>2011</v>
      </c>
      <c r="B342" s="331">
        <f>'Rate Class Load Model'!B32</f>
        <v>2.4574286460270749E-3</v>
      </c>
      <c r="C342" s="331">
        <f>'Rate Class Load Model'!C32</f>
        <v>2.7000868022215223E-3</v>
      </c>
      <c r="D342" s="331">
        <f>'Rate Class Load Model'!D32</f>
        <v>2.7664048228267361E-3</v>
      </c>
      <c r="E342"/>
      <c r="F342"/>
      <c r="G342"/>
      <c r="H342"/>
    </row>
    <row r="343" spans="1:10" s="328" customFormat="1" x14ac:dyDescent="0.25">
      <c r="A343" s="330">
        <f t="shared" si="94"/>
        <v>2012</v>
      </c>
      <c r="B343" s="331">
        <f>'Rate Class Load Model'!B33</f>
        <v>2.4687425199532891E-3</v>
      </c>
      <c r="C343" s="331">
        <f>'Rate Class Load Model'!C33</f>
        <v>2.7868825858376064E-3</v>
      </c>
      <c r="D343" s="331">
        <f>'Rate Class Load Model'!D33</f>
        <v>2.7914579525335818E-3</v>
      </c>
      <c r="E343"/>
      <c r="F343"/>
      <c r="G343"/>
      <c r="H343"/>
    </row>
    <row r="344" spans="1:10" s="328" customFormat="1" x14ac:dyDescent="0.25">
      <c r="A344" s="330">
        <f t="shared" si="94"/>
        <v>2013</v>
      </c>
      <c r="B344" s="331">
        <f>'Rate Class Load Model'!B34</f>
        <v>2.5328707434411476E-3</v>
      </c>
      <c r="C344" s="331">
        <f>'Rate Class Load Model'!C34</f>
        <v>2.7811137096264457E-3</v>
      </c>
      <c r="D344" s="331">
        <f>'Rate Class Load Model'!D34</f>
        <v>2.6692741176854618E-3</v>
      </c>
      <c r="E344"/>
      <c r="F344"/>
      <c r="G344"/>
      <c r="H344"/>
    </row>
    <row r="345" spans="1:10" s="328" customFormat="1" x14ac:dyDescent="0.25">
      <c r="A345" s="330">
        <f t="shared" si="94"/>
        <v>2014</v>
      </c>
      <c r="B345" s="331">
        <f>'Rate Class Load Model'!B35</f>
        <v>2.4508107038338058E-3</v>
      </c>
      <c r="C345" s="331">
        <f>'Rate Class Load Model'!C35</f>
        <v>2.7779033404698602E-3</v>
      </c>
      <c r="D345" s="331">
        <f>'Rate Class Load Model'!D35</f>
        <v>2.8002659971083374E-3</v>
      </c>
      <c r="E345"/>
      <c r="F345"/>
      <c r="G345"/>
      <c r="H345"/>
    </row>
    <row r="346" spans="1:10" s="328" customFormat="1" x14ac:dyDescent="0.25">
      <c r="A346" s="330">
        <f t="shared" si="94"/>
        <v>2015</v>
      </c>
      <c r="B346" s="331">
        <f>'Rate Class Load Model'!B36</f>
        <v>2.79181354647602E-3</v>
      </c>
      <c r="C346" s="331">
        <f>'Rate Class Load Model'!C36</f>
        <v>3.1967624278390395E-3</v>
      </c>
      <c r="D346" s="331">
        <f>'Rate Class Load Model'!D36</f>
        <v>2.9872750908354227E-3</v>
      </c>
      <c r="E346"/>
      <c r="F346"/>
      <c r="G346"/>
      <c r="H346"/>
    </row>
    <row r="347" spans="1:10" s="328" customFormat="1" x14ac:dyDescent="0.25">
      <c r="A347" s="330">
        <f t="shared" si="94"/>
        <v>2016</v>
      </c>
      <c r="B347" s="331">
        <f>'Rate Class Load Model'!B37</f>
        <v>2.4887113960887822E-3</v>
      </c>
      <c r="C347" s="331">
        <f>'Rate Class Load Model'!C37</f>
        <v>2.7746483463536279E-3</v>
      </c>
      <c r="D347" s="331">
        <f>'Rate Class Load Model'!D37</f>
        <v>2.9290590178160125E-3</v>
      </c>
      <c r="E347"/>
      <c r="F347"/>
      <c r="G347"/>
      <c r="H347"/>
    </row>
    <row r="348" spans="1:10" s="328" customFormat="1" x14ac:dyDescent="0.25">
      <c r="A348" s="330" t="s">
        <v>285</v>
      </c>
      <c r="B348" s="331">
        <f>'Rate Class Load Model'!B40</f>
        <v>2.5130463443122099E-3</v>
      </c>
      <c r="C348" s="331">
        <f>'Rate Class Load Model'!C40</f>
        <v>2.82418702971435E-3</v>
      </c>
      <c r="D348" s="331">
        <f>'Rate Class Load Model'!D40</f>
        <v>2.8615766735964796E-3</v>
      </c>
      <c r="E348"/>
      <c r="F348"/>
      <c r="G348"/>
      <c r="H348"/>
    </row>
    <row r="349" spans="1:10" s="328" customFormat="1" ht="31.2" x14ac:dyDescent="0.25">
      <c r="A349" s="330" t="s">
        <v>257</v>
      </c>
      <c r="B349" s="331">
        <f>B348</f>
        <v>2.5130463443122099E-3</v>
      </c>
      <c r="C349" s="331">
        <f t="shared" ref="C349" si="95">C348</f>
        <v>2.82418702971435E-3</v>
      </c>
      <c r="D349" s="331" t="s">
        <v>284</v>
      </c>
      <c r="E349"/>
      <c r="F349"/>
      <c r="G349"/>
      <c r="H349"/>
    </row>
    <row r="350" spans="1:10" s="328" customFormat="1" ht="13.8" x14ac:dyDescent="0.25"/>
    <row r="351" spans="1:10" s="328" customFormat="1" x14ac:dyDescent="0.25">
      <c r="A351" s="419" t="s">
        <v>260</v>
      </c>
      <c r="B351" s="420"/>
      <c r="C351" s="420"/>
      <c r="D351" s="420"/>
      <c r="E351" s="420"/>
      <c r="F351"/>
      <c r="G351"/>
      <c r="H351"/>
      <c r="I351"/>
      <c r="J351"/>
    </row>
    <row r="352" spans="1:10" s="328" customFormat="1" ht="46.8" x14ac:dyDescent="0.25">
      <c r="A352" s="284" t="str">
        <f>A332</f>
        <v>Year</v>
      </c>
      <c r="B352" s="285" t="str">
        <f t="shared" ref="B352:D352" si="96">B332</f>
        <v>General Service 50 to 4,999 kW</v>
      </c>
      <c r="C352" s="285" t="str">
        <f t="shared" si="96"/>
        <v>Sentinel Lighting</v>
      </c>
      <c r="D352" s="285" t="str">
        <f t="shared" si="96"/>
        <v>Street Lights</v>
      </c>
      <c r="E352" s="285" t="str">
        <f>E313</f>
        <v>Total</v>
      </c>
      <c r="F352"/>
      <c r="G352"/>
      <c r="H352"/>
      <c r="I352"/>
    </row>
    <row r="353" spans="1:10" s="328" customFormat="1" x14ac:dyDescent="0.25">
      <c r="A353" s="419" t="s">
        <v>258</v>
      </c>
      <c r="B353" s="420"/>
      <c r="C353" s="420"/>
      <c r="D353" s="420"/>
      <c r="E353" s="431"/>
      <c r="F353"/>
      <c r="G353"/>
      <c r="H353"/>
      <c r="I353"/>
    </row>
    <row r="354" spans="1:10" s="328" customFormat="1" x14ac:dyDescent="0.25">
      <c r="A354" s="311" t="str">
        <f>A309</f>
        <v>2017 Bridge</v>
      </c>
      <c r="B354" s="312" t="e">
        <f>B349*D309*1000000</f>
        <v>#REF!</v>
      </c>
      <c r="C354" s="312" t="e">
        <f t="shared" ref="C354" si="97">C349*E309*1000000</f>
        <v>#REF!</v>
      </c>
      <c r="D354" s="312">
        <f>'Rate Class Load Model'!D18</f>
        <v>7030.1</v>
      </c>
      <c r="E354" s="312" t="e">
        <f>SUM(B354:D354)</f>
        <v>#REF!</v>
      </c>
      <c r="F354"/>
      <c r="G354"/>
      <c r="H354"/>
      <c r="I354"/>
      <c r="J354" s="329"/>
    </row>
    <row r="355" spans="1:10" s="328" customFormat="1" x14ac:dyDescent="0.25">
      <c r="A355" s="311" t="str">
        <f>A310</f>
        <v>2018 Test</v>
      </c>
      <c r="B355" s="312" t="e">
        <f>B349*D310*1000000</f>
        <v>#REF!</v>
      </c>
      <c r="C355" s="312">
        <f t="shared" ref="C355" si="98">C349*E310*1000000</f>
        <v>592.51480879014923</v>
      </c>
      <c r="D355" s="312">
        <f>D354</f>
        <v>7030.1</v>
      </c>
      <c r="E355" s="312" t="e">
        <f>SUM(B355:D355)</f>
        <v>#REF!</v>
      </c>
      <c r="F355"/>
      <c r="G355"/>
      <c r="H355"/>
      <c r="I355"/>
      <c r="J355" s="329"/>
    </row>
    <row r="356" spans="1:10" x14ac:dyDescent="0.3">
      <c r="A356" s="273"/>
      <c r="B356" s="274"/>
      <c r="C356" s="274"/>
      <c r="D356" s="274"/>
      <c r="E356" s="274"/>
      <c r="F356" s="274"/>
      <c r="G356" s="274"/>
      <c r="H356" s="274"/>
      <c r="I356" s="274"/>
    </row>
    <row r="357" spans="1:10" x14ac:dyDescent="0.3">
      <c r="A357" s="273"/>
      <c r="B357" s="274"/>
      <c r="C357" s="274"/>
      <c r="D357" s="274"/>
      <c r="E357" s="274"/>
      <c r="F357" s="274"/>
      <c r="G357" s="274"/>
      <c r="H357" s="274"/>
      <c r="I357" s="274"/>
    </row>
    <row r="358" spans="1:10" x14ac:dyDescent="0.3">
      <c r="A358" s="373" t="s">
        <v>298</v>
      </c>
      <c r="B358" s="372"/>
      <c r="C358" s="372"/>
      <c r="D358" s="372"/>
      <c r="E358" s="274"/>
      <c r="F358" s="274"/>
      <c r="G358" s="274"/>
      <c r="H358" s="274"/>
      <c r="I358" s="274"/>
    </row>
    <row r="359" spans="1:10" ht="31.2" x14ac:dyDescent="0.3">
      <c r="A359" s="326" t="s">
        <v>297</v>
      </c>
      <c r="B359" s="285" t="s">
        <v>189</v>
      </c>
      <c r="C359" s="285" t="s">
        <v>270</v>
      </c>
      <c r="D359" s="285" t="s">
        <v>299</v>
      </c>
      <c r="E359" s="374" t="s">
        <v>300</v>
      </c>
      <c r="F359" s="274"/>
      <c r="G359" s="274"/>
      <c r="H359" s="274"/>
      <c r="I359" s="274"/>
    </row>
    <row r="360" spans="1:10" x14ac:dyDescent="0.3">
      <c r="A360" s="377" t="s">
        <v>1</v>
      </c>
      <c r="B360" s="387">
        <f t="shared" ref="B360:C365" si="99">+B4</f>
        <v>9069512</v>
      </c>
      <c r="C360" s="387">
        <f t="shared" si="99"/>
        <v>8383231.0899999999</v>
      </c>
      <c r="D360" s="387">
        <f>+C360-B360</f>
        <v>-686280.91000000015</v>
      </c>
      <c r="E360" s="388">
        <f>+D360/B360</f>
        <v>-7.5669000713599596E-2</v>
      </c>
      <c r="F360" s="274"/>
      <c r="G360" s="274"/>
      <c r="H360" s="274"/>
      <c r="I360" s="274"/>
    </row>
    <row r="361" spans="1:10" x14ac:dyDescent="0.3">
      <c r="A361" s="330" t="s">
        <v>289</v>
      </c>
      <c r="B361" s="379">
        <f t="shared" si="99"/>
        <v>2664966</v>
      </c>
      <c r="C361" s="387">
        <f t="shared" si="99"/>
        <v>2479550.11</v>
      </c>
      <c r="D361" s="387">
        <f t="shared" ref="D361:D365" si="100">+C361-B361</f>
        <v>-185415.89000000013</v>
      </c>
      <c r="E361" s="388">
        <f t="shared" ref="E361:E366" si="101">+D361/B361</f>
        <v>-6.9575330416973474E-2</v>
      </c>
      <c r="F361" s="274"/>
      <c r="G361" s="274"/>
      <c r="H361" s="274"/>
      <c r="I361" s="274"/>
    </row>
    <row r="362" spans="1:10" x14ac:dyDescent="0.3">
      <c r="A362" s="375" t="s">
        <v>317</v>
      </c>
      <c r="B362" s="379">
        <f t="shared" si="99"/>
        <v>3725714</v>
      </c>
      <c r="C362" s="387">
        <f t="shared" si="99"/>
        <v>3723727.25</v>
      </c>
      <c r="D362" s="387">
        <f t="shared" si="100"/>
        <v>-1986.75</v>
      </c>
      <c r="E362" s="388">
        <f t="shared" si="101"/>
        <v>-5.3325349181391807E-4</v>
      </c>
      <c r="F362" s="274"/>
      <c r="G362" s="274"/>
      <c r="H362" s="274"/>
      <c r="I362" s="274"/>
    </row>
    <row r="363" spans="1:10" x14ac:dyDescent="0.3">
      <c r="A363" s="330" t="s">
        <v>148</v>
      </c>
      <c r="B363" s="379">
        <f t="shared" si="99"/>
        <v>31753</v>
      </c>
      <c r="C363" s="387">
        <f t="shared" si="99"/>
        <v>28613.17</v>
      </c>
      <c r="D363" s="387">
        <f t="shared" si="100"/>
        <v>-3139.8300000000017</v>
      </c>
      <c r="E363" s="388">
        <f t="shared" si="101"/>
        <v>-9.8882940194627331E-2</v>
      </c>
      <c r="F363" s="274"/>
      <c r="G363" s="274"/>
      <c r="H363" s="274"/>
      <c r="I363" s="274"/>
    </row>
    <row r="364" spans="1:10" x14ac:dyDescent="0.3">
      <c r="A364" s="330" t="s">
        <v>290</v>
      </c>
      <c r="B364" s="379">
        <f t="shared" si="99"/>
        <v>720198</v>
      </c>
      <c r="C364" s="387">
        <f t="shared" si="99"/>
        <v>663165.81999999995</v>
      </c>
      <c r="D364" s="387">
        <f t="shared" si="100"/>
        <v>-57032.180000000051</v>
      </c>
      <c r="E364" s="388">
        <f t="shared" si="101"/>
        <v>-7.918958397551791E-2</v>
      </c>
      <c r="F364" s="274"/>
      <c r="G364" s="274"/>
      <c r="H364" s="274"/>
      <c r="I364" s="274"/>
    </row>
    <row r="365" spans="1:10" x14ac:dyDescent="0.3">
      <c r="A365" s="330" t="s">
        <v>291</v>
      </c>
      <c r="B365" s="379">
        <f t="shared" si="99"/>
        <v>29206</v>
      </c>
      <c r="C365" s="387">
        <f t="shared" si="99"/>
        <v>27443</v>
      </c>
      <c r="D365" s="387">
        <f t="shared" si="100"/>
        <v>-1763</v>
      </c>
      <c r="E365" s="388">
        <f t="shared" si="101"/>
        <v>-6.0364308703691021E-2</v>
      </c>
      <c r="F365" s="274"/>
      <c r="G365" s="274"/>
      <c r="H365" s="274"/>
      <c r="I365" s="274"/>
    </row>
    <row r="366" spans="1:10" x14ac:dyDescent="0.3">
      <c r="A366" s="376" t="s">
        <v>12</v>
      </c>
      <c r="B366" s="381">
        <f>SUM(B360:B365)</f>
        <v>16241349</v>
      </c>
      <c r="C366" s="381">
        <f>SUM(C360:C365)</f>
        <v>15305730.439999999</v>
      </c>
      <c r="D366" s="381">
        <f>SUM(D360:D365)</f>
        <v>-935618.56000000029</v>
      </c>
      <c r="E366" s="389">
        <f t="shared" si="101"/>
        <v>-5.7607195067355565E-2</v>
      </c>
      <c r="F366" s="274"/>
      <c r="G366" s="274"/>
      <c r="H366" s="274"/>
      <c r="I366" s="274"/>
    </row>
    <row r="367" spans="1:10" x14ac:dyDescent="0.3">
      <c r="A367" s="273"/>
      <c r="B367" s="274"/>
      <c r="C367" s="274"/>
      <c r="D367" s="274"/>
      <c r="E367" s="274"/>
      <c r="F367" s="274"/>
      <c r="G367" s="274"/>
      <c r="H367" s="274"/>
      <c r="I367" s="274"/>
    </row>
    <row r="368" spans="1:10" x14ac:dyDescent="0.3">
      <c r="A368" s="373" t="s">
        <v>301</v>
      </c>
      <c r="B368" s="372"/>
      <c r="C368" s="372"/>
      <c r="D368" s="372"/>
      <c r="E368" s="274"/>
      <c r="F368" s="274"/>
      <c r="G368" s="274"/>
      <c r="H368" s="274"/>
      <c r="I368" s="274"/>
    </row>
    <row r="369" spans="1:9" ht="31.2" x14ac:dyDescent="0.3">
      <c r="A369" s="326" t="s">
        <v>297</v>
      </c>
      <c r="B369" s="285" t="s">
        <v>270</v>
      </c>
      <c r="C369" s="374" t="s">
        <v>273</v>
      </c>
      <c r="D369" s="285" t="s">
        <v>299</v>
      </c>
      <c r="E369" s="374" t="s">
        <v>300</v>
      </c>
      <c r="F369" s="274"/>
      <c r="G369" s="274"/>
      <c r="H369" s="274"/>
      <c r="I369" s="274"/>
    </row>
    <row r="370" spans="1:9" x14ac:dyDescent="0.3">
      <c r="A370" s="377" t="s">
        <v>1</v>
      </c>
      <c r="B370" s="380">
        <f>+C360</f>
        <v>8383231.0899999999</v>
      </c>
      <c r="C370" s="380">
        <f t="shared" ref="C370:C375" si="102">+D4</f>
        <v>9058873.4199999999</v>
      </c>
      <c r="D370" s="380">
        <f>+C370-B370</f>
        <v>675642.33000000007</v>
      </c>
      <c r="E370" s="384">
        <f>+D370/B370</f>
        <v>8.0594501421527687E-2</v>
      </c>
      <c r="F370" s="274"/>
      <c r="G370" s="274"/>
      <c r="H370" s="274"/>
      <c r="I370" s="274"/>
    </row>
    <row r="371" spans="1:9" x14ac:dyDescent="0.3">
      <c r="A371" s="330" t="s">
        <v>289</v>
      </c>
      <c r="B371" s="380">
        <f t="shared" ref="B371:B375" si="103">+C361</f>
        <v>2479550.11</v>
      </c>
      <c r="C371" s="380">
        <f t="shared" si="102"/>
        <v>2662132.09</v>
      </c>
      <c r="D371" s="380">
        <f t="shared" ref="D371:D375" si="104">+C371-B371</f>
        <v>182581.97999999998</v>
      </c>
      <c r="E371" s="384">
        <f t="shared" ref="E371:E376" si="105">+D371/B371</f>
        <v>7.3635124074987943E-2</v>
      </c>
      <c r="F371" s="274"/>
      <c r="G371" s="274"/>
      <c r="H371" s="274"/>
      <c r="I371" s="274"/>
    </row>
    <row r="372" spans="1:9" x14ac:dyDescent="0.3">
      <c r="A372" s="375" t="s">
        <v>317</v>
      </c>
      <c r="B372" s="380">
        <f t="shared" si="103"/>
        <v>3723727.25</v>
      </c>
      <c r="C372" s="380">
        <f t="shared" si="102"/>
        <v>3753659.93</v>
      </c>
      <c r="D372" s="380">
        <f t="shared" si="104"/>
        <v>29932.680000000168</v>
      </c>
      <c r="E372" s="384">
        <f t="shared" si="105"/>
        <v>8.0383653233464317E-3</v>
      </c>
      <c r="F372" s="274"/>
      <c r="G372" s="274"/>
      <c r="H372" s="274"/>
      <c r="I372" s="274"/>
    </row>
    <row r="373" spans="1:9" x14ac:dyDescent="0.3">
      <c r="A373" s="330" t="s">
        <v>148</v>
      </c>
      <c r="B373" s="380">
        <f t="shared" si="103"/>
        <v>28613.17</v>
      </c>
      <c r="C373" s="380">
        <f t="shared" si="102"/>
        <v>31254.59</v>
      </c>
      <c r="D373" s="380">
        <f t="shared" si="104"/>
        <v>2641.4200000000019</v>
      </c>
      <c r="E373" s="384">
        <f t="shared" si="105"/>
        <v>9.2314832645246994E-2</v>
      </c>
      <c r="F373" s="274"/>
      <c r="G373" s="274"/>
      <c r="H373" s="274"/>
      <c r="I373" s="274"/>
    </row>
    <row r="374" spans="1:9" x14ac:dyDescent="0.3">
      <c r="A374" s="330" t="s">
        <v>290</v>
      </c>
      <c r="B374" s="380">
        <f t="shared" si="103"/>
        <v>663165.81999999995</v>
      </c>
      <c r="C374" s="380">
        <f t="shared" si="102"/>
        <v>702906.23</v>
      </c>
      <c r="D374" s="380">
        <f t="shared" si="104"/>
        <v>39740.410000000033</v>
      </c>
      <c r="E374" s="384">
        <f>+D374/B374</f>
        <v>5.9925298924483228E-2</v>
      </c>
      <c r="F374" s="274"/>
      <c r="G374" s="274"/>
      <c r="H374" s="274"/>
      <c r="I374" s="274"/>
    </row>
    <row r="375" spans="1:9" x14ac:dyDescent="0.3">
      <c r="A375" s="330" t="s">
        <v>291</v>
      </c>
      <c r="B375" s="380">
        <f t="shared" si="103"/>
        <v>27443</v>
      </c>
      <c r="C375" s="380">
        <f t="shared" si="102"/>
        <v>29446.14</v>
      </c>
      <c r="D375" s="380">
        <f t="shared" si="104"/>
        <v>2003.1399999999994</v>
      </c>
      <c r="E375" s="384">
        <f t="shared" si="105"/>
        <v>7.2992748606201918E-2</v>
      </c>
      <c r="F375" s="274"/>
      <c r="G375" s="274"/>
      <c r="H375" s="274"/>
      <c r="I375" s="274"/>
    </row>
    <row r="376" spans="1:9" x14ac:dyDescent="0.3">
      <c r="A376" s="376" t="s">
        <v>12</v>
      </c>
      <c r="B376" s="381">
        <f>SUM(B370:B375)</f>
        <v>15305730.439999999</v>
      </c>
      <c r="C376" s="381">
        <f>SUM(C370:C375)</f>
        <v>16238272.4</v>
      </c>
      <c r="D376" s="381">
        <f>SUM(D370:D375)</f>
        <v>932541.96000000031</v>
      </c>
      <c r="E376" s="385">
        <f t="shared" si="105"/>
        <v>6.092763515309893E-2</v>
      </c>
      <c r="F376" s="274"/>
      <c r="G376" s="274"/>
      <c r="H376" s="274"/>
      <c r="I376" s="274"/>
    </row>
    <row r="377" spans="1:9" x14ac:dyDescent="0.3">
      <c r="A377" s="273"/>
      <c r="B377" s="274"/>
      <c r="C377" s="274"/>
      <c r="D377" s="274"/>
      <c r="E377" s="274"/>
      <c r="F377" s="274"/>
      <c r="G377" s="274"/>
      <c r="H377" s="274"/>
      <c r="I377" s="274"/>
    </row>
    <row r="378" spans="1:9" x14ac:dyDescent="0.3">
      <c r="A378" s="373" t="s">
        <v>302</v>
      </c>
      <c r="B378" s="372"/>
      <c r="C378" s="372"/>
      <c r="D378" s="372"/>
      <c r="E378" s="274"/>
      <c r="F378" s="274"/>
      <c r="G378" s="383"/>
      <c r="H378" s="274"/>
      <c r="I378" s="274"/>
    </row>
    <row r="379" spans="1:9" ht="31.2" x14ac:dyDescent="0.3">
      <c r="A379" s="326" t="s">
        <v>297</v>
      </c>
      <c r="B379" s="374" t="s">
        <v>273</v>
      </c>
      <c r="C379" s="374" t="s">
        <v>174</v>
      </c>
      <c r="D379" s="285" t="s">
        <v>299</v>
      </c>
      <c r="E379" s="374" t="s">
        <v>300</v>
      </c>
      <c r="F379" s="274"/>
      <c r="G379" s="274"/>
      <c r="H379" s="274"/>
      <c r="I379" s="274"/>
    </row>
    <row r="380" spans="1:9" x14ac:dyDescent="0.3">
      <c r="A380" s="377" t="s">
        <v>1</v>
      </c>
      <c r="B380" s="380">
        <f>+C370</f>
        <v>9058873.4199999999</v>
      </c>
      <c r="C380" s="380">
        <f t="shared" ref="C380:C385" si="106">+E4</f>
        <v>8805835.6899999995</v>
      </c>
      <c r="D380" s="380">
        <f t="shared" ref="D380:D385" si="107">+C380-B380</f>
        <v>-253037.73000000045</v>
      </c>
      <c r="E380" s="384">
        <f t="shared" ref="E380:E386" si="108">+D380/B380</f>
        <v>-2.7932582592593555E-2</v>
      </c>
      <c r="F380" s="274"/>
      <c r="G380" s="274"/>
      <c r="H380" s="274"/>
      <c r="I380" s="274"/>
    </row>
    <row r="381" spans="1:9" x14ac:dyDescent="0.3">
      <c r="A381" s="330" t="s">
        <v>289</v>
      </c>
      <c r="B381" s="380">
        <f t="shared" ref="B381:B385" si="109">+C371</f>
        <v>2662132.09</v>
      </c>
      <c r="C381" s="380">
        <f t="shared" si="106"/>
        <v>2636670.63</v>
      </c>
      <c r="D381" s="380">
        <f t="shared" si="107"/>
        <v>-25461.459999999963</v>
      </c>
      <c r="E381" s="384">
        <f t="shared" si="108"/>
        <v>-9.5643112885506615E-3</v>
      </c>
      <c r="F381" s="274"/>
      <c r="G381" s="274"/>
      <c r="H381" s="274"/>
      <c r="I381" s="274"/>
    </row>
    <row r="382" spans="1:9" x14ac:dyDescent="0.3">
      <c r="A382" s="375" t="s">
        <v>317</v>
      </c>
      <c r="B382" s="380">
        <f t="shared" si="109"/>
        <v>3753659.93</v>
      </c>
      <c r="C382" s="380">
        <f t="shared" si="106"/>
        <v>4011125.36</v>
      </c>
      <c r="D382" s="380">
        <f t="shared" si="107"/>
        <v>257465.4299999997</v>
      </c>
      <c r="E382" s="384">
        <f t="shared" si="108"/>
        <v>6.859050494752722E-2</v>
      </c>
      <c r="F382" s="274"/>
      <c r="G382" s="274"/>
      <c r="H382" s="274"/>
      <c r="I382" s="274"/>
    </row>
    <row r="383" spans="1:9" x14ac:dyDescent="0.3">
      <c r="A383" s="330" t="s">
        <v>148</v>
      </c>
      <c r="B383" s="380">
        <f t="shared" si="109"/>
        <v>31254.59</v>
      </c>
      <c r="C383" s="380">
        <f t="shared" si="106"/>
        <v>28967.18</v>
      </c>
      <c r="D383" s="380">
        <f t="shared" si="107"/>
        <v>-2287.41</v>
      </c>
      <c r="E383" s="384">
        <f t="shared" si="108"/>
        <v>-7.3186370385917715E-2</v>
      </c>
      <c r="F383" s="274"/>
      <c r="G383" s="274"/>
      <c r="H383" s="274"/>
      <c r="I383" s="274"/>
    </row>
    <row r="384" spans="1:9" x14ac:dyDescent="0.3">
      <c r="A384" s="330" t="s">
        <v>290</v>
      </c>
      <c r="B384" s="380">
        <f t="shared" si="109"/>
        <v>702906.23</v>
      </c>
      <c r="C384" s="380">
        <f t="shared" si="106"/>
        <v>727781.03</v>
      </c>
      <c r="D384" s="380">
        <f t="shared" si="107"/>
        <v>24874.800000000047</v>
      </c>
      <c r="E384" s="384">
        <f t="shared" si="108"/>
        <v>3.5388504096769843E-2</v>
      </c>
      <c r="F384" s="274"/>
      <c r="G384" s="274"/>
      <c r="H384" s="274"/>
      <c r="I384" s="274"/>
    </row>
    <row r="385" spans="1:9" x14ac:dyDescent="0.3">
      <c r="A385" s="330" t="s">
        <v>291</v>
      </c>
      <c r="B385" s="380">
        <f t="shared" si="109"/>
        <v>29446.14</v>
      </c>
      <c r="C385" s="380">
        <f t="shared" si="106"/>
        <v>30918.73</v>
      </c>
      <c r="D385" s="380">
        <f t="shared" si="107"/>
        <v>1472.5900000000001</v>
      </c>
      <c r="E385" s="384">
        <f t="shared" si="108"/>
        <v>5.0009610767319593E-2</v>
      </c>
      <c r="F385" s="274"/>
      <c r="G385" s="274"/>
      <c r="H385" s="274"/>
      <c r="I385" s="274"/>
    </row>
    <row r="386" spans="1:9" x14ac:dyDescent="0.3">
      <c r="A386" s="376" t="s">
        <v>12</v>
      </c>
      <c r="B386" s="381">
        <f>SUM(B380:B385)</f>
        <v>16238272.4</v>
      </c>
      <c r="C386" s="381">
        <f>SUM(C380:C385)</f>
        <v>16241298.619999999</v>
      </c>
      <c r="D386" s="381">
        <f>SUM(D380:D385)</f>
        <v>3026.2199999993391</v>
      </c>
      <c r="E386" s="385">
        <f t="shared" si="108"/>
        <v>1.8636342127130093E-4</v>
      </c>
      <c r="F386" s="274"/>
      <c r="G386" s="274"/>
      <c r="H386" s="274"/>
      <c r="I386" s="274"/>
    </row>
    <row r="387" spans="1:9" x14ac:dyDescent="0.3">
      <c r="A387" s="273"/>
      <c r="B387" s="274"/>
      <c r="C387" s="274"/>
      <c r="D387" s="274"/>
      <c r="E387" s="274"/>
      <c r="F387" s="274"/>
      <c r="G387" s="274"/>
      <c r="H387" s="274"/>
      <c r="I387" s="274"/>
    </row>
    <row r="388" spans="1:9" x14ac:dyDescent="0.3">
      <c r="A388" s="373" t="s">
        <v>303</v>
      </c>
      <c r="B388" s="372"/>
      <c r="C388" s="372"/>
      <c r="D388" s="372"/>
      <c r="E388" s="274"/>
      <c r="F388" s="274"/>
      <c r="G388" s="274"/>
      <c r="H388" s="274"/>
      <c r="I388" s="274"/>
    </row>
    <row r="389" spans="1:9" ht="31.2" x14ac:dyDescent="0.3">
      <c r="A389" s="326" t="s">
        <v>297</v>
      </c>
      <c r="B389" s="374" t="s">
        <v>174</v>
      </c>
      <c r="C389" s="374" t="s">
        <v>175</v>
      </c>
      <c r="D389" s="285" t="s">
        <v>299</v>
      </c>
      <c r="E389" s="374" t="s">
        <v>300</v>
      </c>
      <c r="F389" s="274"/>
      <c r="G389" s="274"/>
      <c r="H389" s="274"/>
      <c r="I389" s="274"/>
    </row>
    <row r="390" spans="1:9" x14ac:dyDescent="0.3">
      <c r="A390" s="377" t="s">
        <v>1</v>
      </c>
      <c r="B390" s="380">
        <f>+C380</f>
        <v>8805835.6899999995</v>
      </c>
      <c r="C390" s="380">
        <f t="shared" ref="C390:C395" si="110">+F4</f>
        <v>8499404.4299999997</v>
      </c>
      <c r="D390" s="380">
        <f t="shared" ref="D390" si="111">+C390-B390</f>
        <v>-306431.25999999978</v>
      </c>
      <c r="E390" s="384">
        <f t="shared" ref="E390" si="112">+D390/B390</f>
        <v>-3.4798657479833101E-2</v>
      </c>
      <c r="F390" s="274"/>
      <c r="G390" s="274"/>
      <c r="H390" s="274"/>
      <c r="I390" s="274"/>
    </row>
    <row r="391" spans="1:9" x14ac:dyDescent="0.3">
      <c r="A391" s="330" t="s">
        <v>289</v>
      </c>
      <c r="B391" s="380">
        <f t="shared" ref="B391:B395" si="113">+C381</f>
        <v>2636670.63</v>
      </c>
      <c r="C391" s="380">
        <f t="shared" si="110"/>
        <v>2537808.73</v>
      </c>
      <c r="D391" s="380">
        <f t="shared" ref="D391:D395" si="114">+C391-B391</f>
        <v>-98861.899999999907</v>
      </c>
      <c r="E391" s="384">
        <f t="shared" ref="E391:E396" si="115">+D391/B391</f>
        <v>-3.7494975244594698E-2</v>
      </c>
      <c r="F391" s="274"/>
      <c r="G391" s="274"/>
      <c r="H391" s="274"/>
      <c r="I391" s="274"/>
    </row>
    <row r="392" spans="1:9" x14ac:dyDescent="0.3">
      <c r="A392" s="375" t="s">
        <v>317</v>
      </c>
      <c r="B392" s="380">
        <f t="shared" si="113"/>
        <v>4011125.36</v>
      </c>
      <c r="C392" s="380">
        <f t="shared" si="110"/>
        <v>3820757.83</v>
      </c>
      <c r="D392" s="380">
        <f t="shared" si="114"/>
        <v>-190367.5299999998</v>
      </c>
      <c r="E392" s="384">
        <f t="shared" si="115"/>
        <v>-4.7459880436147676E-2</v>
      </c>
      <c r="F392" s="274"/>
      <c r="G392" s="274"/>
      <c r="H392" s="274"/>
      <c r="I392" s="274"/>
    </row>
    <row r="393" spans="1:9" x14ac:dyDescent="0.3">
      <c r="A393" s="330" t="s">
        <v>148</v>
      </c>
      <c r="B393" s="380">
        <f t="shared" si="113"/>
        <v>28967.18</v>
      </c>
      <c r="C393" s="380">
        <f t="shared" si="110"/>
        <v>29440.080000000002</v>
      </c>
      <c r="D393" s="380">
        <f t="shared" si="114"/>
        <v>472.90000000000146</v>
      </c>
      <c r="E393" s="384">
        <f t="shared" si="115"/>
        <v>1.6325372369695685E-2</v>
      </c>
      <c r="F393" s="274"/>
      <c r="G393" s="274"/>
      <c r="H393" s="274"/>
      <c r="I393" s="274"/>
    </row>
    <row r="394" spans="1:9" x14ac:dyDescent="0.3">
      <c r="A394" s="330" t="s">
        <v>290</v>
      </c>
      <c r="B394" s="380">
        <f t="shared" si="113"/>
        <v>727781.03</v>
      </c>
      <c r="C394" s="380">
        <f t="shared" si="110"/>
        <v>577770.6</v>
      </c>
      <c r="D394" s="380">
        <f t="shared" si="114"/>
        <v>-150010.43000000005</v>
      </c>
      <c r="E394" s="384">
        <f t="shared" si="115"/>
        <v>-0.2061202804365484</v>
      </c>
      <c r="F394" s="274"/>
      <c r="G394" s="274"/>
      <c r="H394" s="274"/>
      <c r="I394" s="274"/>
    </row>
    <row r="395" spans="1:9" x14ac:dyDescent="0.3">
      <c r="A395" s="330" t="s">
        <v>291</v>
      </c>
      <c r="B395" s="380">
        <f t="shared" si="113"/>
        <v>30918.73</v>
      </c>
      <c r="C395" s="380">
        <f t="shared" si="110"/>
        <v>30762.16</v>
      </c>
      <c r="D395" s="380">
        <f t="shared" si="114"/>
        <v>-156.56999999999971</v>
      </c>
      <c r="E395" s="384">
        <f t="shared" si="115"/>
        <v>-5.0639208014041882E-3</v>
      </c>
      <c r="F395" s="274"/>
      <c r="G395" s="274"/>
      <c r="H395" s="274"/>
      <c r="I395" s="274"/>
    </row>
    <row r="396" spans="1:9" x14ac:dyDescent="0.3">
      <c r="A396" s="376" t="s">
        <v>12</v>
      </c>
      <c r="B396" s="381">
        <f>SUM(B390:B395)</f>
        <v>16241298.619999999</v>
      </c>
      <c r="C396" s="381">
        <f>SUM(C390:C395)</f>
        <v>15495943.83</v>
      </c>
      <c r="D396" s="381">
        <f>SUM(D390:D395)</f>
        <v>-745354.78999999946</v>
      </c>
      <c r="E396" s="385">
        <f t="shared" si="115"/>
        <v>-4.5892561145458421E-2</v>
      </c>
      <c r="F396" s="274"/>
      <c r="G396" s="274"/>
      <c r="H396" s="274"/>
      <c r="I396" s="274"/>
    </row>
    <row r="397" spans="1:9" x14ac:dyDescent="0.3">
      <c r="A397" s="273"/>
      <c r="B397" s="274"/>
      <c r="C397" s="274"/>
      <c r="D397" s="274"/>
      <c r="E397" s="274"/>
      <c r="F397" s="274"/>
      <c r="G397" s="274"/>
      <c r="H397" s="274"/>
      <c r="I397" s="274"/>
    </row>
    <row r="398" spans="1:9" x14ac:dyDescent="0.3">
      <c r="A398" s="373" t="s">
        <v>304</v>
      </c>
      <c r="B398" s="372"/>
      <c r="C398" s="372"/>
      <c r="D398" s="372"/>
      <c r="E398" s="274"/>
      <c r="F398" s="274"/>
      <c r="G398" s="274"/>
      <c r="H398" s="274"/>
      <c r="I398" s="274"/>
    </row>
    <row r="399" spans="1:9" ht="31.2" x14ac:dyDescent="0.3">
      <c r="A399" s="326" t="s">
        <v>297</v>
      </c>
      <c r="B399" s="374" t="s">
        <v>175</v>
      </c>
      <c r="C399" s="374" t="s">
        <v>199</v>
      </c>
      <c r="D399" s="285" t="s">
        <v>299</v>
      </c>
      <c r="E399" s="374" t="s">
        <v>300</v>
      </c>
      <c r="F399" s="274"/>
      <c r="G399" s="274"/>
      <c r="H399" s="274"/>
      <c r="I399" s="274"/>
    </row>
    <row r="400" spans="1:9" x14ac:dyDescent="0.3">
      <c r="A400" s="377" t="s">
        <v>1</v>
      </c>
      <c r="B400" s="382">
        <f>+C390</f>
        <v>8499404.4299999997</v>
      </c>
      <c r="C400" s="378">
        <f t="shared" ref="C400:C405" si="116">+G4</f>
        <v>9399840.5899999999</v>
      </c>
      <c r="D400" s="380">
        <f t="shared" ref="D400" si="117">+C400-B400</f>
        <v>900436.16000000015</v>
      </c>
      <c r="E400" s="384">
        <f t="shared" ref="E400" si="118">+D400/B400</f>
        <v>0.10594108886285815</v>
      </c>
      <c r="F400" s="274"/>
      <c r="G400" s="274"/>
      <c r="H400" s="274"/>
      <c r="I400" s="274"/>
    </row>
    <row r="401" spans="1:9" x14ac:dyDescent="0.3">
      <c r="A401" s="330" t="s">
        <v>289</v>
      </c>
      <c r="B401" s="382">
        <f t="shared" ref="B401:B405" si="119">+C391</f>
        <v>2537808.73</v>
      </c>
      <c r="C401" s="378">
        <f t="shared" si="116"/>
        <v>2685304.73</v>
      </c>
      <c r="D401" s="380">
        <f t="shared" ref="D401:D405" si="120">+C401-B401</f>
        <v>147496</v>
      </c>
      <c r="E401" s="384">
        <f t="shared" ref="E401:E406" si="121">+D401/B401</f>
        <v>5.8119431246499022E-2</v>
      </c>
      <c r="F401" s="274"/>
      <c r="G401" s="274"/>
      <c r="H401" s="274"/>
      <c r="I401" s="274"/>
    </row>
    <row r="402" spans="1:9" x14ac:dyDescent="0.3">
      <c r="A402" s="375" t="s">
        <v>317</v>
      </c>
      <c r="B402" s="382">
        <f t="shared" si="119"/>
        <v>3820757.83</v>
      </c>
      <c r="C402" s="378">
        <f t="shared" si="116"/>
        <v>3836106.59</v>
      </c>
      <c r="D402" s="380">
        <f t="shared" si="120"/>
        <v>15348.759999999776</v>
      </c>
      <c r="E402" s="384">
        <f t="shared" si="121"/>
        <v>4.0172030479094182E-3</v>
      </c>
      <c r="F402" s="274"/>
      <c r="G402" s="274"/>
      <c r="H402" s="274"/>
      <c r="I402" s="274"/>
    </row>
    <row r="403" spans="1:9" x14ac:dyDescent="0.3">
      <c r="A403" s="330" t="s">
        <v>148</v>
      </c>
      <c r="B403" s="382">
        <f t="shared" si="119"/>
        <v>29440.080000000002</v>
      </c>
      <c r="C403" s="378">
        <f t="shared" si="116"/>
        <v>29795.58</v>
      </c>
      <c r="D403" s="380">
        <f t="shared" si="120"/>
        <v>355.5</v>
      </c>
      <c r="E403" s="384">
        <f t="shared" si="121"/>
        <v>1.2075374795177186E-2</v>
      </c>
      <c r="F403" s="274"/>
      <c r="G403" s="274"/>
      <c r="H403" s="274"/>
      <c r="I403" s="274"/>
    </row>
    <row r="404" spans="1:9" x14ac:dyDescent="0.3">
      <c r="A404" s="330" t="s">
        <v>290</v>
      </c>
      <c r="B404" s="382">
        <f t="shared" si="119"/>
        <v>577770.6</v>
      </c>
      <c r="C404" s="378">
        <f t="shared" si="116"/>
        <v>456676</v>
      </c>
      <c r="D404" s="380">
        <f t="shared" si="120"/>
        <v>-121094.59999999998</v>
      </c>
      <c r="E404" s="384">
        <f t="shared" si="121"/>
        <v>-0.20958941143768822</v>
      </c>
      <c r="F404" s="274"/>
      <c r="G404" s="274"/>
      <c r="H404" s="274"/>
      <c r="I404" s="274"/>
    </row>
    <row r="405" spans="1:9" x14ac:dyDescent="0.3">
      <c r="A405" s="330" t="s">
        <v>291</v>
      </c>
      <c r="B405" s="382">
        <f t="shared" si="119"/>
        <v>30762.16</v>
      </c>
      <c r="C405" s="378">
        <f t="shared" si="116"/>
        <v>31815.09</v>
      </c>
      <c r="D405" s="380">
        <f t="shared" si="120"/>
        <v>1052.9300000000003</v>
      </c>
      <c r="E405" s="384">
        <f t="shared" si="121"/>
        <v>3.4228090615223389E-2</v>
      </c>
      <c r="F405" s="274"/>
      <c r="G405" s="274"/>
      <c r="H405" s="274"/>
      <c r="I405" s="274"/>
    </row>
    <row r="406" spans="1:9" x14ac:dyDescent="0.3">
      <c r="A406" s="376" t="s">
        <v>12</v>
      </c>
      <c r="B406" s="381">
        <f>SUM(B400:B405)</f>
        <v>15495943.83</v>
      </c>
      <c r="C406" s="381">
        <f>SUM(C400:C405)</f>
        <v>16439538.58</v>
      </c>
      <c r="D406" s="381">
        <f>SUM(D400:D405)</f>
        <v>943594.75</v>
      </c>
      <c r="E406" s="385">
        <f t="shared" si="121"/>
        <v>6.0893015640209637E-2</v>
      </c>
      <c r="F406" s="274"/>
      <c r="G406" s="274"/>
      <c r="H406" s="274"/>
      <c r="I406" s="274"/>
    </row>
    <row r="407" spans="1:9" x14ac:dyDescent="0.3">
      <c r="A407" s="273"/>
      <c r="B407" s="274"/>
      <c r="C407" s="274"/>
      <c r="D407" s="274"/>
      <c r="E407" s="274"/>
      <c r="F407" s="274"/>
      <c r="G407" s="274"/>
      <c r="H407" s="274"/>
      <c r="I407" s="274"/>
    </row>
    <row r="408" spans="1:9" x14ac:dyDescent="0.3">
      <c r="A408" s="373" t="s">
        <v>305</v>
      </c>
      <c r="B408" s="372"/>
      <c r="C408" s="372"/>
      <c r="D408" s="372"/>
      <c r="E408" s="274"/>
      <c r="F408" s="274"/>
      <c r="G408" s="274"/>
      <c r="H408" s="274"/>
      <c r="I408" s="274"/>
    </row>
    <row r="409" spans="1:9" ht="31.2" x14ac:dyDescent="0.3">
      <c r="A409" s="326" t="s">
        <v>297</v>
      </c>
      <c r="B409" s="374" t="s">
        <v>199</v>
      </c>
      <c r="C409" s="374" t="s">
        <v>200</v>
      </c>
      <c r="D409" s="285" t="s">
        <v>299</v>
      </c>
      <c r="E409" s="374" t="s">
        <v>300</v>
      </c>
      <c r="F409" s="274"/>
      <c r="G409" s="274"/>
      <c r="H409" s="274"/>
      <c r="I409" s="274"/>
    </row>
    <row r="410" spans="1:9" x14ac:dyDescent="0.3">
      <c r="A410" s="377" t="s">
        <v>1</v>
      </c>
      <c r="B410" s="378">
        <f>+C400</f>
        <v>9399840.5899999999</v>
      </c>
      <c r="C410" s="378">
        <f t="shared" ref="C410:C415" si="122">+I4</f>
        <v>11487469</v>
      </c>
      <c r="D410" s="380">
        <f t="shared" ref="D410" si="123">+C410-B410</f>
        <v>2087628.4100000001</v>
      </c>
      <c r="E410" s="384">
        <f t="shared" ref="E410" si="124">+D410/B410</f>
        <v>0.22209189507116953</v>
      </c>
      <c r="F410" s="274"/>
      <c r="G410" s="274"/>
      <c r="H410" s="274"/>
      <c r="I410" s="274"/>
    </row>
    <row r="411" spans="1:9" x14ac:dyDescent="0.3">
      <c r="A411" s="330" t="s">
        <v>289</v>
      </c>
      <c r="B411" s="378">
        <f t="shared" ref="B411:B415" si="125">+C401</f>
        <v>2685304.73</v>
      </c>
      <c r="C411" s="378">
        <f t="shared" si="122"/>
        <v>3247287</v>
      </c>
      <c r="D411" s="380">
        <f t="shared" ref="D411:D415" si="126">+C411-B411</f>
        <v>561982.27</v>
      </c>
      <c r="E411" s="384">
        <f t="shared" ref="E411:E416" si="127">+D411/B411</f>
        <v>0.20928063162499996</v>
      </c>
      <c r="F411" s="274"/>
      <c r="G411" s="274"/>
      <c r="H411" s="274"/>
      <c r="I411" s="274"/>
    </row>
    <row r="412" spans="1:9" x14ac:dyDescent="0.3">
      <c r="A412" s="375" t="s">
        <v>317</v>
      </c>
      <c r="B412" s="378">
        <f t="shared" si="125"/>
        <v>3836106.59</v>
      </c>
      <c r="C412" s="378">
        <f t="shared" si="122"/>
        <v>4670305</v>
      </c>
      <c r="D412" s="380">
        <f t="shared" si="126"/>
        <v>834198.41000000015</v>
      </c>
      <c r="E412" s="384">
        <f t="shared" si="127"/>
        <v>0.21745965353898056</v>
      </c>
      <c r="F412" s="274"/>
      <c r="G412" s="274"/>
      <c r="H412" s="274"/>
      <c r="I412" s="274"/>
    </row>
    <row r="413" spans="1:9" x14ac:dyDescent="0.3">
      <c r="A413" s="330" t="s">
        <v>148</v>
      </c>
      <c r="B413" s="378">
        <f t="shared" si="125"/>
        <v>29795.58</v>
      </c>
      <c r="C413" s="378">
        <f t="shared" si="122"/>
        <v>35771</v>
      </c>
      <c r="D413" s="380">
        <f t="shared" si="126"/>
        <v>5975.4199999999983</v>
      </c>
      <c r="E413" s="384">
        <f t="shared" si="127"/>
        <v>0.20054719525513509</v>
      </c>
      <c r="F413" s="274"/>
      <c r="G413" s="274"/>
      <c r="H413" s="274"/>
      <c r="I413" s="274"/>
    </row>
    <row r="414" spans="1:9" x14ac:dyDescent="0.3">
      <c r="A414" s="330" t="s">
        <v>290</v>
      </c>
      <c r="B414" s="378">
        <f t="shared" si="125"/>
        <v>456676</v>
      </c>
      <c r="C414" s="378">
        <f t="shared" si="122"/>
        <v>203298</v>
      </c>
      <c r="D414" s="380">
        <f t="shared" si="126"/>
        <v>-253378</v>
      </c>
      <c r="E414" s="384">
        <f t="shared" si="127"/>
        <v>-0.55483099615482312</v>
      </c>
      <c r="F414" s="274"/>
      <c r="G414" s="274"/>
      <c r="H414" s="274"/>
      <c r="I414" s="274"/>
    </row>
    <row r="415" spans="1:9" x14ac:dyDescent="0.3">
      <c r="A415" s="330" t="s">
        <v>291</v>
      </c>
      <c r="B415" s="378">
        <f t="shared" si="125"/>
        <v>31815.09</v>
      </c>
      <c r="C415" s="378">
        <f t="shared" si="122"/>
        <v>47454</v>
      </c>
      <c r="D415" s="380">
        <f t="shared" si="126"/>
        <v>15638.91</v>
      </c>
      <c r="E415" s="384">
        <f t="shared" si="127"/>
        <v>0.49155636523423318</v>
      </c>
      <c r="F415" s="274"/>
      <c r="G415" s="274"/>
      <c r="H415" s="274"/>
      <c r="I415" s="274"/>
    </row>
    <row r="416" spans="1:9" x14ac:dyDescent="0.3">
      <c r="A416" s="376" t="s">
        <v>12</v>
      </c>
      <c r="B416" s="381">
        <f>SUM(B410:B415)</f>
        <v>16439538.58</v>
      </c>
      <c r="C416" s="381">
        <f>SUM(C410:C415)</f>
        <v>19691584</v>
      </c>
      <c r="D416" s="381">
        <f>SUM(D410:D415)</f>
        <v>3252045.4200000004</v>
      </c>
      <c r="E416" s="385">
        <f t="shared" si="127"/>
        <v>0.19781853390680751</v>
      </c>
      <c r="F416" s="274"/>
      <c r="G416" s="274"/>
      <c r="H416" s="274"/>
      <c r="I416" s="274"/>
    </row>
    <row r="417" spans="1:9" x14ac:dyDescent="0.3">
      <c r="A417" s="273"/>
      <c r="B417" s="274"/>
      <c r="C417" s="274"/>
      <c r="D417" s="274"/>
      <c r="E417" s="274"/>
      <c r="F417" s="274"/>
      <c r="G417" s="274"/>
      <c r="H417" s="274"/>
      <c r="I417" s="274"/>
    </row>
    <row r="418" spans="1:9" x14ac:dyDescent="0.3">
      <c r="A418" s="373" t="s">
        <v>306</v>
      </c>
      <c r="B418" s="372"/>
      <c r="C418" s="372"/>
      <c r="D418" s="372"/>
      <c r="E418" s="274"/>
      <c r="F418" s="274"/>
      <c r="G418" s="274"/>
      <c r="H418" s="274"/>
      <c r="I418" s="274"/>
    </row>
    <row r="419" spans="1:9" ht="31.2" x14ac:dyDescent="0.3">
      <c r="A419" s="326" t="s">
        <v>307</v>
      </c>
      <c r="B419" s="374" t="s">
        <v>189</v>
      </c>
      <c r="C419" s="374" t="s">
        <v>270</v>
      </c>
      <c r="D419" s="285" t="s">
        <v>299</v>
      </c>
      <c r="E419" s="374" t="s">
        <v>300</v>
      </c>
      <c r="F419" s="274"/>
      <c r="G419" s="274"/>
      <c r="H419" s="274"/>
      <c r="I419" s="274"/>
    </row>
    <row r="420" spans="1:9" x14ac:dyDescent="0.3">
      <c r="A420" s="377" t="s">
        <v>308</v>
      </c>
      <c r="B420" s="378">
        <f>+B15</f>
        <v>232090</v>
      </c>
      <c r="C420" s="378">
        <f>+C15</f>
        <v>247215</v>
      </c>
      <c r="D420" s="380">
        <f t="shared" ref="D420:D423" si="128">+C420-B420</f>
        <v>15125</v>
      </c>
      <c r="E420" s="384">
        <f t="shared" ref="E420:E424" si="129">+D420/B420</f>
        <v>6.5168684562023349E-2</v>
      </c>
      <c r="F420" s="274"/>
      <c r="G420" s="274"/>
      <c r="H420" s="274"/>
      <c r="I420" s="274"/>
    </row>
    <row r="421" spans="1:9" x14ac:dyDescent="0.3">
      <c r="A421" s="330" t="s">
        <v>292</v>
      </c>
      <c r="B421" s="378">
        <f>+B14</f>
        <v>250000</v>
      </c>
      <c r="C421" s="378">
        <f>+C14</f>
        <v>245293</v>
      </c>
      <c r="D421" s="380">
        <f t="shared" si="128"/>
        <v>-4707</v>
      </c>
      <c r="E421" s="384">
        <f t="shared" si="129"/>
        <v>-1.8828000000000001E-2</v>
      </c>
      <c r="F421" s="274"/>
      <c r="G421" s="274"/>
      <c r="H421" s="274"/>
      <c r="I421" s="274"/>
    </row>
    <row r="422" spans="1:9" x14ac:dyDescent="0.3">
      <c r="A422" s="375" t="s">
        <v>294</v>
      </c>
      <c r="B422" s="378">
        <f>+B16</f>
        <v>1848340</v>
      </c>
      <c r="C422" s="378">
        <f>+C16</f>
        <v>2812268</v>
      </c>
      <c r="D422" s="380">
        <f t="shared" si="128"/>
        <v>963928</v>
      </c>
      <c r="E422" s="384">
        <f t="shared" si="129"/>
        <v>0.52151011177597195</v>
      </c>
      <c r="F422" s="274"/>
      <c r="G422" s="274"/>
      <c r="H422" s="274"/>
      <c r="I422" s="274"/>
    </row>
    <row r="423" spans="1:9" x14ac:dyDescent="0.3">
      <c r="A423" s="330" t="s">
        <v>295</v>
      </c>
      <c r="B423" s="378">
        <f>+B17</f>
        <v>269570</v>
      </c>
      <c r="C423" s="378">
        <f>+C17</f>
        <v>227694</v>
      </c>
      <c r="D423" s="380">
        <f t="shared" si="128"/>
        <v>-41876</v>
      </c>
      <c r="E423" s="384">
        <f t="shared" si="129"/>
        <v>-0.15534369551507957</v>
      </c>
      <c r="F423" s="274"/>
      <c r="G423" s="274"/>
      <c r="H423" s="274"/>
      <c r="I423" s="274"/>
    </row>
    <row r="424" spans="1:9" x14ac:dyDescent="0.3">
      <c r="A424" s="376" t="s">
        <v>12</v>
      </c>
      <c r="B424" s="381">
        <f>SUM(B420:B423)</f>
        <v>2600000</v>
      </c>
      <c r="C424" s="381">
        <f>SUM(C420:C423)</f>
        <v>3532470</v>
      </c>
      <c r="D424" s="381">
        <f>SUM(D420:D423)</f>
        <v>932470</v>
      </c>
      <c r="E424" s="385">
        <f t="shared" si="129"/>
        <v>0.3586423076923077</v>
      </c>
      <c r="F424" s="274"/>
      <c r="G424" s="274"/>
      <c r="H424" s="274"/>
      <c r="I424" s="274"/>
    </row>
    <row r="425" spans="1:9" x14ac:dyDescent="0.3">
      <c r="A425" s="273"/>
      <c r="B425" s="274"/>
      <c r="C425" s="274"/>
      <c r="D425" s="274"/>
      <c r="E425" s="274"/>
      <c r="F425" s="274"/>
      <c r="G425" s="274"/>
      <c r="H425" s="274"/>
      <c r="I425" s="274"/>
    </row>
    <row r="426" spans="1:9" x14ac:dyDescent="0.3">
      <c r="A426" s="373" t="s">
        <v>309</v>
      </c>
      <c r="B426" s="372"/>
      <c r="C426" s="372"/>
      <c r="D426" s="372"/>
      <c r="E426" s="274"/>
      <c r="F426" s="274"/>
      <c r="G426" s="274"/>
      <c r="H426" s="274"/>
      <c r="I426" s="274"/>
    </row>
    <row r="427" spans="1:9" x14ac:dyDescent="0.3">
      <c r="A427" s="326" t="s">
        <v>307</v>
      </c>
      <c r="B427" s="374" t="s">
        <v>270</v>
      </c>
      <c r="C427" s="374" t="s">
        <v>273</v>
      </c>
      <c r="D427" s="285" t="s">
        <v>299</v>
      </c>
      <c r="E427" s="374" t="s">
        <v>300</v>
      </c>
      <c r="F427" s="274"/>
      <c r="G427" s="274"/>
      <c r="H427" s="274"/>
      <c r="I427" s="274"/>
    </row>
    <row r="428" spans="1:9" x14ac:dyDescent="0.3">
      <c r="A428" s="377" t="s">
        <v>308</v>
      </c>
      <c r="B428" s="378">
        <f>+C420</f>
        <v>247215</v>
      </c>
      <c r="C428" s="378">
        <f>+D15</f>
        <v>238812</v>
      </c>
      <c r="D428" s="380">
        <f t="shared" ref="D428:D431" si="130">+C428-B428</f>
        <v>-8403</v>
      </c>
      <c r="E428" s="384">
        <f t="shared" ref="E428:E432" si="131">+D428/B428</f>
        <v>-3.3990655906801774E-2</v>
      </c>
      <c r="F428" s="274"/>
      <c r="G428" s="274"/>
      <c r="H428" s="274"/>
      <c r="I428" s="274"/>
    </row>
    <row r="429" spans="1:9" x14ac:dyDescent="0.3">
      <c r="A429" s="330" t="s">
        <v>292</v>
      </c>
      <c r="B429" s="378">
        <f>+C421</f>
        <v>245293</v>
      </c>
      <c r="C429" s="378">
        <f>+D14</f>
        <v>270758</v>
      </c>
      <c r="D429" s="380">
        <f t="shared" si="130"/>
        <v>25465</v>
      </c>
      <c r="E429" s="384">
        <f t="shared" si="131"/>
        <v>0.10381462169731709</v>
      </c>
      <c r="F429" s="274"/>
      <c r="G429" s="274"/>
      <c r="H429" s="274"/>
      <c r="I429" s="274"/>
    </row>
    <row r="430" spans="1:9" x14ac:dyDescent="0.3">
      <c r="A430" s="375" t="s">
        <v>294</v>
      </c>
      <c r="B430" s="378">
        <f>+C422</f>
        <v>2812268</v>
      </c>
      <c r="C430" s="378">
        <f>+D16</f>
        <v>1758306</v>
      </c>
      <c r="D430" s="380">
        <f t="shared" si="130"/>
        <v>-1053962</v>
      </c>
      <c r="E430" s="384">
        <f t="shared" si="131"/>
        <v>-0.37477295904942204</v>
      </c>
      <c r="F430" s="274"/>
      <c r="G430" s="274"/>
      <c r="H430" s="274"/>
      <c r="I430" s="274"/>
    </row>
    <row r="431" spans="1:9" x14ac:dyDescent="0.3">
      <c r="A431" s="330" t="s">
        <v>295</v>
      </c>
      <c r="B431" s="378">
        <f>+C423</f>
        <v>227694</v>
      </c>
      <c r="C431" s="378">
        <f>+D17</f>
        <v>-74745</v>
      </c>
      <c r="D431" s="380">
        <f t="shared" si="130"/>
        <v>-302439</v>
      </c>
      <c r="E431" s="384">
        <f t="shared" si="131"/>
        <v>-1.3282695196184353</v>
      </c>
      <c r="F431" s="274"/>
      <c r="G431" s="274"/>
      <c r="H431" s="274"/>
      <c r="I431" s="274"/>
    </row>
    <row r="432" spans="1:9" x14ac:dyDescent="0.3">
      <c r="A432" s="376" t="s">
        <v>12</v>
      </c>
      <c r="B432" s="381">
        <f>SUM(B428:B431)</f>
        <v>3532470</v>
      </c>
      <c r="C432" s="381">
        <f>SUM(C428:C431)</f>
        <v>2193131</v>
      </c>
      <c r="D432" s="381">
        <f>SUM(D428:D431)</f>
        <v>-1339339</v>
      </c>
      <c r="E432" s="385">
        <f t="shared" si="131"/>
        <v>-0.37915084912256863</v>
      </c>
      <c r="F432" s="274"/>
      <c r="G432" s="274"/>
      <c r="H432" s="274"/>
      <c r="I432" s="274"/>
    </row>
    <row r="433" spans="1:9" x14ac:dyDescent="0.3">
      <c r="A433" s="273"/>
      <c r="B433" s="274"/>
      <c r="C433" s="274"/>
      <c r="D433" s="274"/>
      <c r="E433" s="274"/>
      <c r="F433" s="274"/>
      <c r="G433" s="274"/>
      <c r="H433" s="274"/>
      <c r="I433" s="274"/>
    </row>
    <row r="434" spans="1:9" x14ac:dyDescent="0.3">
      <c r="A434" s="373" t="s">
        <v>310</v>
      </c>
      <c r="B434" s="372"/>
      <c r="C434" s="372"/>
      <c r="D434" s="372"/>
      <c r="E434" s="274"/>
      <c r="F434" s="274"/>
      <c r="G434" s="274"/>
      <c r="H434" s="274"/>
      <c r="I434" s="274"/>
    </row>
    <row r="435" spans="1:9" x14ac:dyDescent="0.3">
      <c r="A435" s="326" t="s">
        <v>307</v>
      </c>
      <c r="B435" s="374" t="s">
        <v>273</v>
      </c>
      <c r="C435" s="374" t="s">
        <v>174</v>
      </c>
      <c r="D435" s="285" t="s">
        <v>299</v>
      </c>
      <c r="E435" s="374" t="s">
        <v>300</v>
      </c>
      <c r="F435" s="274"/>
      <c r="G435" s="274"/>
      <c r="H435" s="274"/>
      <c r="I435" s="274"/>
    </row>
    <row r="436" spans="1:9" x14ac:dyDescent="0.3">
      <c r="A436" s="377" t="s">
        <v>308</v>
      </c>
      <c r="B436" s="378">
        <f>+C428</f>
        <v>238812</v>
      </c>
      <c r="C436" s="378">
        <f>+E15</f>
        <v>291424</v>
      </c>
      <c r="D436" s="380">
        <f t="shared" ref="D436:D439" si="132">+C436-B436</f>
        <v>52612</v>
      </c>
      <c r="E436" s="384">
        <f t="shared" ref="E436:E440" si="133">+D436/B436</f>
        <v>0.22030718724352211</v>
      </c>
      <c r="F436" s="274"/>
      <c r="G436" s="274"/>
      <c r="H436" s="274"/>
      <c r="I436" s="274"/>
    </row>
    <row r="437" spans="1:9" x14ac:dyDescent="0.3">
      <c r="A437" s="330" t="s">
        <v>292</v>
      </c>
      <c r="B437" s="378">
        <f>+C429</f>
        <v>270758</v>
      </c>
      <c r="C437" s="378">
        <f>+E14</f>
        <v>246557</v>
      </c>
      <c r="D437" s="380">
        <f t="shared" si="132"/>
        <v>-24201</v>
      </c>
      <c r="E437" s="384">
        <f t="shared" si="133"/>
        <v>-8.9382400520021568E-2</v>
      </c>
      <c r="F437" s="274"/>
      <c r="G437" s="274"/>
      <c r="H437" s="274"/>
      <c r="I437" s="274"/>
    </row>
    <row r="438" spans="1:9" x14ac:dyDescent="0.3">
      <c r="A438" s="375" t="s">
        <v>294</v>
      </c>
      <c r="B438" s="378">
        <f>+C430</f>
        <v>1758306</v>
      </c>
      <c r="C438" s="378">
        <f>+E16</f>
        <v>1777417</v>
      </c>
      <c r="D438" s="380">
        <f t="shared" si="132"/>
        <v>19111</v>
      </c>
      <c r="E438" s="384">
        <f t="shared" si="133"/>
        <v>1.0868984124492552E-2</v>
      </c>
      <c r="F438" s="274"/>
      <c r="G438" s="274"/>
      <c r="H438" s="274"/>
      <c r="I438" s="274"/>
    </row>
    <row r="439" spans="1:9" x14ac:dyDescent="0.3">
      <c r="A439" s="330" t="s">
        <v>295</v>
      </c>
      <c r="B439" s="378">
        <f>+C431</f>
        <v>-74745</v>
      </c>
      <c r="C439" s="378">
        <f>+E17</f>
        <v>382805</v>
      </c>
      <c r="D439" s="380">
        <f t="shared" si="132"/>
        <v>457550</v>
      </c>
      <c r="E439" s="384">
        <f t="shared" si="133"/>
        <v>-6.1214796976386383</v>
      </c>
      <c r="F439" s="274"/>
      <c r="G439" s="274"/>
      <c r="H439" s="274"/>
      <c r="I439" s="274"/>
    </row>
    <row r="440" spans="1:9" x14ac:dyDescent="0.3">
      <c r="A440" s="376" t="s">
        <v>12</v>
      </c>
      <c r="B440" s="381">
        <f>SUM(B436:B439)</f>
        <v>2193131</v>
      </c>
      <c r="C440" s="381">
        <f>SUM(C436:C439)</f>
        <v>2698203</v>
      </c>
      <c r="D440" s="381">
        <f>SUM(D436:D439)</f>
        <v>505072</v>
      </c>
      <c r="E440" s="385">
        <f t="shared" si="133"/>
        <v>0.23029723258665352</v>
      </c>
      <c r="F440" s="274"/>
      <c r="G440" s="274"/>
      <c r="H440" s="274"/>
      <c r="I440" s="274"/>
    </row>
    <row r="441" spans="1:9" x14ac:dyDescent="0.3">
      <c r="A441" s="273"/>
      <c r="B441" s="274"/>
      <c r="C441" s="274"/>
      <c r="D441" s="274"/>
      <c r="E441" s="274"/>
      <c r="F441" s="274"/>
      <c r="G441" s="274"/>
      <c r="H441" s="274"/>
      <c r="I441" s="274"/>
    </row>
    <row r="442" spans="1:9" x14ac:dyDescent="0.3">
      <c r="A442" s="373" t="s">
        <v>311</v>
      </c>
      <c r="B442" s="372"/>
      <c r="C442" s="372"/>
      <c r="D442" s="372"/>
      <c r="E442" s="274"/>
      <c r="F442" s="274"/>
      <c r="G442" s="274"/>
      <c r="H442" s="274"/>
      <c r="I442" s="274"/>
    </row>
    <row r="443" spans="1:9" x14ac:dyDescent="0.3">
      <c r="A443" s="326" t="s">
        <v>307</v>
      </c>
      <c r="B443" s="374" t="s">
        <v>174</v>
      </c>
      <c r="C443" s="374" t="s">
        <v>175</v>
      </c>
      <c r="D443" s="285" t="s">
        <v>299</v>
      </c>
      <c r="E443" s="374" t="s">
        <v>300</v>
      </c>
      <c r="F443" s="274"/>
      <c r="G443" s="274"/>
      <c r="H443" s="274"/>
      <c r="I443" s="274"/>
    </row>
    <row r="444" spans="1:9" x14ac:dyDescent="0.3">
      <c r="A444" s="377" t="s">
        <v>308</v>
      </c>
      <c r="B444" s="378">
        <f>+C436</f>
        <v>291424</v>
      </c>
      <c r="C444" s="378">
        <f>+F15</f>
        <v>316019</v>
      </c>
      <c r="D444" s="380">
        <f t="shared" ref="D444:D447" si="134">+C444-B444</f>
        <v>24595</v>
      </c>
      <c r="E444" s="384">
        <f t="shared" ref="E444:E448" si="135">+D444/B444</f>
        <v>8.4395931700889423E-2</v>
      </c>
      <c r="F444" s="274"/>
      <c r="G444" s="274"/>
      <c r="H444" s="274"/>
      <c r="I444" s="274"/>
    </row>
    <row r="445" spans="1:9" x14ac:dyDescent="0.3">
      <c r="A445" s="330" t="s">
        <v>292</v>
      </c>
      <c r="B445" s="378">
        <f>+C437</f>
        <v>246557</v>
      </c>
      <c r="C445" s="378">
        <f>+F14</f>
        <v>177225</v>
      </c>
      <c r="D445" s="380">
        <f t="shared" si="134"/>
        <v>-69332</v>
      </c>
      <c r="E445" s="384">
        <f t="shared" si="135"/>
        <v>-0.28120069598510689</v>
      </c>
      <c r="F445" s="274"/>
      <c r="G445" s="274"/>
      <c r="H445" s="274"/>
      <c r="I445" s="274"/>
    </row>
    <row r="446" spans="1:9" x14ac:dyDescent="0.3">
      <c r="A446" s="375" t="s">
        <v>294</v>
      </c>
      <c r="B446" s="378">
        <f>+C438</f>
        <v>1777417</v>
      </c>
      <c r="C446" s="378">
        <f>+F16</f>
        <v>1874741</v>
      </c>
      <c r="D446" s="380">
        <f t="shared" si="134"/>
        <v>97324</v>
      </c>
      <c r="E446" s="384">
        <f t="shared" si="135"/>
        <v>5.4755862017748229E-2</v>
      </c>
      <c r="F446" s="274"/>
      <c r="G446" s="274"/>
      <c r="H446" s="274"/>
      <c r="I446" s="274"/>
    </row>
    <row r="447" spans="1:9" x14ac:dyDescent="0.3">
      <c r="A447" s="330" t="s">
        <v>295</v>
      </c>
      <c r="B447" s="378">
        <f>+C439</f>
        <v>382805</v>
      </c>
      <c r="C447" s="378">
        <f>+F17</f>
        <v>284378</v>
      </c>
      <c r="D447" s="380">
        <f t="shared" si="134"/>
        <v>-98427</v>
      </c>
      <c r="E447" s="384">
        <f t="shared" si="135"/>
        <v>-0.25712046603362027</v>
      </c>
      <c r="F447" s="274"/>
      <c r="G447" s="274"/>
      <c r="H447" s="274"/>
      <c r="I447" s="274"/>
    </row>
    <row r="448" spans="1:9" x14ac:dyDescent="0.3">
      <c r="A448" s="376" t="s">
        <v>12</v>
      </c>
      <c r="B448" s="381">
        <f>SUM(B444:B447)</f>
        <v>2698203</v>
      </c>
      <c r="C448" s="381">
        <f>SUM(C444:C447)</f>
        <v>2652363</v>
      </c>
      <c r="D448" s="381">
        <f>SUM(D444:D447)</f>
        <v>-45840</v>
      </c>
      <c r="E448" s="385">
        <f t="shared" si="135"/>
        <v>-1.6989084957655151E-2</v>
      </c>
      <c r="F448" s="274"/>
      <c r="G448" s="274"/>
      <c r="H448" s="274"/>
      <c r="I448" s="274"/>
    </row>
    <row r="449" spans="1:9" x14ac:dyDescent="0.3">
      <c r="A449" s="273"/>
      <c r="B449" s="274"/>
      <c r="C449" s="274"/>
      <c r="D449" s="274"/>
      <c r="E449" s="274"/>
      <c r="F449" s="274"/>
      <c r="G449" s="274"/>
      <c r="H449" s="274"/>
      <c r="I449" s="274"/>
    </row>
    <row r="450" spans="1:9" x14ac:dyDescent="0.3">
      <c r="A450" s="373" t="s">
        <v>312</v>
      </c>
      <c r="B450" s="372"/>
      <c r="C450" s="372"/>
      <c r="D450" s="372"/>
      <c r="E450" s="274"/>
      <c r="F450" s="274"/>
      <c r="G450" s="274"/>
      <c r="H450" s="274"/>
      <c r="I450" s="274"/>
    </row>
    <row r="451" spans="1:9" x14ac:dyDescent="0.3">
      <c r="A451" s="326" t="s">
        <v>307</v>
      </c>
      <c r="B451" s="374" t="s">
        <v>175</v>
      </c>
      <c r="C451" s="374" t="s">
        <v>199</v>
      </c>
      <c r="D451" s="285" t="s">
        <v>299</v>
      </c>
      <c r="E451" s="374" t="s">
        <v>300</v>
      </c>
      <c r="F451" s="274"/>
      <c r="G451" s="274"/>
      <c r="H451" s="274"/>
      <c r="I451" s="274"/>
    </row>
    <row r="452" spans="1:9" x14ac:dyDescent="0.3">
      <c r="A452" s="377" t="s">
        <v>308</v>
      </c>
      <c r="B452" s="378">
        <f>+C444</f>
        <v>316019</v>
      </c>
      <c r="C452" s="378">
        <f>+G15</f>
        <v>218201</v>
      </c>
      <c r="D452" s="380">
        <f t="shared" ref="D452:D455" si="136">+C452-B452</f>
        <v>-97818</v>
      </c>
      <c r="E452" s="384">
        <f t="shared" ref="E452:E456" si="137">+D452/B452</f>
        <v>-0.30953202180881528</v>
      </c>
      <c r="F452" s="274"/>
      <c r="G452" s="274"/>
      <c r="H452" s="274"/>
      <c r="I452" s="274"/>
    </row>
    <row r="453" spans="1:9" x14ac:dyDescent="0.3">
      <c r="A453" s="330" t="s">
        <v>292</v>
      </c>
      <c r="B453" s="378">
        <f>+C445</f>
        <v>177225</v>
      </c>
      <c r="C453" s="378">
        <f>+G14</f>
        <v>244224.23</v>
      </c>
      <c r="D453" s="380">
        <f t="shared" si="136"/>
        <v>66999.23000000001</v>
      </c>
      <c r="E453" s="384">
        <f t="shared" si="137"/>
        <v>0.37804615601636343</v>
      </c>
      <c r="F453" s="274"/>
      <c r="G453" s="274"/>
      <c r="H453" s="274"/>
      <c r="I453" s="274"/>
    </row>
    <row r="454" spans="1:9" x14ac:dyDescent="0.3">
      <c r="A454" s="375" t="s">
        <v>294</v>
      </c>
      <c r="B454" s="378">
        <f>+C446</f>
        <v>1874741</v>
      </c>
      <c r="C454" s="378">
        <f>+G16</f>
        <v>1855395</v>
      </c>
      <c r="D454" s="380">
        <f t="shared" si="136"/>
        <v>-19346</v>
      </c>
      <c r="E454" s="384">
        <f t="shared" si="137"/>
        <v>-1.0319292104882754E-2</v>
      </c>
      <c r="F454" s="274"/>
      <c r="G454" s="274"/>
      <c r="H454" s="274"/>
      <c r="I454" s="274"/>
    </row>
    <row r="455" spans="1:9" x14ac:dyDescent="0.3">
      <c r="A455" s="330" t="s">
        <v>295</v>
      </c>
      <c r="B455" s="378">
        <f>+C447</f>
        <v>284378</v>
      </c>
      <c r="C455" s="378">
        <f>+G17</f>
        <v>140922</v>
      </c>
      <c r="D455" s="380">
        <f t="shared" si="136"/>
        <v>-143456</v>
      </c>
      <c r="E455" s="384">
        <f t="shared" si="137"/>
        <v>-0.50445533761402073</v>
      </c>
      <c r="F455" s="274"/>
      <c r="G455" s="274"/>
      <c r="H455" s="274"/>
      <c r="I455" s="274"/>
    </row>
    <row r="456" spans="1:9" x14ac:dyDescent="0.3">
      <c r="A456" s="376" t="s">
        <v>12</v>
      </c>
      <c r="B456" s="381">
        <f>SUM(B452:B455)</f>
        <v>2652363</v>
      </c>
      <c r="C456" s="381">
        <f>SUM(C452:C455)</f>
        <v>2458742.23</v>
      </c>
      <c r="D456" s="381">
        <f>SUM(D452:D455)</f>
        <v>-193620.77</v>
      </c>
      <c r="E456" s="385">
        <f t="shared" si="137"/>
        <v>-7.2999348128442443E-2</v>
      </c>
      <c r="F456" s="274"/>
      <c r="G456" s="274"/>
      <c r="H456" s="274"/>
      <c r="I456" s="274"/>
    </row>
    <row r="457" spans="1:9" x14ac:dyDescent="0.3">
      <c r="A457" s="273"/>
      <c r="B457" s="274"/>
      <c r="C457" s="274"/>
      <c r="D457" s="274"/>
      <c r="E457" s="274"/>
      <c r="F457" s="274"/>
      <c r="G457" s="274"/>
      <c r="H457" s="274"/>
      <c r="I457" s="274"/>
    </row>
    <row r="458" spans="1:9" x14ac:dyDescent="0.3">
      <c r="A458" s="373" t="s">
        <v>313</v>
      </c>
      <c r="B458" s="372"/>
      <c r="C458" s="372"/>
      <c r="D458" s="372"/>
      <c r="E458" s="274"/>
      <c r="F458" s="274"/>
      <c r="G458" s="274"/>
      <c r="H458" s="274"/>
      <c r="I458" s="274"/>
    </row>
    <row r="459" spans="1:9" x14ac:dyDescent="0.3">
      <c r="A459" s="326" t="s">
        <v>307</v>
      </c>
      <c r="B459" s="374" t="s">
        <v>199</v>
      </c>
      <c r="C459" s="374" t="s">
        <v>200</v>
      </c>
      <c r="D459" s="285" t="s">
        <v>299</v>
      </c>
      <c r="E459" s="374" t="s">
        <v>300</v>
      </c>
      <c r="F459" s="274"/>
      <c r="G459" s="274"/>
      <c r="H459" s="274"/>
      <c r="I459" s="274"/>
    </row>
    <row r="460" spans="1:9" x14ac:dyDescent="0.3">
      <c r="A460" s="377" t="s">
        <v>308</v>
      </c>
      <c r="B460" s="378">
        <f>+C452</f>
        <v>218201</v>
      </c>
      <c r="C460" s="378">
        <f>+I15</f>
        <v>170100</v>
      </c>
      <c r="D460" s="380">
        <f t="shared" ref="D460:D463" si="138">+C460-B460</f>
        <v>-48101</v>
      </c>
      <c r="E460" s="384">
        <f t="shared" ref="E460:E464" si="139">+D460/B460</f>
        <v>-0.22044353600579283</v>
      </c>
      <c r="F460" s="274"/>
      <c r="G460" s="274"/>
      <c r="H460" s="274"/>
      <c r="I460" s="274"/>
    </row>
    <row r="461" spans="1:9" x14ac:dyDescent="0.3">
      <c r="A461" s="330" t="s">
        <v>292</v>
      </c>
      <c r="B461" s="378">
        <f>+C453</f>
        <v>244224.23</v>
      </c>
      <c r="C461" s="378">
        <f>+I14</f>
        <v>259000</v>
      </c>
      <c r="D461" s="380">
        <f t="shared" si="138"/>
        <v>14775.76999999999</v>
      </c>
      <c r="E461" s="384">
        <f t="shared" si="139"/>
        <v>6.0500835645996259E-2</v>
      </c>
      <c r="F461" s="274"/>
      <c r="G461" s="274"/>
      <c r="H461" s="274"/>
      <c r="I461" s="274"/>
    </row>
    <row r="462" spans="1:9" x14ac:dyDescent="0.3">
      <c r="A462" s="375" t="s">
        <v>294</v>
      </c>
      <c r="B462" s="378">
        <f>+C454</f>
        <v>1855395</v>
      </c>
      <c r="C462" s="378">
        <f>+I16</f>
        <v>1848061</v>
      </c>
      <c r="D462" s="380">
        <f t="shared" si="138"/>
        <v>-7334</v>
      </c>
      <c r="E462" s="384">
        <f t="shared" si="139"/>
        <v>-3.9527971132831555E-3</v>
      </c>
      <c r="F462" s="274"/>
      <c r="G462" s="274"/>
      <c r="H462" s="274"/>
      <c r="I462" s="274"/>
    </row>
    <row r="463" spans="1:9" x14ac:dyDescent="0.3">
      <c r="A463" s="330" t="s">
        <v>295</v>
      </c>
      <c r="B463" s="378">
        <f>+C455</f>
        <v>140922</v>
      </c>
      <c r="C463" s="378">
        <f>+I17</f>
        <v>112500</v>
      </c>
      <c r="D463" s="380">
        <f t="shared" si="138"/>
        <v>-28422</v>
      </c>
      <c r="E463" s="384">
        <f t="shared" si="139"/>
        <v>-0.20168603908545152</v>
      </c>
      <c r="F463" s="274"/>
      <c r="G463" s="274"/>
      <c r="H463" s="274"/>
      <c r="I463" s="274"/>
    </row>
    <row r="464" spans="1:9" x14ac:dyDescent="0.3">
      <c r="A464" s="376" t="s">
        <v>12</v>
      </c>
      <c r="B464" s="381">
        <f>SUM(B460:B463)</f>
        <v>2458742.23</v>
      </c>
      <c r="C464" s="381">
        <f>SUM(C460:C463)</f>
        <v>2389661</v>
      </c>
      <c r="D464" s="381">
        <f>SUM(D460:D463)</f>
        <v>-69081.23000000001</v>
      </c>
      <c r="E464" s="385">
        <f t="shared" si="139"/>
        <v>-2.8096166062922347E-2</v>
      </c>
      <c r="F464" s="274"/>
      <c r="G464" s="274"/>
      <c r="H464" s="274"/>
      <c r="I464" s="274"/>
    </row>
    <row r="465" spans="1:19" x14ac:dyDescent="0.3">
      <c r="A465" s="273"/>
      <c r="B465" s="274"/>
      <c r="C465" s="274"/>
      <c r="D465" s="274"/>
      <c r="E465" s="274"/>
      <c r="F465" s="274"/>
      <c r="G465" s="274"/>
      <c r="H465" s="274"/>
      <c r="I465" s="274"/>
    </row>
    <row r="466" spans="1:19" s="308" customFormat="1" x14ac:dyDescent="0.3">
      <c r="K466" s="396" t="s">
        <v>316</v>
      </c>
      <c r="L466" s="333"/>
      <c r="M466" s="333"/>
      <c r="N466" s="333"/>
      <c r="O466" s="333"/>
      <c r="P466" s="333"/>
      <c r="Q466" s="333"/>
      <c r="R466" s="333"/>
    </row>
    <row r="467" spans="1:19" s="308" customFormat="1" ht="46.8" x14ac:dyDescent="0.3">
      <c r="K467" s="284"/>
      <c r="L467" s="285" t="s">
        <v>189</v>
      </c>
      <c r="M467" s="285" t="str">
        <f>Summary!L3</f>
        <v xml:space="preserve">2013 Actual </v>
      </c>
      <c r="N467" s="285" t="str">
        <f>Summary!M3</f>
        <v xml:space="preserve">2014 Actual </v>
      </c>
      <c r="O467" s="285" t="str">
        <f>Summary!N3</f>
        <v>2015 Actual</v>
      </c>
      <c r="P467" s="285" t="str">
        <f>Summary!O3</f>
        <v>2016 Actual</v>
      </c>
      <c r="Q467" s="285" t="str">
        <f>Summary!P3</f>
        <v>2017 Actual</v>
      </c>
      <c r="R467" s="285" t="str">
        <f>Summary!Q3</f>
        <v>2018 Test Weather Normal</v>
      </c>
      <c r="S467" s="254"/>
    </row>
    <row r="468" spans="1:19" s="308" customFormat="1" x14ac:dyDescent="0.3">
      <c r="K468" s="419" t="s">
        <v>9</v>
      </c>
      <c r="L468" s="420"/>
      <c r="M468" s="420"/>
      <c r="N468" s="420"/>
      <c r="O468" s="420"/>
      <c r="P468" s="420"/>
      <c r="Q468" s="420"/>
      <c r="R468" s="420"/>
    </row>
    <row r="469" spans="1:19" s="308" customFormat="1" x14ac:dyDescent="0.3">
      <c r="K469" s="317" t="s">
        <v>60</v>
      </c>
      <c r="L469" s="320"/>
      <c r="M469" s="320">
        <f>Summary!L4</f>
        <v>730568311</v>
      </c>
      <c r="N469" s="320">
        <f>Summary!M4</f>
        <v>730490284.99000001</v>
      </c>
      <c r="O469" s="320">
        <f>Summary!N4</f>
        <v>698517377.1099999</v>
      </c>
      <c r="P469" s="320">
        <f>Summary!O4</f>
        <v>669958461.73000014</v>
      </c>
      <c r="Q469" s="320"/>
      <c r="R469" s="320"/>
    </row>
    <row r="470" spans="1:19" s="308" customFormat="1" ht="12.75" customHeight="1" x14ac:dyDescent="0.3">
      <c r="K470" s="318" t="s">
        <v>261</v>
      </c>
      <c r="L470" s="320"/>
      <c r="M470" s="320">
        <f>Summary!L5</f>
        <v>714650129.51209605</v>
      </c>
      <c r="N470" s="320">
        <f>Summary!M5</f>
        <v>738289357.05702746</v>
      </c>
      <c r="O470" s="320">
        <f>Summary!N5</f>
        <v>712983673.07175934</v>
      </c>
      <c r="P470" s="320">
        <f>Summary!O5</f>
        <v>672893773.87281346</v>
      </c>
      <c r="Q470" s="320">
        <f>Summary!P5</f>
        <v>650957509.5807122</v>
      </c>
      <c r="R470" s="320">
        <f>Summary!Q5</f>
        <v>646080810.26982498</v>
      </c>
    </row>
    <row r="471" spans="1:19" s="308" customFormat="1" ht="31.2" x14ac:dyDescent="0.3">
      <c r="K471" s="318" t="s">
        <v>262</v>
      </c>
      <c r="L471" s="316"/>
      <c r="M471" s="316">
        <f t="shared" ref="M471:P471" si="140">(M470-M469)/M469</f>
        <v>-2.1788765332724586E-2</v>
      </c>
      <c r="N471" s="316">
        <f t="shared" si="140"/>
        <v>1.0676489786765903E-2</v>
      </c>
      <c r="O471" s="316">
        <f t="shared" si="140"/>
        <v>2.0710001548725036E-2</v>
      </c>
      <c r="P471" s="316">
        <f t="shared" si="140"/>
        <v>4.3813345311493126E-3</v>
      </c>
      <c r="Q471" s="316"/>
      <c r="R471" s="316"/>
    </row>
    <row r="472" spans="1:19" s="308" customFormat="1" ht="8.1" customHeight="1" x14ac:dyDescent="0.3">
      <c r="K472" s="419"/>
      <c r="L472" s="420"/>
      <c r="M472" s="420"/>
      <c r="N472" s="420"/>
      <c r="O472" s="420"/>
      <c r="P472" s="420"/>
      <c r="Q472" s="420"/>
      <c r="R472" s="420"/>
    </row>
    <row r="473" spans="1:19" s="308" customFormat="1" x14ac:dyDescent="0.3">
      <c r="K473" s="334" t="s">
        <v>0</v>
      </c>
      <c r="L473" s="335"/>
      <c r="M473" s="263"/>
      <c r="N473" s="260"/>
      <c r="O473" s="260"/>
      <c r="P473" s="336"/>
      <c r="Q473" s="341">
        <f>'Rate Class Energy Model'!F29</f>
        <v>1.0461248909402159</v>
      </c>
      <c r="R473" s="341">
        <f>Q473</f>
        <v>1.0461248909402159</v>
      </c>
    </row>
    <row r="474" spans="1:19" s="308" customFormat="1" x14ac:dyDescent="0.3">
      <c r="K474" s="334" t="s">
        <v>263</v>
      </c>
      <c r="L474" s="320"/>
      <c r="M474" s="337"/>
      <c r="N474" s="320"/>
      <c r="O474" s="320"/>
      <c r="P474" s="320"/>
      <c r="Q474" s="320">
        <f>Q470/Q473</f>
        <v>622256018.58651614</v>
      </c>
      <c r="R474" s="320">
        <f>R470/R473</f>
        <v>617594338.74970031</v>
      </c>
    </row>
    <row r="475" spans="1:19" s="308" customFormat="1" x14ac:dyDescent="0.3">
      <c r="K475" s="334" t="s">
        <v>264</v>
      </c>
      <c r="L475" s="320"/>
      <c r="M475" s="337"/>
      <c r="N475" s="320"/>
      <c r="O475" s="320"/>
      <c r="P475" s="320"/>
      <c r="Q475" s="320" t="e">
        <f>'Rate Class Energy Model'!#REF!</f>
        <v>#REF!</v>
      </c>
      <c r="R475" s="342">
        <f>'Rate Class Energy Model'!G85</f>
        <v>2322600</v>
      </c>
    </row>
    <row r="476" spans="1:19" s="308" customFormat="1" x14ac:dyDescent="0.3">
      <c r="K476" s="334" t="s">
        <v>265</v>
      </c>
      <c r="L476" s="320"/>
      <c r="M476" s="320">
        <f>Summary!L10</f>
        <v>688244167</v>
      </c>
      <c r="N476" s="320">
        <f>Summary!M10</f>
        <v>701843127</v>
      </c>
      <c r="O476" s="320">
        <f>Summary!N10</f>
        <v>669387526</v>
      </c>
      <c r="P476" s="320">
        <f>Summary!O10</f>
        <v>636876243.92999995</v>
      </c>
      <c r="Q476" s="320" t="e">
        <f>Q474-Q475</f>
        <v>#REF!</v>
      </c>
      <c r="R476" s="320">
        <f>R474-R475</f>
        <v>615271738.74970031</v>
      </c>
    </row>
    <row r="477" spans="1:19" s="308" customFormat="1" ht="8.1" customHeight="1" x14ac:dyDescent="0.3">
      <c r="K477" s="419"/>
      <c r="L477" s="420"/>
      <c r="M477" s="420"/>
      <c r="N477" s="420"/>
      <c r="O477" s="420"/>
      <c r="P477" s="420"/>
      <c r="Q477" s="420"/>
      <c r="R477" s="420"/>
    </row>
    <row r="478" spans="1:19" s="308" customFormat="1" x14ac:dyDescent="0.3">
      <c r="K478" s="419" t="s">
        <v>266</v>
      </c>
      <c r="L478" s="420"/>
      <c r="M478" s="420"/>
      <c r="N478" s="420"/>
      <c r="O478" s="420"/>
      <c r="P478" s="420"/>
      <c r="Q478" s="420"/>
      <c r="R478" s="420"/>
    </row>
    <row r="479" spans="1:19" s="308" customFormat="1" x14ac:dyDescent="0.3">
      <c r="K479" s="419" t="str">
        <f>$B$298</f>
        <v xml:space="preserve">Residential </v>
      </c>
      <c r="L479" s="420"/>
      <c r="M479" s="420"/>
      <c r="N479" s="420"/>
      <c r="O479" s="420"/>
      <c r="P479" s="420"/>
      <c r="Q479" s="420"/>
      <c r="R479" s="420"/>
    </row>
    <row r="480" spans="1:19" s="308" customFormat="1" x14ac:dyDescent="0.3">
      <c r="K480" s="311" t="s">
        <v>50</v>
      </c>
      <c r="L480" s="252">
        <v>29271</v>
      </c>
      <c r="M480" s="252">
        <f>Summary!L14</f>
        <v>29504</v>
      </c>
      <c r="N480" s="252">
        <f>Summary!M14</f>
        <v>29514</v>
      </c>
      <c r="O480" s="252">
        <f>Summary!N14</f>
        <v>29566</v>
      </c>
      <c r="P480" s="252">
        <f>Summary!O14</f>
        <v>29620</v>
      </c>
      <c r="Q480" s="252">
        <f>Summary!P14</f>
        <v>29729</v>
      </c>
      <c r="R480" s="252">
        <f>Summary!Q14</f>
        <v>29815.501606131944</v>
      </c>
    </row>
    <row r="481" spans="11:20" s="308" customFormat="1" x14ac:dyDescent="0.3">
      <c r="K481" s="317" t="s">
        <v>51</v>
      </c>
      <c r="L481" s="252">
        <v>340561449</v>
      </c>
      <c r="M481" s="252">
        <f>Summary!L15</f>
        <v>324185392</v>
      </c>
      <c r="N481" s="252">
        <f>Summary!M15</f>
        <v>334950383</v>
      </c>
      <c r="O481" s="252">
        <f>Summary!N15</f>
        <v>310458240</v>
      </c>
      <c r="P481" s="252">
        <f>Summary!O15</f>
        <v>288746486.39999998</v>
      </c>
      <c r="Q481" s="252" t="e">
        <f>Summary!#REF!</f>
        <v>#REF!</v>
      </c>
      <c r="R481" s="252">
        <f>Summary!Q15</f>
        <v>281151925.91048598</v>
      </c>
    </row>
    <row r="482" spans="11:20" s="308" customFormat="1" ht="8.1" customHeight="1" x14ac:dyDescent="0.3">
      <c r="K482" s="419"/>
      <c r="L482" s="420"/>
      <c r="M482" s="420"/>
      <c r="N482" s="420"/>
      <c r="O482" s="420"/>
      <c r="P482" s="420"/>
      <c r="Q482" s="420"/>
      <c r="R482" s="420"/>
      <c r="S482" s="254"/>
      <c r="T482" s="254"/>
    </row>
    <row r="483" spans="11:20" s="308" customFormat="1" x14ac:dyDescent="0.3">
      <c r="K483" s="419" t="str">
        <f>$C$298</f>
        <v>General Service &lt; 50 kW</v>
      </c>
      <c r="L483" s="420"/>
      <c r="M483" s="420"/>
      <c r="N483" s="420"/>
      <c r="O483" s="420"/>
      <c r="P483" s="420"/>
      <c r="Q483" s="420"/>
      <c r="R483" s="420"/>
      <c r="S483" s="254"/>
      <c r="T483" s="254"/>
    </row>
    <row r="484" spans="11:20" s="308" customFormat="1" x14ac:dyDescent="0.3">
      <c r="K484" s="311" t="s">
        <v>50</v>
      </c>
      <c r="L484" s="252">
        <v>3401</v>
      </c>
      <c r="M484" s="252">
        <f>Summary!L18</f>
        <v>3474</v>
      </c>
      <c r="N484" s="252">
        <f>Summary!M18</f>
        <v>3464</v>
      </c>
      <c r="O484" s="252">
        <f>Summary!N18</f>
        <v>3431</v>
      </c>
      <c r="P484" s="252">
        <f>Summary!O18</f>
        <v>3414</v>
      </c>
      <c r="Q484" s="252">
        <f>Summary!P18</f>
        <v>3417</v>
      </c>
      <c r="R484" s="252">
        <f>Summary!Q18</f>
        <v>3430.7641919188468</v>
      </c>
    </row>
    <row r="485" spans="11:20" s="308" customFormat="1" x14ac:dyDescent="0.3">
      <c r="K485" s="317" t="s">
        <v>51</v>
      </c>
      <c r="L485" s="252">
        <v>102179766</v>
      </c>
      <c r="M485" s="252">
        <f>Summary!L19</f>
        <v>95827695</v>
      </c>
      <c r="N485" s="252">
        <f>Summary!M19</f>
        <v>99153426</v>
      </c>
      <c r="O485" s="252">
        <f>Summary!N19</f>
        <v>95701162</v>
      </c>
      <c r="P485" s="252">
        <f>Summary!O19</f>
        <v>92174996</v>
      </c>
      <c r="Q485" s="252" t="e">
        <f>Summary!#REF!</f>
        <v>#REF!</v>
      </c>
      <c r="R485" s="252">
        <f>Summary!Q19</f>
        <v>90542146.755002111</v>
      </c>
    </row>
    <row r="486" spans="11:20" s="308" customFormat="1" ht="8.1" customHeight="1" x14ac:dyDescent="0.3">
      <c r="K486" s="419"/>
      <c r="L486" s="420"/>
      <c r="M486" s="420"/>
      <c r="N486" s="420"/>
      <c r="O486" s="420"/>
      <c r="P486" s="420"/>
      <c r="Q486" s="420"/>
      <c r="R486" s="420"/>
    </row>
    <row r="487" spans="11:20" s="308" customFormat="1" x14ac:dyDescent="0.3">
      <c r="K487" s="419" t="str">
        <f>$D$298</f>
        <v>General Service 50 to 4,999 kW</v>
      </c>
      <c r="L487" s="420"/>
      <c r="M487" s="420"/>
      <c r="N487" s="420"/>
      <c r="O487" s="420"/>
      <c r="P487" s="420"/>
      <c r="Q487" s="420"/>
      <c r="R487" s="420"/>
    </row>
    <row r="488" spans="11:20" s="308" customFormat="1" x14ac:dyDescent="0.3">
      <c r="K488" s="311" t="s">
        <v>50</v>
      </c>
      <c r="L488" s="252">
        <v>399</v>
      </c>
      <c r="M488" s="252">
        <f>Summary!L22</f>
        <v>373</v>
      </c>
      <c r="N488" s="252">
        <f>Summary!M22</f>
        <v>370</v>
      </c>
      <c r="O488" s="252">
        <f>Summary!N22</f>
        <v>373</v>
      </c>
      <c r="P488" s="252">
        <f>Summary!O22</f>
        <v>361</v>
      </c>
      <c r="Q488" s="252">
        <f>Summary!P22</f>
        <v>361</v>
      </c>
      <c r="R488" s="252">
        <f>Summary!Q22</f>
        <v>357.17848110967191</v>
      </c>
    </row>
    <row r="489" spans="11:20" s="308" customFormat="1" x14ac:dyDescent="0.3">
      <c r="K489" s="317" t="s">
        <v>51</v>
      </c>
      <c r="L489" s="252">
        <v>251632820</v>
      </c>
      <c r="M489" s="252">
        <f>Summary!L23</f>
        <v>259048750</v>
      </c>
      <c r="N489" s="252">
        <f>Summary!M23</f>
        <v>258807830</v>
      </c>
      <c r="O489" s="252">
        <f>Summary!N23</f>
        <v>254784565</v>
      </c>
      <c r="P489" s="252">
        <f>Summary!O23</f>
        <v>249955178</v>
      </c>
      <c r="Q489" s="252" t="e">
        <f>Summary!#REF!</f>
        <v>#REF!</v>
      </c>
      <c r="R489" s="252">
        <f>Summary!Q23</f>
        <v>240024913.21432304</v>
      </c>
    </row>
    <row r="490" spans="11:20" s="308" customFormat="1" x14ac:dyDescent="0.3">
      <c r="K490" s="317" t="s">
        <v>52</v>
      </c>
      <c r="L490" s="252">
        <v>628286</v>
      </c>
      <c r="M490" s="252">
        <f>Summary!L24</f>
        <v>656137</v>
      </c>
      <c r="N490" s="252">
        <f>Summary!M24</f>
        <v>634289</v>
      </c>
      <c r="O490" s="252">
        <f>Summary!N24</f>
        <v>711311</v>
      </c>
      <c r="P490" s="252">
        <f>Summary!O24</f>
        <v>622066.30000000005</v>
      </c>
      <c r="Q490" s="252">
        <f>Summary!P24</f>
        <v>610764.1</v>
      </c>
      <c r="R490" s="252">
        <f>Summary!Q24</f>
        <v>603193.73069710995</v>
      </c>
    </row>
    <row r="491" spans="11:20" s="308" customFormat="1" ht="8.1" customHeight="1" x14ac:dyDescent="0.3">
      <c r="K491" s="419"/>
      <c r="L491" s="420"/>
      <c r="M491" s="420"/>
      <c r="N491" s="420"/>
      <c r="O491" s="420"/>
      <c r="P491" s="420"/>
      <c r="Q491" s="420"/>
      <c r="R491" s="420"/>
    </row>
    <row r="492" spans="11:20" s="308" customFormat="1" x14ac:dyDescent="0.3">
      <c r="K492" s="419" t="str">
        <f>$E$298</f>
        <v>Sentinel Lighting</v>
      </c>
      <c r="L492" s="420"/>
      <c r="M492" s="420"/>
      <c r="N492" s="420"/>
      <c r="O492" s="420"/>
      <c r="P492" s="420"/>
      <c r="Q492" s="420"/>
      <c r="R492" s="420"/>
    </row>
    <row r="493" spans="11:20" s="308" customFormat="1" x14ac:dyDescent="0.3">
      <c r="K493" s="311" t="s">
        <v>268</v>
      </c>
      <c r="L493" s="252">
        <v>387</v>
      </c>
      <c r="M493" s="252">
        <f>Summary!L27</f>
        <v>374</v>
      </c>
      <c r="N493" s="252">
        <f>Summary!M27</f>
        <v>362</v>
      </c>
      <c r="O493" s="252">
        <f>Summary!N27</f>
        <v>360</v>
      </c>
      <c r="P493" s="252">
        <f>Summary!O27</f>
        <v>362</v>
      </c>
      <c r="Q493" s="252">
        <f>Summary!P27</f>
        <v>361</v>
      </c>
      <c r="R493" s="252">
        <f>Summary!Q27</f>
        <v>354.47637329291484</v>
      </c>
    </row>
    <row r="494" spans="11:20" s="308" customFormat="1" x14ac:dyDescent="0.3">
      <c r="K494" s="317" t="s">
        <v>51</v>
      </c>
      <c r="L494" s="252">
        <v>254165</v>
      </c>
      <c r="M494" s="252">
        <f>Summary!L28</f>
        <v>237315</v>
      </c>
      <c r="N494" s="252">
        <f>Summary!M28</f>
        <v>243349</v>
      </c>
      <c r="O494" s="252">
        <f>Summary!N28</f>
        <v>235238</v>
      </c>
      <c r="P494" s="252">
        <f>Summary!O28</f>
        <v>227055.8</v>
      </c>
      <c r="Q494" s="252" t="e">
        <f>Summary!#REF!</f>
        <v>#REF!</v>
      </c>
      <c r="R494" s="252">
        <f>Summary!Q28</f>
        <v>209800.13099560147</v>
      </c>
    </row>
    <row r="495" spans="11:20" s="308" customFormat="1" x14ac:dyDescent="0.3">
      <c r="K495" s="317" t="s">
        <v>52</v>
      </c>
      <c r="L495" s="252">
        <v>710</v>
      </c>
      <c r="M495" s="252">
        <f>Summary!L29</f>
        <v>660</v>
      </c>
      <c r="N495" s="252">
        <f>Summary!M29</f>
        <v>676</v>
      </c>
      <c r="O495" s="252">
        <f>Summary!N29</f>
        <v>752</v>
      </c>
      <c r="P495" s="252">
        <f>Summary!O29</f>
        <v>630</v>
      </c>
      <c r="Q495" s="252">
        <f>Summary!P29</f>
        <v>619.20000000000005</v>
      </c>
      <c r="R495" s="252">
        <f>Summary!Q29</f>
        <v>592.51480879014923</v>
      </c>
    </row>
    <row r="496" spans="11:20" s="308" customFormat="1" ht="8.1" customHeight="1" x14ac:dyDescent="0.3">
      <c r="K496" s="419"/>
      <c r="L496" s="420"/>
      <c r="M496" s="420"/>
      <c r="N496" s="420"/>
      <c r="O496" s="420"/>
      <c r="P496" s="420"/>
      <c r="Q496" s="420"/>
      <c r="R496" s="420"/>
    </row>
    <row r="497" spans="1:30" s="308" customFormat="1" x14ac:dyDescent="0.3">
      <c r="K497" s="419" t="str">
        <f>$F$298</f>
        <v>Street Lights</v>
      </c>
      <c r="L497" s="420"/>
      <c r="M497" s="420"/>
      <c r="N497" s="420"/>
      <c r="O497" s="420"/>
      <c r="P497" s="420"/>
      <c r="Q497" s="420"/>
      <c r="R497" s="420"/>
    </row>
    <row r="498" spans="1:30" s="308" customFormat="1" x14ac:dyDescent="0.3">
      <c r="K498" s="311" t="s">
        <v>268</v>
      </c>
      <c r="L498" s="252">
        <v>8904</v>
      </c>
      <c r="M498" s="252">
        <f>Summary!L32</f>
        <v>8846</v>
      </c>
      <c r="N498" s="252">
        <f>Summary!M32</f>
        <v>8846</v>
      </c>
      <c r="O498" s="252">
        <f>Summary!N32</f>
        <v>8839</v>
      </c>
      <c r="P498" s="252">
        <f>Summary!O32</f>
        <v>8872</v>
      </c>
      <c r="Q498" s="252">
        <f>Summary!P32</f>
        <v>8070</v>
      </c>
      <c r="R498" s="252">
        <f>Summary!Q32</f>
        <v>8070</v>
      </c>
    </row>
    <row r="499" spans="1:30" s="308" customFormat="1" x14ac:dyDescent="0.3">
      <c r="K499" s="317" t="s">
        <v>51</v>
      </c>
      <c r="L499" s="252">
        <v>7907160</v>
      </c>
      <c r="M499" s="252">
        <f>Summary!L33</f>
        <v>8087592</v>
      </c>
      <c r="N499" s="252">
        <f>Summary!M33</f>
        <v>7812115</v>
      </c>
      <c r="O499" s="252">
        <f>Summary!N33</f>
        <v>7295612</v>
      </c>
      <c r="P499" s="252">
        <f>Summary!O33</f>
        <v>4869277.0999999996</v>
      </c>
      <c r="Q499" s="252" t="e">
        <f>Summary!#REF!</f>
        <v>#REF!</v>
      </c>
      <c r="R499" s="252">
        <f>Summary!Q33</f>
        <v>2398221.2999999998</v>
      </c>
    </row>
    <row r="500" spans="1:30" s="308" customFormat="1" x14ac:dyDescent="0.3">
      <c r="K500" s="317" t="s">
        <v>52</v>
      </c>
      <c r="L500" s="252">
        <v>22680</v>
      </c>
      <c r="M500" s="252">
        <f>Summary!L34</f>
        <v>21588</v>
      </c>
      <c r="N500" s="252">
        <f>Summary!M34</f>
        <v>21876</v>
      </c>
      <c r="O500" s="252">
        <f>Summary!N34</f>
        <v>21794</v>
      </c>
      <c r="P500" s="252">
        <f>Summary!O34</f>
        <v>14262.4</v>
      </c>
      <c r="Q500" s="252">
        <f>Summary!P34</f>
        <v>7030.1</v>
      </c>
      <c r="R500" s="252">
        <f>Summary!Q34</f>
        <v>7030.1</v>
      </c>
    </row>
    <row r="501" spans="1:30" s="308" customFormat="1" ht="8.1" customHeight="1" x14ac:dyDescent="0.3">
      <c r="K501" s="419"/>
      <c r="L501" s="420"/>
      <c r="M501" s="420"/>
      <c r="N501" s="420"/>
      <c r="O501" s="420"/>
      <c r="P501" s="420"/>
      <c r="Q501" s="420"/>
      <c r="R501" s="420"/>
    </row>
    <row r="502" spans="1:30" s="308" customFormat="1" x14ac:dyDescent="0.3">
      <c r="K502" s="419" t="str">
        <f>$G$298</f>
        <v xml:space="preserve">Unmetered Scattered Load </v>
      </c>
      <c r="L502" s="420"/>
      <c r="M502" s="420"/>
      <c r="N502" s="420"/>
      <c r="O502" s="420"/>
      <c r="P502" s="420"/>
      <c r="Q502" s="420"/>
      <c r="R502" s="420"/>
    </row>
    <row r="503" spans="1:30" s="308" customFormat="1" x14ac:dyDescent="0.3">
      <c r="K503" s="311" t="s">
        <v>268</v>
      </c>
      <c r="L503" s="252">
        <v>21</v>
      </c>
      <c r="M503" s="252">
        <f>Summary!L37</f>
        <v>21</v>
      </c>
      <c r="N503" s="252">
        <f>Summary!M37</f>
        <v>21</v>
      </c>
      <c r="O503" s="252">
        <f>Summary!N37</f>
        <v>21</v>
      </c>
      <c r="P503" s="252">
        <f>Summary!O37</f>
        <v>21</v>
      </c>
      <c r="Q503" s="252">
        <f>Summary!P37</f>
        <v>21</v>
      </c>
      <c r="R503" s="252">
        <f>Summary!Q37</f>
        <v>21.856426428186388</v>
      </c>
    </row>
    <row r="504" spans="1:30" s="308" customFormat="1" x14ac:dyDescent="0.3">
      <c r="K504" s="317" t="s">
        <v>51</v>
      </c>
      <c r="L504" s="252">
        <v>872889</v>
      </c>
      <c r="M504" s="252">
        <f>Summary!L38</f>
        <v>857423</v>
      </c>
      <c r="N504" s="252">
        <f>Summary!M38</f>
        <v>876024</v>
      </c>
      <c r="O504" s="252">
        <f>Summary!N38</f>
        <v>912709</v>
      </c>
      <c r="P504" s="252">
        <f>Summary!O38</f>
        <v>903250.63</v>
      </c>
      <c r="Q504" s="252" t="e">
        <f>Summary!#REF!</f>
        <v>#REF!</v>
      </c>
      <c r="R504" s="252">
        <f>Summary!Q38</f>
        <v>944731.43889360514</v>
      </c>
    </row>
    <row r="505" spans="1:30" s="308" customFormat="1" ht="8.1" customHeight="1" x14ac:dyDescent="0.3">
      <c r="K505" s="317"/>
      <c r="L505" s="340"/>
      <c r="M505" s="340"/>
      <c r="N505" s="340"/>
      <c r="O505" s="340"/>
      <c r="P505" s="340"/>
      <c r="Q505" s="340"/>
      <c r="R505" s="340"/>
    </row>
    <row r="506" spans="1:30" s="308" customFormat="1" x14ac:dyDescent="0.3">
      <c r="K506" s="419" t="s">
        <v>20</v>
      </c>
      <c r="L506" s="420"/>
      <c r="M506" s="420"/>
      <c r="N506" s="420"/>
      <c r="O506" s="420"/>
      <c r="P506" s="420"/>
      <c r="Q506" s="420"/>
      <c r="R506" s="420"/>
    </row>
    <row r="507" spans="1:30" s="308" customFormat="1" x14ac:dyDescent="0.3">
      <c r="K507" s="337" t="s">
        <v>59</v>
      </c>
      <c r="L507" s="338">
        <f>L480+L484+L488+L493++L498+L503</f>
        <v>42383</v>
      </c>
      <c r="M507" s="338">
        <f t="shared" ref="M507:R507" si="141">M480+M484+M488+M493++M498+M503</f>
        <v>42592</v>
      </c>
      <c r="N507" s="338">
        <f t="shared" si="141"/>
        <v>42577</v>
      </c>
      <c r="O507" s="338">
        <f t="shared" si="141"/>
        <v>42590</v>
      </c>
      <c r="P507" s="338">
        <f t="shared" si="141"/>
        <v>42650</v>
      </c>
      <c r="Q507" s="338">
        <f t="shared" si="141"/>
        <v>41959</v>
      </c>
      <c r="R507" s="338">
        <f t="shared" si="141"/>
        <v>42049.777078881569</v>
      </c>
    </row>
    <row r="508" spans="1:30" s="308" customFormat="1" x14ac:dyDescent="0.3">
      <c r="K508" s="339" t="s">
        <v>51</v>
      </c>
      <c r="L508" s="338">
        <f>L481+L485+L489+L494++L499+L504</f>
        <v>703408249</v>
      </c>
      <c r="M508" s="338">
        <f t="shared" ref="M508:R508" si="142">M481+M485+M489+M494++M499+M504</f>
        <v>688244167</v>
      </c>
      <c r="N508" s="338">
        <f t="shared" si="142"/>
        <v>701843127</v>
      </c>
      <c r="O508" s="338">
        <f t="shared" si="142"/>
        <v>669387526</v>
      </c>
      <c r="P508" s="338">
        <f t="shared" si="142"/>
        <v>636876243.92999995</v>
      </c>
      <c r="Q508" s="338" t="e">
        <f t="shared" si="142"/>
        <v>#REF!</v>
      </c>
      <c r="R508" s="338">
        <f t="shared" si="142"/>
        <v>615271738.74970031</v>
      </c>
    </row>
    <row r="509" spans="1:30" s="308" customFormat="1" x14ac:dyDescent="0.3">
      <c r="K509" s="334" t="s">
        <v>267</v>
      </c>
      <c r="L509" s="338">
        <f>L490+L495+L500</f>
        <v>651676</v>
      </c>
      <c r="M509" s="338">
        <f t="shared" ref="M509:R509" si="143">M490+M495+M500</f>
        <v>678385</v>
      </c>
      <c r="N509" s="338">
        <f t="shared" si="143"/>
        <v>656841</v>
      </c>
      <c r="O509" s="338">
        <f t="shared" si="143"/>
        <v>733857</v>
      </c>
      <c r="P509" s="338">
        <f t="shared" si="143"/>
        <v>636958.70000000007</v>
      </c>
      <c r="Q509" s="338">
        <f t="shared" si="143"/>
        <v>618413.39999999991</v>
      </c>
      <c r="R509" s="338">
        <f t="shared" si="143"/>
        <v>610816.3455059001</v>
      </c>
    </row>
    <row r="510" spans="1:30" x14ac:dyDescent="0.3">
      <c r="A510" s="273"/>
      <c r="B510" s="274"/>
      <c r="C510" s="274"/>
      <c r="D510" s="274"/>
      <c r="E510" s="274"/>
      <c r="F510" s="274"/>
      <c r="G510" s="274"/>
      <c r="H510" s="274"/>
      <c r="I510" s="274"/>
    </row>
    <row r="511" spans="1:30" x14ac:dyDescent="0.3">
      <c r="S511" s="275" t="s">
        <v>269</v>
      </c>
      <c r="T511" s="275"/>
      <c r="U511" s="275"/>
    </row>
    <row r="512" spans="1:30" ht="67.5" customHeight="1" x14ac:dyDescent="0.3">
      <c r="S512" s="284" t="s">
        <v>216</v>
      </c>
      <c r="T512" s="414" t="s">
        <v>217</v>
      </c>
      <c r="U512" s="415"/>
      <c r="V512" s="343" t="s">
        <v>218</v>
      </c>
      <c r="W512" s="414" t="s">
        <v>91</v>
      </c>
      <c r="X512" s="415"/>
      <c r="Y512" s="414" t="s">
        <v>271</v>
      </c>
      <c r="Z512" s="415"/>
      <c r="AA512" s="414" t="s">
        <v>219</v>
      </c>
      <c r="AB512" s="415"/>
      <c r="AC512" s="414" t="s">
        <v>220</v>
      </c>
      <c r="AD512" s="415"/>
    </row>
    <row r="513" spans="19:30" ht="19.5" customHeight="1" x14ac:dyDescent="0.3">
      <c r="S513" s="422" t="str">
        <f>F170</f>
        <v>Weather 
Normal Conversion 
Factor</v>
      </c>
      <c r="T513" s="423"/>
      <c r="U513" s="423"/>
      <c r="V513" s="423"/>
      <c r="W513" s="423"/>
      <c r="X513" s="424"/>
      <c r="Z513" s="261">
        <f>$F$182</f>
        <v>1.0137024685536589</v>
      </c>
      <c r="AA513" s="421"/>
      <c r="AB513" s="421"/>
      <c r="AC513" s="421"/>
      <c r="AD513" s="421"/>
    </row>
    <row r="514" spans="19:30" ht="46.8" x14ac:dyDescent="0.3">
      <c r="S514" s="277"/>
      <c r="T514" s="278" t="s">
        <v>189</v>
      </c>
      <c r="U514" s="278" t="s">
        <v>270</v>
      </c>
      <c r="W514" s="278" t="str">
        <f>T514</f>
        <v>2013 Board Approved</v>
      </c>
      <c r="X514" s="278" t="str">
        <f>U514</f>
        <v>2013 Actual</v>
      </c>
      <c r="Y514" s="278" t="str">
        <f>W514</f>
        <v>2013 Board Approved</v>
      </c>
      <c r="Z514" s="278" t="str">
        <f t="shared" ref="Z514:AD514" si="144">X514</f>
        <v>2013 Actual</v>
      </c>
      <c r="AA514" s="278" t="str">
        <f t="shared" si="144"/>
        <v>2013 Board Approved</v>
      </c>
      <c r="AB514" s="278" t="str">
        <f t="shared" si="144"/>
        <v>2013 Actual</v>
      </c>
      <c r="AC514" s="278" t="str">
        <f t="shared" si="144"/>
        <v>2013 Board Approved</v>
      </c>
      <c r="AD514" s="278" t="str">
        <f t="shared" si="144"/>
        <v>2013 Actual</v>
      </c>
    </row>
    <row r="515" spans="19:30" x14ac:dyDescent="0.3">
      <c r="S515" s="279" t="s">
        <v>1</v>
      </c>
      <c r="T515" s="280">
        <f>L480</f>
        <v>29271</v>
      </c>
      <c r="U515" s="280">
        <f>$M$480</f>
        <v>29504</v>
      </c>
      <c r="V515" s="281" t="s">
        <v>83</v>
      </c>
      <c r="W515" s="281">
        <f>L481</f>
        <v>340561449</v>
      </c>
      <c r="X515" s="281">
        <f>$M$481</f>
        <v>324185392</v>
      </c>
      <c r="Y515" s="281">
        <f>W515</f>
        <v>340561449</v>
      </c>
      <c r="Z515" s="281">
        <f>X515*$Z$513</f>
        <v>328627532.13943559</v>
      </c>
      <c r="AA515" s="281">
        <f>W515/T515</f>
        <v>11634.773290970585</v>
      </c>
      <c r="AB515" s="281">
        <f>X515/U515</f>
        <v>10987.845444685467</v>
      </c>
      <c r="AC515" s="281">
        <f>Y515/T515</f>
        <v>11634.773290970585</v>
      </c>
      <c r="AD515" s="281">
        <f>Z515/U515</f>
        <v>11138.406051363734</v>
      </c>
    </row>
    <row r="516" spans="19:30" x14ac:dyDescent="0.3">
      <c r="S516" s="279" t="s">
        <v>133</v>
      </c>
      <c r="T516" s="280">
        <f>L484</f>
        <v>3401</v>
      </c>
      <c r="U516" s="280">
        <f>$M$484</f>
        <v>3474</v>
      </c>
      <c r="V516" s="281" t="s">
        <v>83</v>
      </c>
      <c r="W516" s="281">
        <f>L485</f>
        <v>102179766</v>
      </c>
      <c r="X516" s="281">
        <f>$M$485</f>
        <v>95827695</v>
      </c>
      <c r="Y516" s="281">
        <f t="shared" ref="Y516:Y520" si="145">W516</f>
        <v>102179766</v>
      </c>
      <c r="Z516" s="281">
        <f t="shared" ref="Z516:Z520" si="146">X516*$Z$513</f>
        <v>97140770.977307111</v>
      </c>
      <c r="AA516" s="281">
        <f t="shared" ref="AA516:AB520" si="147">W516/T516</f>
        <v>30044.035871802411</v>
      </c>
      <c r="AB516" s="281">
        <f t="shared" si="147"/>
        <v>27584.253022452504</v>
      </c>
      <c r="AC516" s="281">
        <f t="shared" ref="AC516:AD520" si="148">Y516/T516</f>
        <v>30044.035871802411</v>
      </c>
      <c r="AD516" s="281">
        <f t="shared" si="148"/>
        <v>27962.225382068827</v>
      </c>
    </row>
    <row r="517" spans="19:30" x14ac:dyDescent="0.3">
      <c r="S517" s="375" t="s">
        <v>317</v>
      </c>
      <c r="T517" s="280">
        <f>L488</f>
        <v>399</v>
      </c>
      <c r="U517" s="280">
        <f>$M$488</f>
        <v>373</v>
      </c>
      <c r="V517" s="281" t="s">
        <v>84</v>
      </c>
      <c r="W517" s="281">
        <f>L490</f>
        <v>628286</v>
      </c>
      <c r="X517" s="281">
        <f>$M$490</f>
        <v>656137</v>
      </c>
      <c r="Y517" s="281">
        <f t="shared" si="145"/>
        <v>628286</v>
      </c>
      <c r="Z517" s="281">
        <f t="shared" si="146"/>
        <v>665127.69660939206</v>
      </c>
      <c r="AA517" s="281">
        <f t="shared" si="147"/>
        <v>1574.6516290726818</v>
      </c>
      <c r="AB517" s="281">
        <f t="shared" si="147"/>
        <v>1759.0804289544235</v>
      </c>
      <c r="AC517" s="281">
        <f t="shared" si="148"/>
        <v>1574.6516290726818</v>
      </c>
      <c r="AD517" s="281">
        <f t="shared" si="148"/>
        <v>1783.1841732155283</v>
      </c>
    </row>
    <row r="518" spans="19:30" x14ac:dyDescent="0.3">
      <c r="S518" s="279" t="s">
        <v>148</v>
      </c>
      <c r="T518" s="280">
        <f>L493</f>
        <v>387</v>
      </c>
      <c r="U518" s="280">
        <f>$M$493</f>
        <v>374</v>
      </c>
      <c r="V518" s="281" t="s">
        <v>84</v>
      </c>
      <c r="W518" s="281">
        <f>L495</f>
        <v>710</v>
      </c>
      <c r="X518" s="281">
        <f>$M$495</f>
        <v>660</v>
      </c>
      <c r="Y518" s="281">
        <f t="shared" si="145"/>
        <v>710</v>
      </c>
      <c r="Z518" s="281">
        <f t="shared" si="146"/>
        <v>669.04362924541488</v>
      </c>
      <c r="AA518" s="281">
        <f t="shared" si="147"/>
        <v>1.8346253229974161</v>
      </c>
      <c r="AB518" s="281">
        <f t="shared" si="147"/>
        <v>1.7647058823529411</v>
      </c>
      <c r="AC518" s="281">
        <f t="shared" si="148"/>
        <v>1.8346253229974161</v>
      </c>
      <c r="AD518" s="281">
        <f t="shared" si="148"/>
        <v>1.7888867092123393</v>
      </c>
    </row>
    <row r="519" spans="19:30" x14ac:dyDescent="0.3">
      <c r="S519" s="279" t="s">
        <v>66</v>
      </c>
      <c r="T519" s="280">
        <f>L498</f>
        <v>8904</v>
      </c>
      <c r="U519" s="280">
        <f>$M$498</f>
        <v>8846</v>
      </c>
      <c r="V519" s="281" t="s">
        <v>84</v>
      </c>
      <c r="W519" s="281">
        <f>L500</f>
        <v>22680</v>
      </c>
      <c r="X519" s="281">
        <f>$M$500</f>
        <v>21588</v>
      </c>
      <c r="Y519" s="281">
        <f t="shared" si="145"/>
        <v>22680</v>
      </c>
      <c r="Z519" s="281">
        <f t="shared" si="146"/>
        <v>21883.808891136388</v>
      </c>
      <c r="AA519" s="281">
        <f t="shared" si="147"/>
        <v>2.5471698113207548</v>
      </c>
      <c r="AB519" s="281">
        <f t="shared" si="147"/>
        <v>2.4404250508704499</v>
      </c>
      <c r="AC519" s="281">
        <f t="shared" si="148"/>
        <v>2.5471698113207548</v>
      </c>
      <c r="AD519" s="281">
        <f t="shared" si="148"/>
        <v>2.4738648983875637</v>
      </c>
    </row>
    <row r="520" spans="19:30" x14ac:dyDescent="0.3">
      <c r="S520" s="279" t="s">
        <v>149</v>
      </c>
      <c r="T520" s="280">
        <f>L503</f>
        <v>21</v>
      </c>
      <c r="U520" s="280">
        <f>$M$503</f>
        <v>21</v>
      </c>
      <c r="V520" s="281" t="s">
        <v>83</v>
      </c>
      <c r="W520" s="281">
        <f>L504</f>
        <v>872889</v>
      </c>
      <c r="X520" s="281">
        <f>$M$504</f>
        <v>857423</v>
      </c>
      <c r="Y520" s="281">
        <f t="shared" si="145"/>
        <v>872889</v>
      </c>
      <c r="Z520" s="281">
        <f t="shared" si="146"/>
        <v>869171.81169468386</v>
      </c>
      <c r="AA520" s="281">
        <f t="shared" si="147"/>
        <v>41566.142857142855</v>
      </c>
      <c r="AB520" s="281">
        <f t="shared" si="147"/>
        <v>40829.666666666664</v>
      </c>
      <c r="AC520" s="281">
        <f t="shared" si="148"/>
        <v>41566.142857142855</v>
      </c>
      <c r="AD520" s="281">
        <f t="shared" si="148"/>
        <v>41389.133890223042</v>
      </c>
    </row>
    <row r="521" spans="19:30" x14ac:dyDescent="0.3">
      <c r="S521" s="279" t="s">
        <v>12</v>
      </c>
      <c r="T521" s="280">
        <f>SUM(T515:T520)</f>
        <v>42383</v>
      </c>
      <c r="U521" s="280">
        <f>SUM(U515:U520)</f>
        <v>42592</v>
      </c>
      <c r="V521" s="282"/>
      <c r="W521" s="282"/>
      <c r="X521" s="282"/>
      <c r="Y521" s="282"/>
      <c r="Z521" s="282"/>
      <c r="AA521" s="282"/>
      <c r="AB521" s="282"/>
      <c r="AC521" s="282"/>
      <c r="AD521" s="282"/>
    </row>
    <row r="522" spans="19:30" x14ac:dyDescent="0.3">
      <c r="S522" s="236"/>
      <c r="T522" s="413" t="s">
        <v>162</v>
      </c>
      <c r="U522" s="413"/>
      <c r="V522" s="287"/>
      <c r="W522" s="413" t="s">
        <v>162</v>
      </c>
      <c r="X522" s="413"/>
      <c r="Y522" s="413" t="s">
        <v>162</v>
      </c>
      <c r="Z522" s="413"/>
      <c r="AA522" s="413" t="s">
        <v>162</v>
      </c>
      <c r="AB522" s="413"/>
      <c r="AC522" s="413" t="s">
        <v>162</v>
      </c>
      <c r="AD522" s="413"/>
    </row>
    <row r="523" spans="19:30" x14ac:dyDescent="0.3">
      <c r="S523" s="283" t="s">
        <v>1</v>
      </c>
      <c r="T523" s="412">
        <f t="shared" ref="T523:T528" si="149">U515-T515</f>
        <v>233</v>
      </c>
      <c r="U523" s="412"/>
      <c r="V523" s="288" t="str">
        <f>V515</f>
        <v>kWh</v>
      </c>
      <c r="W523" s="412">
        <f t="shared" ref="W523:W528" si="150">X515-W515</f>
        <v>-16376057</v>
      </c>
      <c r="X523" s="412"/>
      <c r="Y523" s="412">
        <f t="shared" ref="Y523:Y528" si="151">Z515-Y515</f>
        <v>-11933916.860564411</v>
      </c>
      <c r="Z523" s="412"/>
      <c r="AA523" s="412">
        <f t="shared" ref="AA523:AA528" si="152">AB515-AA515</f>
        <v>-646.92784628511799</v>
      </c>
      <c r="AB523" s="412"/>
      <c r="AC523" s="412">
        <f t="shared" ref="AC523:AC528" si="153">AD515-AC515</f>
        <v>-496.36723960685049</v>
      </c>
      <c r="AD523" s="412"/>
    </row>
    <row r="524" spans="19:30" x14ac:dyDescent="0.3">
      <c r="S524" s="283" t="s">
        <v>133</v>
      </c>
      <c r="T524" s="412">
        <f t="shared" si="149"/>
        <v>73</v>
      </c>
      <c r="U524" s="412"/>
      <c r="V524" s="288" t="str">
        <f t="shared" ref="V524:V528" si="154">V516</f>
        <v>kWh</v>
      </c>
      <c r="W524" s="412">
        <f t="shared" si="150"/>
        <v>-6352071</v>
      </c>
      <c r="X524" s="412"/>
      <c r="Y524" s="412">
        <f t="shared" si="151"/>
        <v>-5038995.022692889</v>
      </c>
      <c r="Z524" s="412"/>
      <c r="AA524" s="412">
        <f t="shared" si="152"/>
        <v>-2459.7828493499073</v>
      </c>
      <c r="AB524" s="412"/>
      <c r="AC524" s="412">
        <f t="shared" si="153"/>
        <v>-2081.8104897335834</v>
      </c>
      <c r="AD524" s="412"/>
    </row>
    <row r="525" spans="19:30" x14ac:dyDescent="0.3">
      <c r="S525" s="375" t="s">
        <v>317</v>
      </c>
      <c r="T525" s="412">
        <f t="shared" si="149"/>
        <v>-26</v>
      </c>
      <c r="U525" s="412"/>
      <c r="V525" s="288" t="str">
        <f t="shared" si="154"/>
        <v>kW</v>
      </c>
      <c r="W525" s="412">
        <f t="shared" si="150"/>
        <v>27851</v>
      </c>
      <c r="X525" s="412"/>
      <c r="Y525" s="412">
        <f t="shared" si="151"/>
        <v>36841.696609392064</v>
      </c>
      <c r="Z525" s="412"/>
      <c r="AA525" s="412">
        <f t="shared" si="152"/>
        <v>184.42879988174172</v>
      </c>
      <c r="AB525" s="412"/>
      <c r="AC525" s="412">
        <f t="shared" si="153"/>
        <v>208.53254414284652</v>
      </c>
      <c r="AD525" s="412"/>
    </row>
    <row r="526" spans="19:30" x14ac:dyDescent="0.3">
      <c r="S526" s="283" t="s">
        <v>148</v>
      </c>
      <c r="T526" s="412">
        <f t="shared" si="149"/>
        <v>-13</v>
      </c>
      <c r="U526" s="412"/>
      <c r="V526" s="288" t="str">
        <f t="shared" si="154"/>
        <v>kW</v>
      </c>
      <c r="W526" s="412">
        <f t="shared" si="150"/>
        <v>-50</v>
      </c>
      <c r="X526" s="412"/>
      <c r="Y526" s="412">
        <f t="shared" si="151"/>
        <v>-40.956370754585123</v>
      </c>
      <c r="Z526" s="412"/>
      <c r="AA526" s="412">
        <f t="shared" si="152"/>
        <v>-6.9919440644474973E-2</v>
      </c>
      <c r="AB526" s="412"/>
      <c r="AC526" s="412">
        <f t="shared" si="153"/>
        <v>-4.573861378507682E-2</v>
      </c>
      <c r="AD526" s="412"/>
    </row>
    <row r="527" spans="19:30" x14ac:dyDescent="0.3">
      <c r="S527" s="283" t="s">
        <v>66</v>
      </c>
      <c r="T527" s="412">
        <f t="shared" si="149"/>
        <v>-58</v>
      </c>
      <c r="U527" s="412"/>
      <c r="V527" s="288" t="str">
        <f t="shared" si="154"/>
        <v>kW</v>
      </c>
      <c r="W527" s="412">
        <f t="shared" si="150"/>
        <v>-1092</v>
      </c>
      <c r="X527" s="412"/>
      <c r="Y527" s="412">
        <f t="shared" si="151"/>
        <v>-796.19110886361159</v>
      </c>
      <c r="Z527" s="412"/>
      <c r="AA527" s="412">
        <f t="shared" si="152"/>
        <v>-0.1067447604503049</v>
      </c>
      <c r="AB527" s="412"/>
      <c r="AC527" s="412">
        <f t="shared" si="153"/>
        <v>-7.330491293319108E-2</v>
      </c>
      <c r="AD527" s="412"/>
    </row>
    <row r="528" spans="19:30" x14ac:dyDescent="0.3">
      <c r="S528" s="283" t="s">
        <v>149</v>
      </c>
      <c r="T528" s="412">
        <f t="shared" si="149"/>
        <v>0</v>
      </c>
      <c r="U528" s="412"/>
      <c r="V528" s="288" t="str">
        <f t="shared" si="154"/>
        <v>kWh</v>
      </c>
      <c r="W528" s="412">
        <f t="shared" si="150"/>
        <v>-15466</v>
      </c>
      <c r="X528" s="412"/>
      <c r="Y528" s="412">
        <f t="shared" si="151"/>
        <v>-3717.1883053161437</v>
      </c>
      <c r="Z528" s="412"/>
      <c r="AA528" s="412">
        <f t="shared" si="152"/>
        <v>-736.47619047619082</v>
      </c>
      <c r="AB528" s="412"/>
      <c r="AC528" s="412">
        <f t="shared" si="153"/>
        <v>-177.00896691981325</v>
      </c>
      <c r="AD528" s="412"/>
    </row>
    <row r="530" spans="19:30" x14ac:dyDescent="0.3">
      <c r="S530" s="286" t="s">
        <v>272</v>
      </c>
      <c r="T530" s="286"/>
      <c r="U530" s="286"/>
    </row>
    <row r="531" spans="19:30" ht="71.25" customHeight="1" x14ac:dyDescent="0.3">
      <c r="S531" s="284" t="s">
        <v>216</v>
      </c>
      <c r="T531" s="414" t="s">
        <v>217</v>
      </c>
      <c r="U531" s="415"/>
      <c r="V531" s="343" t="s">
        <v>218</v>
      </c>
      <c r="W531" s="414" t="s">
        <v>91</v>
      </c>
      <c r="X531" s="415"/>
      <c r="Y531" s="414" t="s">
        <v>271</v>
      </c>
      <c r="Z531" s="415"/>
      <c r="AA531" s="414" t="s">
        <v>219</v>
      </c>
      <c r="AB531" s="415"/>
      <c r="AC531" s="414" t="s">
        <v>220</v>
      </c>
      <c r="AD531" s="415"/>
    </row>
    <row r="532" spans="19:30" x14ac:dyDescent="0.3">
      <c r="S532" s="422" t="str">
        <f>S513</f>
        <v>Weather 
Normal Conversion 
Factor</v>
      </c>
      <c r="T532" s="423"/>
      <c r="U532" s="423"/>
      <c r="V532" s="423"/>
      <c r="W532" s="423"/>
      <c r="X532" s="424"/>
      <c r="Y532" s="261">
        <f>Z513</f>
        <v>1.0137024685536589</v>
      </c>
      <c r="Z532" s="261">
        <f>$F$183</f>
        <v>0.95890764083885549</v>
      </c>
      <c r="AA532" s="421"/>
      <c r="AB532" s="421"/>
      <c r="AC532" s="421"/>
      <c r="AD532" s="421"/>
    </row>
    <row r="533" spans="19:30" ht="31.2" x14ac:dyDescent="0.3">
      <c r="S533" s="277"/>
      <c r="T533" s="278" t="s">
        <v>270</v>
      </c>
      <c r="U533" s="278" t="s">
        <v>273</v>
      </c>
      <c r="W533" s="278" t="str">
        <f>T533</f>
        <v>2013 Actual</v>
      </c>
      <c r="X533" s="278" t="str">
        <f>U533</f>
        <v>2014 Actual</v>
      </c>
      <c r="Y533" s="278" t="str">
        <f>W533</f>
        <v>2013 Actual</v>
      </c>
      <c r="Z533" s="278" t="str">
        <f t="shared" ref="Z533" si="155">X533</f>
        <v>2014 Actual</v>
      </c>
      <c r="AA533" s="278" t="str">
        <f t="shared" ref="AA533" si="156">Y533</f>
        <v>2013 Actual</v>
      </c>
      <c r="AB533" s="278" t="str">
        <f t="shared" ref="AB533" si="157">Z533</f>
        <v>2014 Actual</v>
      </c>
      <c r="AC533" s="278" t="str">
        <f t="shared" ref="AC533" si="158">AA533</f>
        <v>2013 Actual</v>
      </c>
      <c r="AD533" s="278" t="str">
        <f t="shared" ref="AD533" si="159">AB533</f>
        <v>2014 Actual</v>
      </c>
    </row>
    <row r="534" spans="19:30" x14ac:dyDescent="0.3">
      <c r="S534" s="279" t="s">
        <v>1</v>
      </c>
      <c r="T534" s="280">
        <f>$M$480</f>
        <v>29504</v>
      </c>
      <c r="U534" s="280">
        <f>$N$480</f>
        <v>29514</v>
      </c>
      <c r="V534" s="281" t="s">
        <v>83</v>
      </c>
      <c r="W534" s="281">
        <f>$M$481</f>
        <v>324185392</v>
      </c>
      <c r="X534" s="281">
        <f>$N$481</f>
        <v>334950383</v>
      </c>
      <c r="Y534" s="281">
        <f>W534*Y532</f>
        <v>328627532.13943559</v>
      </c>
      <c r="Z534" s="281">
        <f>X534*Z532</f>
        <v>321186481.56060112</v>
      </c>
      <c r="AA534" s="281">
        <f>W534/T534</f>
        <v>10987.845444685467</v>
      </c>
      <c r="AB534" s="281">
        <f>X534/U534</f>
        <v>11348.864369451785</v>
      </c>
      <c r="AC534" s="281">
        <f>Y534/T534</f>
        <v>11138.406051363734</v>
      </c>
      <c r="AD534" s="281">
        <f>Z534/U534</f>
        <v>10882.512758711158</v>
      </c>
    </row>
    <row r="535" spans="19:30" x14ac:dyDescent="0.3">
      <c r="S535" s="279" t="s">
        <v>133</v>
      </c>
      <c r="T535" s="280">
        <f>$M$484</f>
        <v>3474</v>
      </c>
      <c r="U535" s="280">
        <f>$N$484</f>
        <v>3464</v>
      </c>
      <c r="V535" s="281" t="s">
        <v>83</v>
      </c>
      <c r="W535" s="281">
        <f>$M$485</f>
        <v>95827695</v>
      </c>
      <c r="X535" s="281">
        <f>$N$485</f>
        <v>99153426</v>
      </c>
      <c r="Y535" s="281">
        <f>W535*Y532</f>
        <v>97140770.977307111</v>
      </c>
      <c r="Z535" s="281">
        <f>X535*Z532</f>
        <v>95078977.806750029</v>
      </c>
      <c r="AA535" s="281">
        <f t="shared" ref="AA535:AA539" si="160">W535/T535</f>
        <v>27584.253022452504</v>
      </c>
      <c r="AB535" s="281">
        <f t="shared" ref="AB535:AB539" si="161">X535/U535</f>
        <v>28623.968244803695</v>
      </c>
      <c r="AC535" s="281">
        <f t="shared" ref="AC535:AC539" si="162">Y535/T535</f>
        <v>27962.225382068827</v>
      </c>
      <c r="AD535" s="281">
        <f t="shared" ref="AD535:AD539" si="163">Z535/U535</f>
        <v>27447.741861071023</v>
      </c>
    </row>
    <row r="536" spans="19:30" x14ac:dyDescent="0.3">
      <c r="S536" s="375" t="s">
        <v>317</v>
      </c>
      <c r="T536" s="280">
        <f>$M$488</f>
        <v>373</v>
      </c>
      <c r="U536" s="280">
        <f>$N$488</f>
        <v>370</v>
      </c>
      <c r="V536" s="281" t="s">
        <v>84</v>
      </c>
      <c r="W536" s="281">
        <f>$M$490</f>
        <v>656137</v>
      </c>
      <c r="X536" s="281">
        <f>$N$490</f>
        <v>634289</v>
      </c>
      <c r="Y536" s="281">
        <f>W536*Y532</f>
        <v>665127.69660939206</v>
      </c>
      <c r="Z536" s="281">
        <f>X536*Z532</f>
        <v>608224.56860003679</v>
      </c>
      <c r="AA536" s="281">
        <f t="shared" si="160"/>
        <v>1759.0804289544235</v>
      </c>
      <c r="AB536" s="281">
        <f t="shared" si="161"/>
        <v>1714.2945945945946</v>
      </c>
      <c r="AC536" s="281">
        <f t="shared" si="162"/>
        <v>1783.1841732155283</v>
      </c>
      <c r="AD536" s="281">
        <f t="shared" si="163"/>
        <v>1643.8501854055048</v>
      </c>
    </row>
    <row r="537" spans="19:30" x14ac:dyDescent="0.3">
      <c r="S537" s="279" t="s">
        <v>148</v>
      </c>
      <c r="T537" s="280">
        <f>$M$493</f>
        <v>374</v>
      </c>
      <c r="U537" s="280">
        <f>$N$493</f>
        <v>362</v>
      </c>
      <c r="V537" s="281" t="s">
        <v>84</v>
      </c>
      <c r="W537" s="281">
        <f>$M$495</f>
        <v>660</v>
      </c>
      <c r="X537" s="281">
        <f>$N$495</f>
        <v>676</v>
      </c>
      <c r="Y537" s="281">
        <f>W537*Y532</f>
        <v>669.04362924541488</v>
      </c>
      <c r="Z537" s="281">
        <f>X537*Z532</f>
        <v>648.22156520706631</v>
      </c>
      <c r="AA537" s="281">
        <f t="shared" si="160"/>
        <v>1.7647058823529411</v>
      </c>
      <c r="AB537" s="281">
        <f t="shared" si="161"/>
        <v>1.867403314917127</v>
      </c>
      <c r="AC537" s="281">
        <f t="shared" si="162"/>
        <v>1.7888867092123393</v>
      </c>
      <c r="AD537" s="281">
        <f t="shared" si="163"/>
        <v>1.7906673072018406</v>
      </c>
    </row>
    <row r="538" spans="19:30" x14ac:dyDescent="0.3">
      <c r="S538" s="279" t="s">
        <v>66</v>
      </c>
      <c r="T538" s="280">
        <f>$M$498</f>
        <v>8846</v>
      </c>
      <c r="U538" s="280">
        <f>$N$498</f>
        <v>8846</v>
      </c>
      <c r="V538" s="281" t="s">
        <v>84</v>
      </c>
      <c r="W538" s="281">
        <f>$M$500</f>
        <v>21588</v>
      </c>
      <c r="X538" s="281">
        <f>$N$500</f>
        <v>21876</v>
      </c>
      <c r="Y538" s="281">
        <f>W538*Y532</f>
        <v>21883.808891136388</v>
      </c>
      <c r="Z538" s="281">
        <f>X538*Z532</f>
        <v>20977.063550990802</v>
      </c>
      <c r="AA538" s="281">
        <f t="shared" si="160"/>
        <v>2.4404250508704499</v>
      </c>
      <c r="AB538" s="281">
        <f t="shared" si="161"/>
        <v>2.4729821388198054</v>
      </c>
      <c r="AC538" s="281">
        <f t="shared" si="162"/>
        <v>2.4738648983875637</v>
      </c>
      <c r="AD538" s="281">
        <f t="shared" si="163"/>
        <v>2.3713614685723265</v>
      </c>
    </row>
    <row r="539" spans="19:30" x14ac:dyDescent="0.3">
      <c r="S539" s="279" t="s">
        <v>149</v>
      </c>
      <c r="T539" s="280">
        <f>$M$503</f>
        <v>21</v>
      </c>
      <c r="U539" s="280">
        <f>$N$503</f>
        <v>21</v>
      </c>
      <c r="V539" s="281" t="s">
        <v>83</v>
      </c>
      <c r="W539" s="281">
        <f>$M$504</f>
        <v>857423</v>
      </c>
      <c r="X539" s="281">
        <f>$N$504</f>
        <v>876024</v>
      </c>
      <c r="Y539" s="281">
        <f>W539*Y532</f>
        <v>869171.81169468386</v>
      </c>
      <c r="Z539" s="281">
        <f>X539*Z532</f>
        <v>840026.10715821758</v>
      </c>
      <c r="AA539" s="281">
        <f t="shared" si="160"/>
        <v>40829.666666666664</v>
      </c>
      <c r="AB539" s="281">
        <f t="shared" si="161"/>
        <v>41715.428571428572</v>
      </c>
      <c r="AC539" s="281">
        <f t="shared" si="162"/>
        <v>41389.133890223042</v>
      </c>
      <c r="AD539" s="281">
        <f t="shared" si="163"/>
        <v>40001.243198010357</v>
      </c>
    </row>
    <row r="540" spans="19:30" x14ac:dyDescent="0.3">
      <c r="S540" s="279" t="s">
        <v>12</v>
      </c>
      <c r="T540" s="280">
        <f>SUM(T534:T539)</f>
        <v>42592</v>
      </c>
      <c r="U540" s="280">
        <f>SUM(U534:U539)</f>
        <v>42577</v>
      </c>
      <c r="V540" s="282"/>
      <c r="W540" s="282"/>
      <c r="X540" s="282"/>
      <c r="Y540" s="282"/>
      <c r="Z540" s="282"/>
      <c r="AA540" s="282"/>
      <c r="AB540" s="282"/>
      <c r="AC540" s="282"/>
      <c r="AD540" s="282"/>
    </row>
    <row r="541" spans="19:30" x14ac:dyDescent="0.3">
      <c r="S541" s="236"/>
      <c r="T541" s="413" t="s">
        <v>162</v>
      </c>
      <c r="U541" s="413"/>
      <c r="V541" s="287"/>
      <c r="W541" s="413" t="s">
        <v>162</v>
      </c>
      <c r="X541" s="413"/>
      <c r="Y541" s="413" t="s">
        <v>162</v>
      </c>
      <c r="Z541" s="413"/>
      <c r="AA541" s="413" t="s">
        <v>162</v>
      </c>
      <c r="AB541" s="413"/>
      <c r="AC541" s="413" t="s">
        <v>162</v>
      </c>
      <c r="AD541" s="413"/>
    </row>
    <row r="542" spans="19:30" x14ac:dyDescent="0.3">
      <c r="S542" s="283" t="s">
        <v>1</v>
      </c>
      <c r="T542" s="412">
        <f t="shared" ref="T542:T547" si="164">U534-T534</f>
        <v>10</v>
      </c>
      <c r="U542" s="412"/>
      <c r="V542" s="288" t="str">
        <f>V534</f>
        <v>kWh</v>
      </c>
      <c r="W542" s="412">
        <f t="shared" ref="W542:W547" si="165">X534-W534</f>
        <v>10764991</v>
      </c>
      <c r="X542" s="412"/>
      <c r="Y542" s="412">
        <f t="shared" ref="Y542:Y547" si="166">Z534-Y534</f>
        <v>-7441050.5788344741</v>
      </c>
      <c r="Z542" s="412"/>
      <c r="AA542" s="412">
        <f t="shared" ref="AA542:AA547" si="167">AB534-AA534</f>
        <v>361.01892476631838</v>
      </c>
      <c r="AB542" s="412"/>
      <c r="AC542" s="412">
        <f t="shared" ref="AC542:AC547" si="168">AD534-AC534</f>
        <v>-255.89329265257584</v>
      </c>
      <c r="AD542" s="412"/>
    </row>
    <row r="543" spans="19:30" x14ac:dyDescent="0.3">
      <c r="S543" s="283" t="s">
        <v>133</v>
      </c>
      <c r="T543" s="412">
        <f t="shared" si="164"/>
        <v>-10</v>
      </c>
      <c r="U543" s="412"/>
      <c r="V543" s="288" t="str">
        <f t="shared" ref="V543:V547" si="169">V535</f>
        <v>kWh</v>
      </c>
      <c r="W543" s="412">
        <f t="shared" si="165"/>
        <v>3325731</v>
      </c>
      <c r="X543" s="412"/>
      <c r="Y543" s="412">
        <f t="shared" si="166"/>
        <v>-2061793.1705570817</v>
      </c>
      <c r="Z543" s="412"/>
      <c r="AA543" s="412">
        <f t="shared" si="167"/>
        <v>1039.7152223511912</v>
      </c>
      <c r="AB543" s="412"/>
      <c r="AC543" s="412">
        <f t="shared" si="168"/>
        <v>-514.48352099780459</v>
      </c>
      <c r="AD543" s="412"/>
    </row>
    <row r="544" spans="19:30" x14ac:dyDescent="0.3">
      <c r="S544" s="375" t="s">
        <v>317</v>
      </c>
      <c r="T544" s="412">
        <f t="shared" si="164"/>
        <v>-3</v>
      </c>
      <c r="U544" s="412"/>
      <c r="V544" s="288" t="str">
        <f t="shared" si="169"/>
        <v>kW</v>
      </c>
      <c r="W544" s="412">
        <f t="shared" si="165"/>
        <v>-21848</v>
      </c>
      <c r="X544" s="412"/>
      <c r="Y544" s="412">
        <f t="shared" si="166"/>
        <v>-56903.128009355278</v>
      </c>
      <c r="Z544" s="412"/>
      <c r="AA544" s="412">
        <f t="shared" si="167"/>
        <v>-44.785834359828868</v>
      </c>
      <c r="AB544" s="412"/>
      <c r="AC544" s="412">
        <f t="shared" si="168"/>
        <v>-139.33398781002347</v>
      </c>
      <c r="AD544" s="412"/>
    </row>
    <row r="545" spans="19:30" x14ac:dyDescent="0.3">
      <c r="S545" s="283" t="s">
        <v>148</v>
      </c>
      <c r="T545" s="412">
        <f t="shared" si="164"/>
        <v>-12</v>
      </c>
      <c r="U545" s="412"/>
      <c r="V545" s="288" t="str">
        <f t="shared" si="169"/>
        <v>kW</v>
      </c>
      <c r="W545" s="412">
        <f t="shared" si="165"/>
        <v>16</v>
      </c>
      <c r="X545" s="412"/>
      <c r="Y545" s="412">
        <f t="shared" si="166"/>
        <v>-20.822064038348572</v>
      </c>
      <c r="Z545" s="412"/>
      <c r="AA545" s="412">
        <f t="shared" si="167"/>
        <v>0.10269743256418584</v>
      </c>
      <c r="AB545" s="412"/>
      <c r="AC545" s="412">
        <f t="shared" si="168"/>
        <v>1.7805979895013646E-3</v>
      </c>
      <c r="AD545" s="412"/>
    </row>
    <row r="546" spans="19:30" x14ac:dyDescent="0.3">
      <c r="S546" s="283" t="s">
        <v>66</v>
      </c>
      <c r="T546" s="412">
        <f t="shared" si="164"/>
        <v>0</v>
      </c>
      <c r="U546" s="412"/>
      <c r="V546" s="288" t="str">
        <f t="shared" si="169"/>
        <v>kW</v>
      </c>
      <c r="W546" s="412">
        <f t="shared" si="165"/>
        <v>288</v>
      </c>
      <c r="X546" s="412"/>
      <c r="Y546" s="412">
        <f t="shared" si="166"/>
        <v>-906.74534014558594</v>
      </c>
      <c r="Z546" s="412"/>
      <c r="AA546" s="412">
        <f t="shared" si="167"/>
        <v>3.2557087949355523E-2</v>
      </c>
      <c r="AB546" s="412"/>
      <c r="AC546" s="412">
        <f t="shared" si="168"/>
        <v>-0.10250342981523719</v>
      </c>
      <c r="AD546" s="412"/>
    </row>
    <row r="547" spans="19:30" x14ac:dyDescent="0.3">
      <c r="S547" s="283" t="s">
        <v>149</v>
      </c>
      <c r="T547" s="412">
        <f t="shared" si="164"/>
        <v>0</v>
      </c>
      <c r="U547" s="412"/>
      <c r="V547" s="288" t="str">
        <f t="shared" si="169"/>
        <v>kWh</v>
      </c>
      <c r="W547" s="412">
        <f t="shared" si="165"/>
        <v>18601</v>
      </c>
      <c r="X547" s="412"/>
      <c r="Y547" s="412">
        <f t="shared" si="166"/>
        <v>-29145.704536466277</v>
      </c>
      <c r="Z547" s="412"/>
      <c r="AA547" s="412">
        <f t="shared" si="167"/>
        <v>885.76190476190823</v>
      </c>
      <c r="AB547" s="412"/>
      <c r="AC547" s="412">
        <f t="shared" si="168"/>
        <v>-1387.8906922126844</v>
      </c>
      <c r="AD547" s="412"/>
    </row>
    <row r="549" spans="19:30" x14ac:dyDescent="0.3">
      <c r="S549" s="286" t="s">
        <v>274</v>
      </c>
      <c r="T549" s="286"/>
      <c r="U549" s="286"/>
    </row>
    <row r="550" spans="19:30" ht="71.25" customHeight="1" x14ac:dyDescent="0.3">
      <c r="S550" s="284" t="s">
        <v>216</v>
      </c>
      <c r="T550" s="414" t="s">
        <v>217</v>
      </c>
      <c r="U550" s="415"/>
      <c r="V550" s="343" t="s">
        <v>218</v>
      </c>
      <c r="W550" s="414" t="s">
        <v>91</v>
      </c>
      <c r="X550" s="415"/>
      <c r="Y550" s="414" t="s">
        <v>271</v>
      </c>
      <c r="Z550" s="415"/>
      <c r="AA550" s="414" t="s">
        <v>219</v>
      </c>
      <c r="AB550" s="415"/>
      <c r="AC550" s="414" t="s">
        <v>220</v>
      </c>
      <c r="AD550" s="415"/>
    </row>
    <row r="551" spans="19:30" x14ac:dyDescent="0.3">
      <c r="S551" s="422" t="str">
        <f>S532</f>
        <v>Weather 
Normal Conversion 
Factor</v>
      </c>
      <c r="T551" s="423"/>
      <c r="U551" s="423"/>
      <c r="V551" s="423"/>
      <c r="W551" s="423"/>
      <c r="X551" s="424"/>
      <c r="Y551" s="261">
        <f>Z532</f>
        <v>0.95890764083885549</v>
      </c>
      <c r="Z551" s="261">
        <f>$F$184</f>
        <v>0.98239765319549033</v>
      </c>
      <c r="AA551" s="421"/>
      <c r="AB551" s="421"/>
      <c r="AC551" s="421"/>
      <c r="AD551" s="421"/>
    </row>
    <row r="552" spans="19:30" ht="31.2" x14ac:dyDescent="0.3">
      <c r="S552" s="277"/>
      <c r="T552" s="278" t="s">
        <v>273</v>
      </c>
      <c r="U552" s="278" t="s">
        <v>174</v>
      </c>
      <c r="W552" s="278" t="str">
        <f>T552</f>
        <v>2014 Actual</v>
      </c>
      <c r="X552" s="278" t="str">
        <f>U552</f>
        <v>2015 Actual</v>
      </c>
      <c r="Y552" s="278" t="str">
        <f>W552</f>
        <v>2014 Actual</v>
      </c>
      <c r="Z552" s="278" t="str">
        <f t="shared" ref="Z552" si="170">X552</f>
        <v>2015 Actual</v>
      </c>
      <c r="AA552" s="278" t="str">
        <f t="shared" ref="AA552" si="171">Y552</f>
        <v>2014 Actual</v>
      </c>
      <c r="AB552" s="278" t="str">
        <f t="shared" ref="AB552" si="172">Z552</f>
        <v>2015 Actual</v>
      </c>
      <c r="AC552" s="278" t="str">
        <f t="shared" ref="AC552" si="173">AA552</f>
        <v>2014 Actual</v>
      </c>
      <c r="AD552" s="278" t="str">
        <f t="shared" ref="AD552" si="174">AB552</f>
        <v>2015 Actual</v>
      </c>
    </row>
    <row r="553" spans="19:30" x14ac:dyDescent="0.3">
      <c r="S553" s="279" t="s">
        <v>1</v>
      </c>
      <c r="T553" s="280">
        <f>$N$480</f>
        <v>29514</v>
      </c>
      <c r="U553" s="280">
        <f>$O$480</f>
        <v>29566</v>
      </c>
      <c r="V553" s="281" t="s">
        <v>83</v>
      </c>
      <c r="W553" s="281">
        <f>$N$481</f>
        <v>334950383</v>
      </c>
      <c r="X553" s="281">
        <f>$O$481</f>
        <v>310458240</v>
      </c>
      <c r="Y553" s="281">
        <f>W553*Y551</f>
        <v>321186481.56060112</v>
      </c>
      <c r="Z553" s="281">
        <f>X553*Z551</f>
        <v>304993446.39120233</v>
      </c>
      <c r="AA553" s="281">
        <f>W553/T553</f>
        <v>11348.864369451785</v>
      </c>
      <c r="AB553" s="281">
        <f>X553/U553</f>
        <v>10500.515456943787</v>
      </c>
      <c r="AC553" s="281">
        <f>Y553/T553</f>
        <v>10882.512758711158</v>
      </c>
      <c r="AD553" s="281">
        <f>Z553/U553</f>
        <v>10315.681742244549</v>
      </c>
    </row>
    <row r="554" spans="19:30" x14ac:dyDescent="0.3">
      <c r="S554" s="279" t="s">
        <v>133</v>
      </c>
      <c r="T554" s="280">
        <f>$N$484</f>
        <v>3464</v>
      </c>
      <c r="U554" s="280">
        <f>$O$484</f>
        <v>3431</v>
      </c>
      <c r="V554" s="281" t="s">
        <v>83</v>
      </c>
      <c r="W554" s="281">
        <f>$N$485</f>
        <v>99153426</v>
      </c>
      <c r="X554" s="281">
        <f>$O$485</f>
        <v>95701162</v>
      </c>
      <c r="Y554" s="281">
        <f>W554*Y551</f>
        <v>95078977.806750029</v>
      </c>
      <c r="Z554" s="281">
        <f>X554*Z551</f>
        <v>94016596.956881434</v>
      </c>
      <c r="AA554" s="281">
        <f t="shared" ref="AA554:AA558" si="175">W554/T554</f>
        <v>28623.968244803695</v>
      </c>
      <c r="AB554" s="281">
        <f t="shared" ref="AB554:AB558" si="176">X554/U554</f>
        <v>27893.081317400174</v>
      </c>
      <c r="AC554" s="281">
        <f t="shared" ref="AC554:AC558" si="177">Y554/T554</f>
        <v>27447.741861071023</v>
      </c>
      <c r="AD554" s="281">
        <f t="shared" ref="AD554:AD558" si="178">Z554/U554</f>
        <v>27402.097626604907</v>
      </c>
    </row>
    <row r="555" spans="19:30" x14ac:dyDescent="0.3">
      <c r="S555" s="375" t="s">
        <v>317</v>
      </c>
      <c r="T555" s="280">
        <f>$N$488</f>
        <v>370</v>
      </c>
      <c r="U555" s="280">
        <f>$O$488</f>
        <v>373</v>
      </c>
      <c r="V555" s="281" t="s">
        <v>84</v>
      </c>
      <c r="W555" s="281">
        <f>$N$490</f>
        <v>634289</v>
      </c>
      <c r="X555" s="281">
        <f>$O$490</f>
        <v>711311</v>
      </c>
      <c r="Y555" s="281">
        <f>W555*Y551</f>
        <v>608224.56860003679</v>
      </c>
      <c r="Z555" s="281">
        <f>X555*Z551</f>
        <v>698790.25709213747</v>
      </c>
      <c r="AA555" s="281">
        <f t="shared" si="175"/>
        <v>1714.2945945945946</v>
      </c>
      <c r="AB555" s="281">
        <f t="shared" si="176"/>
        <v>1907</v>
      </c>
      <c r="AC555" s="281">
        <f t="shared" si="177"/>
        <v>1643.8501854055048</v>
      </c>
      <c r="AD555" s="281">
        <f t="shared" si="178"/>
        <v>1873.4323246438003</v>
      </c>
    </row>
    <row r="556" spans="19:30" x14ac:dyDescent="0.3">
      <c r="S556" s="279" t="s">
        <v>148</v>
      </c>
      <c r="T556" s="280">
        <f>$N$493</f>
        <v>362</v>
      </c>
      <c r="U556" s="280">
        <f>$O$493</f>
        <v>360</v>
      </c>
      <c r="V556" s="281" t="s">
        <v>84</v>
      </c>
      <c r="W556" s="281">
        <f>$N$495</f>
        <v>676</v>
      </c>
      <c r="X556" s="281">
        <f>$O$495</f>
        <v>752</v>
      </c>
      <c r="Y556" s="281">
        <f>W556*Y551</f>
        <v>648.22156520706631</v>
      </c>
      <c r="Z556" s="281">
        <f>X556*Z551</f>
        <v>738.76303520300871</v>
      </c>
      <c r="AA556" s="281">
        <f t="shared" si="175"/>
        <v>1.867403314917127</v>
      </c>
      <c r="AB556" s="281">
        <f t="shared" si="176"/>
        <v>2.088888888888889</v>
      </c>
      <c r="AC556" s="281">
        <f t="shared" si="177"/>
        <v>1.7906673072018406</v>
      </c>
      <c r="AD556" s="281">
        <f t="shared" si="178"/>
        <v>2.0521195422305798</v>
      </c>
    </row>
    <row r="557" spans="19:30" x14ac:dyDescent="0.3">
      <c r="S557" s="279" t="s">
        <v>66</v>
      </c>
      <c r="T557" s="280">
        <f>$N$498</f>
        <v>8846</v>
      </c>
      <c r="U557" s="280">
        <f>$O$498</f>
        <v>8839</v>
      </c>
      <c r="V557" s="281" t="s">
        <v>84</v>
      </c>
      <c r="W557" s="281">
        <f>$N$500</f>
        <v>21876</v>
      </c>
      <c r="X557" s="281">
        <f>$O$500</f>
        <v>21794</v>
      </c>
      <c r="Y557" s="281">
        <f>W557*Y551</f>
        <v>20977.063550990802</v>
      </c>
      <c r="Z557" s="281">
        <f>X557*Z551</f>
        <v>21410.374453742515</v>
      </c>
      <c r="AA557" s="281">
        <f t="shared" si="175"/>
        <v>2.4729821388198054</v>
      </c>
      <c r="AB557" s="281">
        <f t="shared" si="176"/>
        <v>2.4656635365991626</v>
      </c>
      <c r="AC557" s="281">
        <f t="shared" si="177"/>
        <v>2.3713614685723265</v>
      </c>
      <c r="AD557" s="281">
        <f t="shared" si="178"/>
        <v>2.4222620719247105</v>
      </c>
    </row>
    <row r="558" spans="19:30" x14ac:dyDescent="0.3">
      <c r="S558" s="279" t="s">
        <v>149</v>
      </c>
      <c r="T558" s="280">
        <f>$N$503</f>
        <v>21</v>
      </c>
      <c r="U558" s="280">
        <f>$O$503</f>
        <v>21</v>
      </c>
      <c r="V558" s="281" t="s">
        <v>83</v>
      </c>
      <c r="W558" s="281">
        <f>$N$504</f>
        <v>876024</v>
      </c>
      <c r="X558" s="281">
        <f>$O$504</f>
        <v>912709</v>
      </c>
      <c r="Y558" s="281">
        <f>W558*Y551</f>
        <v>840026.10715821758</v>
      </c>
      <c r="Z558" s="281">
        <f>X558*Z551</f>
        <v>896643.17965040274</v>
      </c>
      <c r="AA558" s="281">
        <f t="shared" si="175"/>
        <v>41715.428571428572</v>
      </c>
      <c r="AB558" s="281">
        <f t="shared" si="176"/>
        <v>43462.333333333336</v>
      </c>
      <c r="AC558" s="281">
        <f t="shared" si="177"/>
        <v>40001.243198010357</v>
      </c>
      <c r="AD558" s="281">
        <f t="shared" si="178"/>
        <v>42697.294269066799</v>
      </c>
    </row>
    <row r="559" spans="19:30" x14ac:dyDescent="0.3">
      <c r="S559" s="279" t="s">
        <v>12</v>
      </c>
      <c r="T559" s="280">
        <f>SUM(T553:T558)</f>
        <v>42577</v>
      </c>
      <c r="U559" s="280">
        <f>SUM(U553:U558)</f>
        <v>42590</v>
      </c>
      <c r="V559" s="282"/>
      <c r="W559" s="282"/>
      <c r="X559" s="282"/>
      <c r="Y559" s="282"/>
      <c r="Z559" s="282"/>
      <c r="AA559" s="282"/>
      <c r="AB559" s="282"/>
      <c r="AC559" s="282"/>
      <c r="AD559" s="282"/>
    </row>
    <row r="560" spans="19:30" x14ac:dyDescent="0.3">
      <c r="S560" s="236"/>
      <c r="T560" s="413" t="s">
        <v>162</v>
      </c>
      <c r="U560" s="413"/>
      <c r="V560" s="287"/>
      <c r="W560" s="413" t="s">
        <v>162</v>
      </c>
      <c r="X560" s="413"/>
      <c r="Y560" s="413" t="s">
        <v>162</v>
      </c>
      <c r="Z560" s="413"/>
      <c r="AA560" s="413" t="s">
        <v>162</v>
      </c>
      <c r="AB560" s="413"/>
      <c r="AC560" s="413" t="s">
        <v>162</v>
      </c>
      <c r="AD560" s="413"/>
    </row>
    <row r="561" spans="19:30" x14ac:dyDescent="0.3">
      <c r="S561" s="283" t="s">
        <v>1</v>
      </c>
      <c r="T561" s="412">
        <f t="shared" ref="T561:T566" si="179">U553-T553</f>
        <v>52</v>
      </c>
      <c r="U561" s="412"/>
      <c r="V561" s="288" t="str">
        <f>V553</f>
        <v>kWh</v>
      </c>
      <c r="W561" s="412">
        <f t="shared" ref="W561:W566" si="180">X553-W553</f>
        <v>-24492143</v>
      </c>
      <c r="X561" s="412"/>
      <c r="Y561" s="412">
        <f t="shared" ref="Y561:Y566" si="181">Z553-Y553</f>
        <v>-16193035.169398785</v>
      </c>
      <c r="Z561" s="412"/>
      <c r="AA561" s="412">
        <f t="shared" ref="AA561:AA566" si="182">AB553-AA553</f>
        <v>-848.34891250799774</v>
      </c>
      <c r="AB561" s="412"/>
      <c r="AC561" s="412">
        <f t="shared" ref="AC561:AC566" si="183">AD553-AC553</f>
        <v>-566.83101646660907</v>
      </c>
      <c r="AD561" s="412"/>
    </row>
    <row r="562" spans="19:30" x14ac:dyDescent="0.3">
      <c r="S562" s="283" t="s">
        <v>133</v>
      </c>
      <c r="T562" s="412">
        <f t="shared" si="179"/>
        <v>-33</v>
      </c>
      <c r="U562" s="412"/>
      <c r="V562" s="288" t="str">
        <f t="shared" ref="V562:V566" si="184">V554</f>
        <v>kWh</v>
      </c>
      <c r="W562" s="412">
        <f t="shared" si="180"/>
        <v>-3452264</v>
      </c>
      <c r="X562" s="412"/>
      <c r="Y562" s="412">
        <f t="shared" si="181"/>
        <v>-1062380.8498685956</v>
      </c>
      <c r="Z562" s="412"/>
      <c r="AA562" s="412">
        <f t="shared" si="182"/>
        <v>-730.88692740352053</v>
      </c>
      <c r="AB562" s="412"/>
      <c r="AC562" s="412">
        <f t="shared" si="183"/>
        <v>-45.644234466115449</v>
      </c>
      <c r="AD562" s="412"/>
    </row>
    <row r="563" spans="19:30" x14ac:dyDescent="0.3">
      <c r="S563" s="375" t="s">
        <v>317</v>
      </c>
      <c r="T563" s="412">
        <f t="shared" si="179"/>
        <v>3</v>
      </c>
      <c r="U563" s="412"/>
      <c r="V563" s="288" t="str">
        <f t="shared" si="184"/>
        <v>kW</v>
      </c>
      <c r="W563" s="412">
        <f t="shared" si="180"/>
        <v>77022</v>
      </c>
      <c r="X563" s="412"/>
      <c r="Y563" s="412">
        <f t="shared" si="181"/>
        <v>90565.688492100686</v>
      </c>
      <c r="Z563" s="412"/>
      <c r="AA563" s="412">
        <f t="shared" si="182"/>
        <v>192.70540540540537</v>
      </c>
      <c r="AB563" s="412"/>
      <c r="AC563" s="412">
        <f t="shared" si="183"/>
        <v>229.58213923829544</v>
      </c>
      <c r="AD563" s="412"/>
    </row>
    <row r="564" spans="19:30" x14ac:dyDescent="0.3">
      <c r="S564" s="283" t="s">
        <v>148</v>
      </c>
      <c r="T564" s="412">
        <f t="shared" si="179"/>
        <v>-2</v>
      </c>
      <c r="U564" s="412"/>
      <c r="V564" s="288" t="str">
        <f t="shared" si="184"/>
        <v>kW</v>
      </c>
      <c r="W564" s="412">
        <f t="shared" si="180"/>
        <v>76</v>
      </c>
      <c r="X564" s="412"/>
      <c r="Y564" s="412">
        <f t="shared" si="181"/>
        <v>90.541469995942407</v>
      </c>
      <c r="Z564" s="412"/>
      <c r="AA564" s="412">
        <f t="shared" si="182"/>
        <v>0.22148557397176205</v>
      </c>
      <c r="AB564" s="412"/>
      <c r="AC564" s="412">
        <f t="shared" si="183"/>
        <v>0.26145223502873915</v>
      </c>
      <c r="AD564" s="412"/>
    </row>
    <row r="565" spans="19:30" x14ac:dyDescent="0.3">
      <c r="S565" s="283" t="s">
        <v>66</v>
      </c>
      <c r="T565" s="412">
        <f t="shared" si="179"/>
        <v>-7</v>
      </c>
      <c r="U565" s="412"/>
      <c r="V565" s="288" t="str">
        <f t="shared" si="184"/>
        <v>kW</v>
      </c>
      <c r="W565" s="412">
        <f t="shared" si="180"/>
        <v>-82</v>
      </c>
      <c r="X565" s="412"/>
      <c r="Y565" s="412">
        <f t="shared" si="181"/>
        <v>433.310902751713</v>
      </c>
      <c r="Z565" s="412"/>
      <c r="AA565" s="412">
        <f t="shared" si="182"/>
        <v>-7.3186022206428447E-3</v>
      </c>
      <c r="AB565" s="412"/>
      <c r="AC565" s="412">
        <f t="shared" si="183"/>
        <v>5.0900603352384E-2</v>
      </c>
      <c r="AD565" s="412"/>
    </row>
    <row r="566" spans="19:30" x14ac:dyDescent="0.3">
      <c r="S566" s="283" t="s">
        <v>149</v>
      </c>
      <c r="T566" s="412">
        <f t="shared" si="179"/>
        <v>0</v>
      </c>
      <c r="U566" s="412"/>
      <c r="V566" s="288" t="str">
        <f t="shared" si="184"/>
        <v>kWh</v>
      </c>
      <c r="W566" s="412">
        <f t="shared" si="180"/>
        <v>36685</v>
      </c>
      <c r="X566" s="412"/>
      <c r="Y566" s="412">
        <f t="shared" si="181"/>
        <v>56617.072492185165</v>
      </c>
      <c r="Z566" s="412"/>
      <c r="AA566" s="412">
        <f t="shared" si="182"/>
        <v>1746.9047619047633</v>
      </c>
      <c r="AB566" s="412"/>
      <c r="AC566" s="412">
        <f t="shared" si="183"/>
        <v>2696.0510710564413</v>
      </c>
      <c r="AD566" s="412"/>
    </row>
    <row r="568" spans="19:30" x14ac:dyDescent="0.3">
      <c r="S568" s="286" t="s">
        <v>275</v>
      </c>
      <c r="T568" s="286"/>
      <c r="U568" s="286"/>
    </row>
    <row r="569" spans="19:30" ht="71.25" customHeight="1" x14ac:dyDescent="0.3">
      <c r="S569" s="284" t="s">
        <v>216</v>
      </c>
      <c r="T569" s="414" t="s">
        <v>217</v>
      </c>
      <c r="U569" s="415"/>
      <c r="V569" s="343" t="s">
        <v>218</v>
      </c>
      <c r="W569" s="414" t="s">
        <v>91</v>
      </c>
      <c r="X569" s="415"/>
      <c r="Y569" s="414" t="s">
        <v>271</v>
      </c>
      <c r="Z569" s="415"/>
      <c r="AA569" s="414" t="s">
        <v>219</v>
      </c>
      <c r="AB569" s="415"/>
      <c r="AC569" s="414" t="s">
        <v>220</v>
      </c>
      <c r="AD569" s="415"/>
    </row>
    <row r="570" spans="19:30" x14ac:dyDescent="0.3">
      <c r="S570" s="422" t="str">
        <f>S551</f>
        <v>Weather 
Normal Conversion 
Factor</v>
      </c>
      <c r="T570" s="423"/>
      <c r="U570" s="423"/>
      <c r="V570" s="423"/>
      <c r="W570" s="423"/>
      <c r="X570" s="424"/>
      <c r="Y570" s="261">
        <f>Z551</f>
        <v>0.98239765319549033</v>
      </c>
      <c r="Z570" s="261">
        <f>$F$185</f>
        <v>1.0079323426777838</v>
      </c>
      <c r="AA570" s="421"/>
      <c r="AB570" s="421"/>
      <c r="AC570" s="421"/>
      <c r="AD570" s="421"/>
    </row>
    <row r="571" spans="19:30" ht="31.2" x14ac:dyDescent="0.3">
      <c r="S571" s="277"/>
      <c r="T571" s="278" t="s">
        <v>174</v>
      </c>
      <c r="U571" s="278" t="s">
        <v>175</v>
      </c>
      <c r="W571" s="278" t="str">
        <f>T571</f>
        <v>2015 Actual</v>
      </c>
      <c r="X571" s="278" t="str">
        <f>U571</f>
        <v>2016 Actual</v>
      </c>
      <c r="Y571" s="278" t="str">
        <f>W571</f>
        <v>2015 Actual</v>
      </c>
      <c r="Z571" s="278" t="str">
        <f t="shared" ref="Z571" si="185">X571</f>
        <v>2016 Actual</v>
      </c>
      <c r="AA571" s="278" t="str">
        <f t="shared" ref="AA571" si="186">Y571</f>
        <v>2015 Actual</v>
      </c>
      <c r="AB571" s="278" t="str">
        <f t="shared" ref="AB571" si="187">Z571</f>
        <v>2016 Actual</v>
      </c>
      <c r="AC571" s="278" t="str">
        <f t="shared" ref="AC571" si="188">AA571</f>
        <v>2015 Actual</v>
      </c>
      <c r="AD571" s="278" t="str">
        <f t="shared" ref="AD571" si="189">AB571</f>
        <v>2016 Actual</v>
      </c>
    </row>
    <row r="572" spans="19:30" x14ac:dyDescent="0.3">
      <c r="S572" s="279" t="s">
        <v>1</v>
      </c>
      <c r="T572" s="280">
        <f>$O$480</f>
        <v>29566</v>
      </c>
      <c r="U572" s="280">
        <f>$P$480</f>
        <v>29620</v>
      </c>
      <c r="V572" s="281" t="s">
        <v>83</v>
      </c>
      <c r="W572" s="281">
        <f>$O$481</f>
        <v>310458240</v>
      </c>
      <c r="X572" s="281">
        <f>$P$481</f>
        <v>288746486.39999998</v>
      </c>
      <c r="Y572" s="281">
        <f>W572*Y570</f>
        <v>304993446.39120233</v>
      </c>
      <c r="Z572" s="281">
        <f>X572*Z570</f>
        <v>291036922.47713083</v>
      </c>
      <c r="AA572" s="281">
        <f>W572/T572</f>
        <v>10500.515456943787</v>
      </c>
      <c r="AB572" s="281">
        <f>X572/U572</f>
        <v>9748.3621336934502</v>
      </c>
      <c r="AC572" s="281">
        <f>Y572/T572</f>
        <v>10315.681742244549</v>
      </c>
      <c r="AD572" s="281">
        <f>Z572/U572</f>
        <v>9825.6894826850385</v>
      </c>
    </row>
    <row r="573" spans="19:30" x14ac:dyDescent="0.3">
      <c r="S573" s="279" t="s">
        <v>133</v>
      </c>
      <c r="T573" s="280">
        <f>$O$484</f>
        <v>3431</v>
      </c>
      <c r="U573" s="280">
        <f>$P$484</f>
        <v>3414</v>
      </c>
      <c r="V573" s="281" t="s">
        <v>83</v>
      </c>
      <c r="W573" s="281">
        <f>$O$485</f>
        <v>95701162</v>
      </c>
      <c r="X573" s="281">
        <f>$P$485</f>
        <v>92174996</v>
      </c>
      <c r="Y573" s="281">
        <f>W573*Y570</f>
        <v>94016596.956881434</v>
      </c>
      <c r="Z573" s="281">
        <f>X573*Z570</f>
        <v>92906159.654595345</v>
      </c>
      <c r="AA573" s="281">
        <f t="shared" ref="AA573:AA577" si="190">W573/T573</f>
        <v>27893.081317400174</v>
      </c>
      <c r="AB573" s="281">
        <f t="shared" ref="AB573:AB577" si="191">X573/U573</f>
        <v>26999.120093731693</v>
      </c>
      <c r="AC573" s="281">
        <f t="shared" ref="AC573:AC577" si="192">Y573/T573</f>
        <v>27402.097626604907</v>
      </c>
      <c r="AD573" s="281">
        <f t="shared" ref="AD573:AD577" si="193">Z573/U573</f>
        <v>27213.286366313809</v>
      </c>
    </row>
    <row r="574" spans="19:30" x14ac:dyDescent="0.3">
      <c r="S574" s="375" t="s">
        <v>317</v>
      </c>
      <c r="T574" s="280">
        <f>$O$488</f>
        <v>373</v>
      </c>
      <c r="U574" s="280">
        <f>$P$488</f>
        <v>361</v>
      </c>
      <c r="V574" s="281" t="s">
        <v>84</v>
      </c>
      <c r="W574" s="281">
        <f>$O$490</f>
        <v>711311</v>
      </c>
      <c r="X574" s="281">
        <f>$P$490</f>
        <v>622066.30000000005</v>
      </c>
      <c r="Y574" s="281">
        <f>W574*Y570</f>
        <v>698790.25709213747</v>
      </c>
      <c r="Z574" s="281">
        <f>X574*Z570</f>
        <v>627000.74305990105</v>
      </c>
      <c r="AA574" s="281">
        <f t="shared" si="190"/>
        <v>1907</v>
      </c>
      <c r="AB574" s="281">
        <f t="shared" si="191"/>
        <v>1723.1753462603879</v>
      </c>
      <c r="AC574" s="281">
        <f t="shared" si="192"/>
        <v>1873.4323246438003</v>
      </c>
      <c r="AD574" s="281">
        <f t="shared" si="193"/>
        <v>1736.844163600834</v>
      </c>
    </row>
    <row r="575" spans="19:30" x14ac:dyDescent="0.3">
      <c r="S575" s="279" t="s">
        <v>148</v>
      </c>
      <c r="T575" s="280">
        <f>$O$493</f>
        <v>360</v>
      </c>
      <c r="U575" s="280">
        <f>$P$493</f>
        <v>362</v>
      </c>
      <c r="V575" s="281" t="s">
        <v>84</v>
      </c>
      <c r="W575" s="281">
        <f>$O$495</f>
        <v>752</v>
      </c>
      <c r="X575" s="281">
        <f>$P$495</f>
        <v>630</v>
      </c>
      <c r="Y575" s="281">
        <f>W575*Y570</f>
        <v>738.76303520300871</v>
      </c>
      <c r="Z575" s="281">
        <f>X575*Z570</f>
        <v>634.99737588700373</v>
      </c>
      <c r="AA575" s="281">
        <f t="shared" si="190"/>
        <v>2.088888888888889</v>
      </c>
      <c r="AB575" s="281">
        <f t="shared" si="191"/>
        <v>1.7403314917127073</v>
      </c>
      <c r="AC575" s="281">
        <f t="shared" si="192"/>
        <v>2.0521195422305798</v>
      </c>
      <c r="AD575" s="281">
        <f t="shared" si="193"/>
        <v>1.7541363974779109</v>
      </c>
    </row>
    <row r="576" spans="19:30" x14ac:dyDescent="0.3">
      <c r="S576" s="279" t="s">
        <v>66</v>
      </c>
      <c r="T576" s="280">
        <f>$O$498</f>
        <v>8839</v>
      </c>
      <c r="U576" s="280">
        <f>$P$498</f>
        <v>8872</v>
      </c>
      <c r="V576" s="281" t="s">
        <v>84</v>
      </c>
      <c r="W576" s="281">
        <f>$O$500</f>
        <v>21794</v>
      </c>
      <c r="X576" s="281">
        <f>$P$500</f>
        <v>14262.4</v>
      </c>
      <c r="Y576" s="281">
        <f>W576*Y570</f>
        <v>21410.374453742515</v>
      </c>
      <c r="Z576" s="281">
        <f>X576*Z570</f>
        <v>14375.534244207623</v>
      </c>
      <c r="AA576" s="281">
        <f t="shared" si="190"/>
        <v>2.4656635365991626</v>
      </c>
      <c r="AB576" s="281">
        <f t="shared" si="191"/>
        <v>1.6075743913435527</v>
      </c>
      <c r="AC576" s="281">
        <f t="shared" si="192"/>
        <v>2.4222620719247105</v>
      </c>
      <c r="AD576" s="281">
        <f t="shared" si="193"/>
        <v>1.6203262222957195</v>
      </c>
    </row>
    <row r="577" spans="19:30" x14ac:dyDescent="0.3">
      <c r="S577" s="279" t="s">
        <v>149</v>
      </c>
      <c r="T577" s="280">
        <f>$O$503</f>
        <v>21</v>
      </c>
      <c r="U577" s="280">
        <f>$P$503</f>
        <v>21</v>
      </c>
      <c r="V577" s="281" t="s">
        <v>83</v>
      </c>
      <c r="W577" s="281">
        <f>$O$504</f>
        <v>912709</v>
      </c>
      <c r="X577" s="281">
        <f>$P$504</f>
        <v>903250.63</v>
      </c>
      <c r="Y577" s="281">
        <f>W577*Y570</f>
        <v>896643.17965040274</v>
      </c>
      <c r="Z577" s="281">
        <f>X577*Z570</f>
        <v>910415.52352108411</v>
      </c>
      <c r="AA577" s="281">
        <f t="shared" si="190"/>
        <v>43462.333333333336</v>
      </c>
      <c r="AB577" s="281">
        <f t="shared" si="191"/>
        <v>43011.934761904762</v>
      </c>
      <c r="AC577" s="281">
        <f t="shared" si="192"/>
        <v>42697.294269066799</v>
      </c>
      <c r="AD577" s="281">
        <f t="shared" si="193"/>
        <v>43353.12016767067</v>
      </c>
    </row>
    <row r="578" spans="19:30" x14ac:dyDescent="0.3">
      <c r="S578" s="279" t="s">
        <v>12</v>
      </c>
      <c r="T578" s="280">
        <f>SUM(T572:T577)</f>
        <v>42590</v>
      </c>
      <c r="U578" s="280">
        <f>SUM(U572:U577)</f>
        <v>42650</v>
      </c>
      <c r="V578" s="282"/>
      <c r="W578" s="282"/>
      <c r="X578" s="282"/>
      <c r="Y578" s="282"/>
      <c r="Z578" s="282"/>
      <c r="AA578" s="282"/>
      <c r="AB578" s="282"/>
      <c r="AC578" s="282"/>
      <c r="AD578" s="282"/>
    </row>
    <row r="579" spans="19:30" x14ac:dyDescent="0.3">
      <c r="S579" s="236"/>
      <c r="T579" s="413" t="s">
        <v>162</v>
      </c>
      <c r="U579" s="413"/>
      <c r="V579" s="287"/>
      <c r="W579" s="413" t="s">
        <v>162</v>
      </c>
      <c r="X579" s="413"/>
      <c r="Y579" s="413" t="s">
        <v>162</v>
      </c>
      <c r="Z579" s="413"/>
      <c r="AA579" s="413" t="s">
        <v>162</v>
      </c>
      <c r="AB579" s="413"/>
      <c r="AC579" s="413" t="s">
        <v>162</v>
      </c>
      <c r="AD579" s="413"/>
    </row>
    <row r="580" spans="19:30" x14ac:dyDescent="0.3">
      <c r="S580" s="283" t="s">
        <v>1</v>
      </c>
      <c r="T580" s="412">
        <f t="shared" ref="T580:T585" si="194">U572-T572</f>
        <v>54</v>
      </c>
      <c r="U580" s="412"/>
      <c r="V580" s="288" t="str">
        <f>V572</f>
        <v>kWh</v>
      </c>
      <c r="W580" s="412">
        <f t="shared" ref="W580:W585" si="195">X572-W572</f>
        <v>-21711753.600000024</v>
      </c>
      <c r="X580" s="412"/>
      <c r="Y580" s="412">
        <f t="shared" ref="Y580:Y585" si="196">Z572-Y572</f>
        <v>-13956523.9140715</v>
      </c>
      <c r="Z580" s="412"/>
      <c r="AA580" s="412">
        <f t="shared" ref="AA580:AA585" si="197">AB572-AA572</f>
        <v>-752.15332325033705</v>
      </c>
      <c r="AB580" s="412"/>
      <c r="AC580" s="412">
        <f t="shared" ref="AC580:AC585" si="198">AD572-AC572</f>
        <v>-489.99225955951079</v>
      </c>
      <c r="AD580" s="412"/>
    </row>
    <row r="581" spans="19:30" x14ac:dyDescent="0.3">
      <c r="S581" s="283" t="s">
        <v>133</v>
      </c>
      <c r="T581" s="412">
        <f t="shared" si="194"/>
        <v>-17</v>
      </c>
      <c r="U581" s="412"/>
      <c r="V581" s="288" t="str">
        <f t="shared" ref="V581:V585" si="199">V573</f>
        <v>kWh</v>
      </c>
      <c r="W581" s="412">
        <f t="shared" si="195"/>
        <v>-3526166</v>
      </c>
      <c r="X581" s="412"/>
      <c r="Y581" s="412">
        <f t="shared" si="196"/>
        <v>-1110437.3022860885</v>
      </c>
      <c r="Z581" s="412"/>
      <c r="AA581" s="412">
        <f t="shared" si="197"/>
        <v>-893.96122366848067</v>
      </c>
      <c r="AB581" s="412"/>
      <c r="AC581" s="412">
        <f t="shared" si="198"/>
        <v>-188.81126029109873</v>
      </c>
      <c r="AD581" s="412"/>
    </row>
    <row r="582" spans="19:30" x14ac:dyDescent="0.3">
      <c r="S582" s="375" t="s">
        <v>317</v>
      </c>
      <c r="T582" s="412">
        <f t="shared" si="194"/>
        <v>-12</v>
      </c>
      <c r="U582" s="412"/>
      <c r="V582" s="288" t="str">
        <f t="shared" si="199"/>
        <v>kW</v>
      </c>
      <c r="W582" s="412">
        <f t="shared" si="195"/>
        <v>-89244.699999999953</v>
      </c>
      <c r="X582" s="412"/>
      <c r="Y582" s="412">
        <f t="shared" si="196"/>
        <v>-71789.514032236417</v>
      </c>
      <c r="Z582" s="412"/>
      <c r="AA582" s="412">
        <f t="shared" si="197"/>
        <v>-183.82465373961213</v>
      </c>
      <c r="AB582" s="412"/>
      <c r="AC582" s="412">
        <f t="shared" si="198"/>
        <v>-136.58816104296625</v>
      </c>
      <c r="AD582" s="412"/>
    </row>
    <row r="583" spans="19:30" x14ac:dyDescent="0.3">
      <c r="S583" s="283" t="s">
        <v>148</v>
      </c>
      <c r="T583" s="412">
        <f t="shared" si="194"/>
        <v>2</v>
      </c>
      <c r="U583" s="412"/>
      <c r="V583" s="288" t="str">
        <f t="shared" si="199"/>
        <v>kW</v>
      </c>
      <c r="W583" s="412">
        <f t="shared" si="195"/>
        <v>-122</v>
      </c>
      <c r="X583" s="412"/>
      <c r="Y583" s="412">
        <f t="shared" si="196"/>
        <v>-103.76565931600499</v>
      </c>
      <c r="Z583" s="412"/>
      <c r="AA583" s="412">
        <f t="shared" si="197"/>
        <v>-0.34855739717618173</v>
      </c>
      <c r="AB583" s="412"/>
      <c r="AC583" s="412">
        <f t="shared" si="198"/>
        <v>-0.29798314475266885</v>
      </c>
      <c r="AD583" s="412"/>
    </row>
    <row r="584" spans="19:30" x14ac:dyDescent="0.3">
      <c r="S584" s="283" t="s">
        <v>66</v>
      </c>
      <c r="T584" s="412">
        <f t="shared" si="194"/>
        <v>33</v>
      </c>
      <c r="U584" s="412"/>
      <c r="V584" s="288" t="str">
        <f t="shared" si="199"/>
        <v>kW</v>
      </c>
      <c r="W584" s="412">
        <f t="shared" si="195"/>
        <v>-7531.6</v>
      </c>
      <c r="X584" s="412"/>
      <c r="Y584" s="412">
        <f t="shared" si="196"/>
        <v>-7034.840209534892</v>
      </c>
      <c r="Z584" s="412"/>
      <c r="AA584" s="412">
        <f t="shared" si="197"/>
        <v>-0.85808914525560986</v>
      </c>
      <c r="AB584" s="412"/>
      <c r="AC584" s="412">
        <f t="shared" si="198"/>
        <v>-0.801935849628991</v>
      </c>
      <c r="AD584" s="412"/>
    </row>
    <row r="585" spans="19:30" x14ac:dyDescent="0.3">
      <c r="S585" s="283" t="s">
        <v>149</v>
      </c>
      <c r="T585" s="412">
        <f t="shared" si="194"/>
        <v>0</v>
      </c>
      <c r="U585" s="412"/>
      <c r="V585" s="288" t="str">
        <f t="shared" si="199"/>
        <v>kWh</v>
      </c>
      <c r="W585" s="412">
        <f t="shared" si="195"/>
        <v>-9458.3699999999953</v>
      </c>
      <c r="X585" s="412"/>
      <c r="Y585" s="412">
        <f t="shared" si="196"/>
        <v>13772.343870681361</v>
      </c>
      <c r="Z585" s="412"/>
      <c r="AA585" s="412">
        <f t="shared" si="197"/>
        <v>-450.39857142857363</v>
      </c>
      <c r="AB585" s="412"/>
      <c r="AC585" s="412">
        <f t="shared" si="198"/>
        <v>655.82589860387088</v>
      </c>
      <c r="AD585" s="412"/>
    </row>
    <row r="587" spans="19:30" x14ac:dyDescent="0.3">
      <c r="S587" s="286" t="s">
        <v>276</v>
      </c>
      <c r="T587" s="286"/>
      <c r="U587" s="286"/>
    </row>
    <row r="588" spans="19:30" ht="71.25" customHeight="1" x14ac:dyDescent="0.3">
      <c r="S588" s="284" t="s">
        <v>216</v>
      </c>
      <c r="T588" s="414" t="s">
        <v>217</v>
      </c>
      <c r="U588" s="415"/>
      <c r="V588" s="343" t="s">
        <v>218</v>
      </c>
      <c r="W588" s="414" t="s">
        <v>91</v>
      </c>
      <c r="X588" s="415"/>
      <c r="Y588" s="414" t="s">
        <v>271</v>
      </c>
      <c r="Z588" s="415"/>
      <c r="AA588" s="414" t="s">
        <v>219</v>
      </c>
      <c r="AB588" s="415"/>
      <c r="AC588" s="414" t="s">
        <v>220</v>
      </c>
      <c r="AD588" s="415"/>
    </row>
    <row r="589" spans="19:30" x14ac:dyDescent="0.3">
      <c r="S589" s="422" t="str">
        <f>S570</f>
        <v>Weather 
Normal Conversion 
Factor</v>
      </c>
      <c r="T589" s="423"/>
      <c r="U589" s="423"/>
      <c r="V589" s="423"/>
      <c r="W589" s="423"/>
      <c r="X589" s="424"/>
      <c r="Y589" s="261">
        <f>Z570</f>
        <v>1.0079323426777838</v>
      </c>
      <c r="Z589" s="261">
        <f>$F$186</f>
        <v>1.0112133062338746</v>
      </c>
      <c r="AA589" s="421"/>
      <c r="AB589" s="421"/>
      <c r="AC589" s="421"/>
      <c r="AD589" s="421"/>
    </row>
    <row r="590" spans="19:30" ht="31.2" x14ac:dyDescent="0.3">
      <c r="S590" s="277"/>
      <c r="T590" s="278" t="s">
        <v>175</v>
      </c>
      <c r="U590" s="278" t="s">
        <v>199</v>
      </c>
      <c r="W590" s="278" t="str">
        <f>T590</f>
        <v>2016 Actual</v>
      </c>
      <c r="X590" s="278" t="str">
        <f>U590</f>
        <v>2017 Bridge</v>
      </c>
      <c r="Y590" s="278" t="str">
        <f>W590</f>
        <v>2016 Actual</v>
      </c>
      <c r="Z590" s="278" t="str">
        <f t="shared" ref="Z590" si="200">X590</f>
        <v>2017 Bridge</v>
      </c>
      <c r="AA590" s="278" t="str">
        <f t="shared" ref="AA590" si="201">Y590</f>
        <v>2016 Actual</v>
      </c>
      <c r="AB590" s="278" t="str">
        <f t="shared" ref="AB590" si="202">Z590</f>
        <v>2017 Bridge</v>
      </c>
      <c r="AC590" s="278" t="str">
        <f t="shared" ref="AC590" si="203">AA590</f>
        <v>2016 Actual</v>
      </c>
      <c r="AD590" s="278" t="str">
        <f t="shared" ref="AD590" si="204">AB590</f>
        <v>2017 Bridge</v>
      </c>
    </row>
    <row r="591" spans="19:30" x14ac:dyDescent="0.3">
      <c r="S591" s="279" t="s">
        <v>1</v>
      </c>
      <c r="T591" s="280">
        <f>$P$480</f>
        <v>29620</v>
      </c>
      <c r="U591" s="280">
        <f>$Q$480</f>
        <v>29729</v>
      </c>
      <c r="V591" s="281" t="s">
        <v>83</v>
      </c>
      <c r="W591" s="281">
        <f>$P$481</f>
        <v>288746486.39999998</v>
      </c>
      <c r="X591" s="281" t="e">
        <f>$Q$481</f>
        <v>#REF!</v>
      </c>
      <c r="Y591" s="281">
        <f>W591*Y589</f>
        <v>291036922.47713083</v>
      </c>
      <c r="Z591" s="281" t="e">
        <f>X591*Z589</f>
        <v>#REF!</v>
      </c>
      <c r="AA591" s="281">
        <f>W591/T591</f>
        <v>9748.3621336934502</v>
      </c>
      <c r="AB591" s="281" t="e">
        <f>X591/U591</f>
        <v>#REF!</v>
      </c>
      <c r="AC591" s="281">
        <f>Y591/T591</f>
        <v>9825.6894826850385</v>
      </c>
      <c r="AD591" s="281" t="e">
        <f>Z591/U591</f>
        <v>#REF!</v>
      </c>
    </row>
    <row r="592" spans="19:30" x14ac:dyDescent="0.3">
      <c r="S592" s="279" t="s">
        <v>133</v>
      </c>
      <c r="T592" s="280">
        <f>$P$484</f>
        <v>3414</v>
      </c>
      <c r="U592" s="280">
        <f>$Q$484</f>
        <v>3417</v>
      </c>
      <c r="V592" s="281" t="s">
        <v>83</v>
      </c>
      <c r="W592" s="281">
        <f>$P$485</f>
        <v>92174996</v>
      </c>
      <c r="X592" s="281" t="e">
        <f>$Q$485</f>
        <v>#REF!</v>
      </c>
      <c r="Y592" s="281">
        <f>W592*Y589</f>
        <v>92906159.654595345</v>
      </c>
      <c r="Z592" s="281" t="e">
        <f>X592*Z589</f>
        <v>#REF!</v>
      </c>
      <c r="AA592" s="281">
        <f t="shared" ref="AA592:AA596" si="205">W592/T592</f>
        <v>26999.120093731693</v>
      </c>
      <c r="AB592" s="281" t="e">
        <f t="shared" ref="AB592:AB596" si="206">X592/U592</f>
        <v>#REF!</v>
      </c>
      <c r="AC592" s="281">
        <f t="shared" ref="AC592:AC596" si="207">Y592/T592</f>
        <v>27213.286366313809</v>
      </c>
      <c r="AD592" s="281" t="e">
        <f t="shared" ref="AD592:AD596" si="208">Z592/U592</f>
        <v>#REF!</v>
      </c>
    </row>
    <row r="593" spans="19:30" x14ac:dyDescent="0.3">
      <c r="S593" s="375" t="s">
        <v>317</v>
      </c>
      <c r="T593" s="280">
        <f>$P$488</f>
        <v>361</v>
      </c>
      <c r="U593" s="280">
        <f>$Q$488</f>
        <v>361</v>
      </c>
      <c r="V593" s="281" t="s">
        <v>84</v>
      </c>
      <c r="W593" s="281">
        <f>$P$490</f>
        <v>622066.30000000005</v>
      </c>
      <c r="X593" s="281">
        <f>$Q$490</f>
        <v>610764.1</v>
      </c>
      <c r="Y593" s="281">
        <f>W593*Y589</f>
        <v>627000.74305990105</v>
      </c>
      <c r="Z593" s="281">
        <f>X593*Z589</f>
        <v>617612.78488995682</v>
      </c>
      <c r="AA593" s="281">
        <f t="shared" si="205"/>
        <v>1723.1753462603879</v>
      </c>
      <c r="AB593" s="281">
        <f t="shared" si="206"/>
        <v>1691.8673130193906</v>
      </c>
      <c r="AC593" s="281">
        <f t="shared" si="207"/>
        <v>1736.844163600834</v>
      </c>
      <c r="AD593" s="281">
        <f t="shared" si="208"/>
        <v>1710.8387393073597</v>
      </c>
    </row>
    <row r="594" spans="19:30" x14ac:dyDescent="0.3">
      <c r="S594" s="279" t="s">
        <v>148</v>
      </c>
      <c r="T594" s="280">
        <f>$P$493</f>
        <v>362</v>
      </c>
      <c r="U594" s="280">
        <f>$Q$493</f>
        <v>361</v>
      </c>
      <c r="V594" s="281" t="s">
        <v>84</v>
      </c>
      <c r="W594" s="281">
        <f>$P$495</f>
        <v>630</v>
      </c>
      <c r="X594" s="281">
        <f>$Q$495</f>
        <v>619.20000000000005</v>
      </c>
      <c r="Y594" s="281">
        <f>W594*Y589</f>
        <v>634.99737588700373</v>
      </c>
      <c r="Z594" s="281">
        <f>X594*Z589</f>
        <v>626.14327922001519</v>
      </c>
      <c r="AA594" s="281">
        <f t="shared" si="205"/>
        <v>1.7403314917127073</v>
      </c>
      <c r="AB594" s="281">
        <f t="shared" si="206"/>
        <v>1.7152354570637121</v>
      </c>
      <c r="AC594" s="281">
        <f t="shared" si="207"/>
        <v>1.7541363974779109</v>
      </c>
      <c r="AD594" s="281">
        <f t="shared" si="208"/>
        <v>1.7344689175069672</v>
      </c>
    </row>
    <row r="595" spans="19:30" x14ac:dyDescent="0.3">
      <c r="S595" s="279" t="s">
        <v>66</v>
      </c>
      <c r="T595" s="280">
        <f>$P$498</f>
        <v>8872</v>
      </c>
      <c r="U595" s="280">
        <f>$Q$498</f>
        <v>8070</v>
      </c>
      <c r="V595" s="281" t="s">
        <v>84</v>
      </c>
      <c r="W595" s="281">
        <f>$P$500</f>
        <v>14262.4</v>
      </c>
      <c r="X595" s="281">
        <f>$Q$500</f>
        <v>7030.1</v>
      </c>
      <c r="Y595" s="281">
        <f>W595*Y589</f>
        <v>14375.534244207623</v>
      </c>
      <c r="Z595" s="281">
        <f>X595*Z589</f>
        <v>7108.9306641547628</v>
      </c>
      <c r="AA595" s="281">
        <f t="shared" si="205"/>
        <v>1.6075743913435527</v>
      </c>
      <c r="AB595" s="281">
        <f t="shared" si="206"/>
        <v>0.87114002478314756</v>
      </c>
      <c r="AC595" s="281">
        <f t="shared" si="207"/>
        <v>1.6203262222957195</v>
      </c>
      <c r="AD595" s="281">
        <f t="shared" si="208"/>
        <v>0.88090838465362609</v>
      </c>
    </row>
    <row r="596" spans="19:30" x14ac:dyDescent="0.3">
      <c r="S596" s="279" t="s">
        <v>149</v>
      </c>
      <c r="T596" s="280">
        <f>$P$503</f>
        <v>21</v>
      </c>
      <c r="U596" s="280">
        <f>$Q$503</f>
        <v>21</v>
      </c>
      <c r="V596" s="281" t="s">
        <v>83</v>
      </c>
      <c r="W596" s="281">
        <f>$P$504</f>
        <v>903250.63</v>
      </c>
      <c r="X596" s="281" t="e">
        <f>$Q$504</f>
        <v>#REF!</v>
      </c>
      <c r="Y596" s="281">
        <f>W596*Y589</f>
        <v>910415.52352108411</v>
      </c>
      <c r="Z596" s="281" t="e">
        <f>X596*Z589</f>
        <v>#REF!</v>
      </c>
      <c r="AA596" s="281">
        <f t="shared" si="205"/>
        <v>43011.934761904762</v>
      </c>
      <c r="AB596" s="281" t="e">
        <f t="shared" si="206"/>
        <v>#REF!</v>
      </c>
      <c r="AC596" s="281">
        <f t="shared" si="207"/>
        <v>43353.12016767067</v>
      </c>
      <c r="AD596" s="281" t="e">
        <f t="shared" si="208"/>
        <v>#REF!</v>
      </c>
    </row>
    <row r="597" spans="19:30" x14ac:dyDescent="0.3">
      <c r="S597" s="279" t="s">
        <v>12</v>
      </c>
      <c r="T597" s="280">
        <f>SUM(T591:T596)</f>
        <v>42650</v>
      </c>
      <c r="U597" s="280">
        <f>SUM(U591:U596)</f>
        <v>41959</v>
      </c>
      <c r="V597" s="282"/>
      <c r="W597" s="282"/>
      <c r="X597" s="282"/>
      <c r="Y597" s="282"/>
      <c r="Z597" s="282"/>
      <c r="AA597" s="282"/>
      <c r="AB597" s="282"/>
      <c r="AC597" s="282"/>
      <c r="AD597" s="282"/>
    </row>
    <row r="598" spans="19:30" x14ac:dyDescent="0.3">
      <c r="S598" s="236"/>
      <c r="T598" s="413" t="s">
        <v>162</v>
      </c>
      <c r="U598" s="413"/>
      <c r="V598" s="287"/>
      <c r="W598" s="413" t="s">
        <v>162</v>
      </c>
      <c r="X598" s="413"/>
      <c r="Y598" s="413" t="s">
        <v>162</v>
      </c>
      <c r="Z598" s="413"/>
      <c r="AA598" s="413" t="s">
        <v>162</v>
      </c>
      <c r="AB598" s="413"/>
      <c r="AC598" s="413" t="s">
        <v>162</v>
      </c>
      <c r="AD598" s="413"/>
    </row>
    <row r="599" spans="19:30" x14ac:dyDescent="0.3">
      <c r="S599" s="283" t="s">
        <v>1</v>
      </c>
      <c r="T599" s="412">
        <f t="shared" ref="T599:T604" si="209">U591-T591</f>
        <v>109</v>
      </c>
      <c r="U599" s="412"/>
      <c r="V599" s="288" t="str">
        <f>V591</f>
        <v>kWh</v>
      </c>
      <c r="W599" s="412" t="e">
        <f t="shared" ref="W599:W604" si="210">X591-W591</f>
        <v>#REF!</v>
      </c>
      <c r="X599" s="412"/>
      <c r="Y599" s="412" t="e">
        <f t="shared" ref="Y599:Y604" si="211">Z591-Y591</f>
        <v>#REF!</v>
      </c>
      <c r="Z599" s="412"/>
      <c r="AA599" s="412" t="e">
        <f t="shared" ref="AA599:AA604" si="212">AB591-AA591</f>
        <v>#REF!</v>
      </c>
      <c r="AB599" s="412"/>
      <c r="AC599" s="412" t="e">
        <f t="shared" ref="AC599:AC604" si="213">AD591-AC591</f>
        <v>#REF!</v>
      </c>
      <c r="AD599" s="412"/>
    </row>
    <row r="600" spans="19:30" x14ac:dyDescent="0.3">
      <c r="S600" s="283" t="s">
        <v>133</v>
      </c>
      <c r="T600" s="412">
        <f t="shared" si="209"/>
        <v>3</v>
      </c>
      <c r="U600" s="412"/>
      <c r="V600" s="288" t="str">
        <f t="shared" ref="V600:V604" si="214">V592</f>
        <v>kWh</v>
      </c>
      <c r="W600" s="412" t="e">
        <f t="shared" si="210"/>
        <v>#REF!</v>
      </c>
      <c r="X600" s="412"/>
      <c r="Y600" s="412" t="e">
        <f t="shared" si="211"/>
        <v>#REF!</v>
      </c>
      <c r="Z600" s="412"/>
      <c r="AA600" s="412" t="e">
        <f t="shared" si="212"/>
        <v>#REF!</v>
      </c>
      <c r="AB600" s="412"/>
      <c r="AC600" s="412" t="e">
        <f t="shared" si="213"/>
        <v>#REF!</v>
      </c>
      <c r="AD600" s="412"/>
    </row>
    <row r="601" spans="19:30" x14ac:dyDescent="0.3">
      <c r="S601" s="375" t="s">
        <v>317</v>
      </c>
      <c r="T601" s="412">
        <f t="shared" si="209"/>
        <v>0</v>
      </c>
      <c r="U601" s="412"/>
      <c r="V601" s="288" t="str">
        <f t="shared" si="214"/>
        <v>kW</v>
      </c>
      <c r="W601" s="412">
        <f t="shared" si="210"/>
        <v>-11302.20000000007</v>
      </c>
      <c r="X601" s="412"/>
      <c r="Y601" s="412">
        <f t="shared" si="211"/>
        <v>-9387.9581699442351</v>
      </c>
      <c r="Z601" s="412"/>
      <c r="AA601" s="412">
        <f t="shared" si="212"/>
        <v>-31.308033240997247</v>
      </c>
      <c r="AB601" s="412"/>
      <c r="AC601" s="412">
        <f t="shared" si="213"/>
        <v>-26.005424293474334</v>
      </c>
      <c r="AD601" s="412"/>
    </row>
    <row r="602" spans="19:30" x14ac:dyDescent="0.3">
      <c r="S602" s="283" t="s">
        <v>148</v>
      </c>
      <c r="T602" s="412">
        <f t="shared" si="209"/>
        <v>-1</v>
      </c>
      <c r="U602" s="412"/>
      <c r="V602" s="288" t="str">
        <f t="shared" si="214"/>
        <v>kW</v>
      </c>
      <c r="W602" s="412">
        <f t="shared" si="210"/>
        <v>-10.799999999999955</v>
      </c>
      <c r="X602" s="412"/>
      <c r="Y602" s="412">
        <f t="shared" si="211"/>
        <v>-8.8540966669885393</v>
      </c>
      <c r="Z602" s="412"/>
      <c r="AA602" s="412">
        <f t="shared" si="212"/>
        <v>-2.5096034648995236E-2</v>
      </c>
      <c r="AB602" s="412"/>
      <c r="AC602" s="412">
        <f t="shared" si="213"/>
        <v>-1.9667479970943758E-2</v>
      </c>
      <c r="AD602" s="412"/>
    </row>
    <row r="603" spans="19:30" x14ac:dyDescent="0.3">
      <c r="S603" s="283" t="s">
        <v>66</v>
      </c>
      <c r="T603" s="412">
        <f t="shared" si="209"/>
        <v>-802</v>
      </c>
      <c r="U603" s="412"/>
      <c r="V603" s="288" t="str">
        <f t="shared" si="214"/>
        <v>kW</v>
      </c>
      <c r="W603" s="412">
        <f t="shared" si="210"/>
        <v>-7232.2999999999993</v>
      </c>
      <c r="X603" s="412"/>
      <c r="Y603" s="412">
        <f t="shared" si="211"/>
        <v>-7266.6035800528607</v>
      </c>
      <c r="Z603" s="412"/>
      <c r="AA603" s="412">
        <f t="shared" si="212"/>
        <v>-0.73643436656040517</v>
      </c>
      <c r="AB603" s="412"/>
      <c r="AC603" s="412">
        <f t="shared" si="213"/>
        <v>-0.73941783764209346</v>
      </c>
      <c r="AD603" s="412"/>
    </row>
    <row r="604" spans="19:30" x14ac:dyDescent="0.3">
      <c r="S604" s="283" t="s">
        <v>149</v>
      </c>
      <c r="T604" s="412">
        <f t="shared" si="209"/>
        <v>0</v>
      </c>
      <c r="U604" s="412"/>
      <c r="V604" s="288" t="str">
        <f t="shared" si="214"/>
        <v>kWh</v>
      </c>
      <c r="W604" s="412" t="e">
        <f t="shared" si="210"/>
        <v>#REF!</v>
      </c>
      <c r="X604" s="412"/>
      <c r="Y604" s="412" t="e">
        <f t="shared" si="211"/>
        <v>#REF!</v>
      </c>
      <c r="Z604" s="412"/>
      <c r="AA604" s="412" t="e">
        <f t="shared" si="212"/>
        <v>#REF!</v>
      </c>
      <c r="AB604" s="412"/>
      <c r="AC604" s="412" t="e">
        <f t="shared" si="213"/>
        <v>#REF!</v>
      </c>
      <c r="AD604" s="412"/>
    </row>
    <row r="606" spans="19:30" x14ac:dyDescent="0.3">
      <c r="S606" s="286" t="s">
        <v>277</v>
      </c>
      <c r="T606" s="286"/>
      <c r="U606" s="286"/>
    </row>
    <row r="607" spans="19:30" ht="71.25" customHeight="1" x14ac:dyDescent="0.3">
      <c r="S607" s="284" t="s">
        <v>216</v>
      </c>
      <c r="T607" s="414" t="s">
        <v>217</v>
      </c>
      <c r="U607" s="415"/>
      <c r="V607" s="343" t="s">
        <v>218</v>
      </c>
      <c r="W607" s="414" t="s">
        <v>91</v>
      </c>
      <c r="X607" s="415"/>
      <c r="Y607" s="414" t="s">
        <v>271</v>
      </c>
      <c r="Z607" s="415"/>
      <c r="AA607" s="414" t="s">
        <v>219</v>
      </c>
      <c r="AB607" s="415"/>
      <c r="AC607" s="414" t="s">
        <v>220</v>
      </c>
      <c r="AD607" s="415"/>
    </row>
    <row r="608" spans="19:30" x14ac:dyDescent="0.3">
      <c r="S608" s="422" t="str">
        <f>S589</f>
        <v>Weather 
Normal Conversion 
Factor</v>
      </c>
      <c r="T608" s="423"/>
      <c r="U608" s="423"/>
      <c r="V608" s="423"/>
      <c r="W608" s="423"/>
      <c r="X608" s="424"/>
      <c r="Y608" s="261">
        <f>Z589</f>
        <v>1.0112133062338746</v>
      </c>
      <c r="Z608" s="261">
        <f>$F$187</f>
        <v>1</v>
      </c>
      <c r="AA608" s="421"/>
      <c r="AB608" s="421"/>
      <c r="AC608" s="421"/>
      <c r="AD608" s="421"/>
    </row>
    <row r="609" spans="19:30" ht="31.2" x14ac:dyDescent="0.3">
      <c r="S609" s="277"/>
      <c r="T609" s="278" t="s">
        <v>199</v>
      </c>
      <c r="U609" s="278" t="s">
        <v>200</v>
      </c>
      <c r="W609" s="278" t="str">
        <f>T609</f>
        <v>2017 Bridge</v>
      </c>
      <c r="X609" s="278" t="str">
        <f>U609</f>
        <v>2018 Test</v>
      </c>
      <c r="Y609" s="278" t="str">
        <f>W609</f>
        <v>2017 Bridge</v>
      </c>
      <c r="Z609" s="278" t="str">
        <f t="shared" ref="Z609" si="215">X609</f>
        <v>2018 Test</v>
      </c>
      <c r="AA609" s="278" t="str">
        <f t="shared" ref="AA609" si="216">Y609</f>
        <v>2017 Bridge</v>
      </c>
      <c r="AB609" s="278" t="str">
        <f t="shared" ref="AB609" si="217">Z609</f>
        <v>2018 Test</v>
      </c>
      <c r="AC609" s="278" t="str">
        <f t="shared" ref="AC609" si="218">AA609</f>
        <v>2017 Bridge</v>
      </c>
      <c r="AD609" s="278" t="str">
        <f t="shared" ref="AD609" si="219">AB609</f>
        <v>2018 Test</v>
      </c>
    </row>
    <row r="610" spans="19:30" x14ac:dyDescent="0.3">
      <c r="S610" s="279" t="s">
        <v>1</v>
      </c>
      <c r="T610" s="280">
        <f>$Q$480</f>
        <v>29729</v>
      </c>
      <c r="U610" s="280">
        <f>$R$480</f>
        <v>29815.501606131944</v>
      </c>
      <c r="V610" s="281" t="s">
        <v>83</v>
      </c>
      <c r="W610" s="281" t="e">
        <f>$Q$481</f>
        <v>#REF!</v>
      </c>
      <c r="X610" s="281">
        <f>$R$481</f>
        <v>281151925.91048598</v>
      </c>
      <c r="Y610" s="281" t="e">
        <f>W610*Y608</f>
        <v>#REF!</v>
      </c>
      <c r="Z610" s="281">
        <f>X610*Z608</f>
        <v>281151925.91048598</v>
      </c>
      <c r="AA610" s="281" t="e">
        <f>W610/T610</f>
        <v>#REF!</v>
      </c>
      <c r="AB610" s="281">
        <f>X610/U610</f>
        <v>9429.7231562478046</v>
      </c>
      <c r="AC610" s="281" t="e">
        <f>Y610/T610</f>
        <v>#REF!</v>
      </c>
      <c r="AD610" s="281">
        <f>Z610/U610</f>
        <v>9429.7231562478046</v>
      </c>
    </row>
    <row r="611" spans="19:30" x14ac:dyDescent="0.3">
      <c r="S611" s="279" t="s">
        <v>133</v>
      </c>
      <c r="T611" s="280">
        <f>$Q$484</f>
        <v>3417</v>
      </c>
      <c r="U611" s="280">
        <f>$R$484</f>
        <v>3430.7641919188468</v>
      </c>
      <c r="V611" s="281" t="s">
        <v>83</v>
      </c>
      <c r="W611" s="281" t="e">
        <f>$Q$485</f>
        <v>#REF!</v>
      </c>
      <c r="X611" s="281">
        <f>$R$485</f>
        <v>90542146.755002111</v>
      </c>
      <c r="Y611" s="281" t="e">
        <f>W611*Y608</f>
        <v>#REF!</v>
      </c>
      <c r="Z611" s="281">
        <f>X611*Z608</f>
        <v>90542146.755002111</v>
      </c>
      <c r="AA611" s="281" t="e">
        <f t="shared" ref="AA611:AA615" si="220">W611/T611</f>
        <v>#REF!</v>
      </c>
      <c r="AB611" s="281">
        <f t="shared" ref="AB611:AB615" si="221">X611/U611</f>
        <v>26391.247456841782</v>
      </c>
      <c r="AC611" s="281" t="e">
        <f t="shared" ref="AC611:AC615" si="222">Y611/T611</f>
        <v>#REF!</v>
      </c>
      <c r="AD611" s="281">
        <f t="shared" ref="AD611:AD615" si="223">Z611/U611</f>
        <v>26391.247456841782</v>
      </c>
    </row>
    <row r="612" spans="19:30" x14ac:dyDescent="0.3">
      <c r="S612" s="375" t="s">
        <v>317</v>
      </c>
      <c r="T612" s="280">
        <f>$Q$488</f>
        <v>361</v>
      </c>
      <c r="U612" s="280">
        <f>$R$488</f>
        <v>357.17848110967191</v>
      </c>
      <c r="V612" s="281" t="s">
        <v>84</v>
      </c>
      <c r="W612" s="281">
        <f>$Q$490</f>
        <v>610764.1</v>
      </c>
      <c r="X612" s="281">
        <f>$R$490</f>
        <v>603193.73069710995</v>
      </c>
      <c r="Y612" s="281">
        <f>W612*Y608</f>
        <v>617612.78488995682</v>
      </c>
      <c r="Z612" s="281">
        <f>X612*Z608</f>
        <v>603193.73069710995</v>
      </c>
      <c r="AA612" s="281">
        <f t="shared" si="220"/>
        <v>1691.8673130193906</v>
      </c>
      <c r="AB612" s="281">
        <f t="shared" si="221"/>
        <v>1688.7739956313294</v>
      </c>
      <c r="AC612" s="281">
        <f t="shared" si="222"/>
        <v>1710.8387393073597</v>
      </c>
      <c r="AD612" s="281">
        <f t="shared" si="223"/>
        <v>1688.7739956313294</v>
      </c>
    </row>
    <row r="613" spans="19:30" x14ac:dyDescent="0.3">
      <c r="S613" s="279" t="s">
        <v>148</v>
      </c>
      <c r="T613" s="280">
        <f>$Q$493</f>
        <v>361</v>
      </c>
      <c r="U613" s="280">
        <f>$R$493</f>
        <v>354.47637329291484</v>
      </c>
      <c r="V613" s="281" t="s">
        <v>84</v>
      </c>
      <c r="W613" s="281">
        <f>$Q$495</f>
        <v>619.20000000000005</v>
      </c>
      <c r="X613" s="281">
        <f>$R$495</f>
        <v>592.51480879014923</v>
      </c>
      <c r="Y613" s="281">
        <f>W613*Y608</f>
        <v>626.14327922001519</v>
      </c>
      <c r="Z613" s="281">
        <f>X613*Z608</f>
        <v>592.51480879014923</v>
      </c>
      <c r="AA613" s="281">
        <f t="shared" si="220"/>
        <v>1.7152354570637121</v>
      </c>
      <c r="AB613" s="281">
        <f t="shared" si="221"/>
        <v>1.6715213013662149</v>
      </c>
      <c r="AC613" s="281">
        <f t="shared" si="222"/>
        <v>1.7344689175069672</v>
      </c>
      <c r="AD613" s="281">
        <f t="shared" si="223"/>
        <v>1.6715213013662149</v>
      </c>
    </row>
    <row r="614" spans="19:30" x14ac:dyDescent="0.3">
      <c r="S614" s="279" t="s">
        <v>66</v>
      </c>
      <c r="T614" s="280">
        <f>$Q$498</f>
        <v>8070</v>
      </c>
      <c r="U614" s="280">
        <f>$R$498</f>
        <v>8070</v>
      </c>
      <c r="V614" s="281" t="s">
        <v>84</v>
      </c>
      <c r="W614" s="281">
        <f>$Q$500</f>
        <v>7030.1</v>
      </c>
      <c r="X614" s="281">
        <f>$R$500</f>
        <v>7030.1</v>
      </c>
      <c r="Y614" s="281">
        <f>W614*Y608</f>
        <v>7108.9306641547628</v>
      </c>
      <c r="Z614" s="281">
        <f>X614*Z608</f>
        <v>7030.1</v>
      </c>
      <c r="AA614" s="281">
        <f t="shared" si="220"/>
        <v>0.87114002478314756</v>
      </c>
      <c r="AB614" s="281">
        <f t="shared" si="221"/>
        <v>0.87114002478314756</v>
      </c>
      <c r="AC614" s="281">
        <f t="shared" si="222"/>
        <v>0.88090838465362609</v>
      </c>
      <c r="AD614" s="281">
        <f t="shared" si="223"/>
        <v>0.87114002478314756</v>
      </c>
    </row>
    <row r="615" spans="19:30" x14ac:dyDescent="0.3">
      <c r="S615" s="279" t="s">
        <v>149</v>
      </c>
      <c r="T615" s="280">
        <f>$Q$503</f>
        <v>21</v>
      </c>
      <c r="U615" s="280">
        <f>$R$503</f>
        <v>21.856426428186388</v>
      </c>
      <c r="V615" s="281" t="s">
        <v>83</v>
      </c>
      <c r="W615" s="281" t="e">
        <f>$Q$504</f>
        <v>#REF!</v>
      </c>
      <c r="X615" s="281">
        <f>$R$504</f>
        <v>944731.43889360514</v>
      </c>
      <c r="Y615" s="281" t="e">
        <f>W615*Y608</f>
        <v>#REF!</v>
      </c>
      <c r="Z615" s="281">
        <f>X615*Z608</f>
        <v>944731.43889360514</v>
      </c>
      <c r="AA615" s="281" t="e">
        <f t="shared" si="220"/>
        <v>#REF!</v>
      </c>
      <c r="AB615" s="281">
        <f t="shared" si="221"/>
        <v>43224.423809523811</v>
      </c>
      <c r="AC615" s="281" t="e">
        <f t="shared" si="222"/>
        <v>#REF!</v>
      </c>
      <c r="AD615" s="281">
        <f t="shared" si="223"/>
        <v>43224.423809523811</v>
      </c>
    </row>
    <row r="616" spans="19:30" x14ac:dyDescent="0.3">
      <c r="S616" s="279" t="s">
        <v>12</v>
      </c>
      <c r="T616" s="280">
        <f>SUM(T610:T615)</f>
        <v>41959</v>
      </c>
      <c r="U616" s="280">
        <f>SUM(U610:U615)</f>
        <v>42049.777078881569</v>
      </c>
      <c r="V616" s="282"/>
      <c r="W616" s="282"/>
      <c r="X616" s="282"/>
      <c r="Y616" s="282"/>
      <c r="Z616" s="282"/>
      <c r="AA616" s="282"/>
      <c r="AB616" s="282"/>
      <c r="AC616" s="282"/>
      <c r="AD616" s="282"/>
    </row>
    <row r="617" spans="19:30" x14ac:dyDescent="0.3">
      <c r="S617" s="236"/>
      <c r="T617" s="413" t="s">
        <v>162</v>
      </c>
      <c r="U617" s="413"/>
      <c r="V617" s="287"/>
      <c r="W617" s="413" t="s">
        <v>162</v>
      </c>
      <c r="X617" s="413"/>
      <c r="Y617" s="413" t="s">
        <v>162</v>
      </c>
      <c r="Z617" s="413"/>
      <c r="AA617" s="413" t="s">
        <v>162</v>
      </c>
      <c r="AB617" s="413"/>
      <c r="AC617" s="413" t="s">
        <v>162</v>
      </c>
      <c r="AD617" s="413"/>
    </row>
    <row r="618" spans="19:30" x14ac:dyDescent="0.3">
      <c r="S618" s="283" t="s">
        <v>1</v>
      </c>
      <c r="T618" s="412">
        <f t="shared" ref="T618:T623" si="224">U610-T610</f>
        <v>86.501606131943845</v>
      </c>
      <c r="U618" s="412"/>
      <c r="V618" s="288" t="str">
        <f>V610</f>
        <v>kWh</v>
      </c>
      <c r="W618" s="412" t="e">
        <f t="shared" ref="W618:W623" si="225">X610-W610</f>
        <v>#REF!</v>
      </c>
      <c r="X618" s="412"/>
      <c r="Y618" s="412" t="e">
        <f t="shared" ref="Y618:Y623" si="226">Z610-Y610</f>
        <v>#REF!</v>
      </c>
      <c r="Z618" s="412"/>
      <c r="AA618" s="412" t="e">
        <f t="shared" ref="AA618:AA623" si="227">AB610-AA610</f>
        <v>#REF!</v>
      </c>
      <c r="AB618" s="412"/>
      <c r="AC618" s="412" t="e">
        <f t="shared" ref="AC618:AC623" si="228">AD610-AC610</f>
        <v>#REF!</v>
      </c>
      <c r="AD618" s="412"/>
    </row>
    <row r="619" spans="19:30" x14ac:dyDescent="0.3">
      <c r="S619" s="283" t="s">
        <v>133</v>
      </c>
      <c r="T619" s="412">
        <f t="shared" si="224"/>
        <v>13.764191918846791</v>
      </c>
      <c r="U619" s="412"/>
      <c r="V619" s="288" t="str">
        <f t="shared" ref="V619:V623" si="229">V611</f>
        <v>kWh</v>
      </c>
      <c r="W619" s="412" t="e">
        <f t="shared" si="225"/>
        <v>#REF!</v>
      </c>
      <c r="X619" s="412"/>
      <c r="Y619" s="412" t="e">
        <f t="shared" si="226"/>
        <v>#REF!</v>
      </c>
      <c r="Z619" s="412"/>
      <c r="AA619" s="412" t="e">
        <f t="shared" si="227"/>
        <v>#REF!</v>
      </c>
      <c r="AB619" s="412"/>
      <c r="AC619" s="412" t="e">
        <f t="shared" si="228"/>
        <v>#REF!</v>
      </c>
      <c r="AD619" s="412"/>
    </row>
    <row r="620" spans="19:30" x14ac:dyDescent="0.3">
      <c r="S620" s="375" t="s">
        <v>317</v>
      </c>
      <c r="T620" s="412">
        <f t="shared" si="224"/>
        <v>-3.8215188903280932</v>
      </c>
      <c r="U620" s="412"/>
      <c r="V620" s="288" t="str">
        <f t="shared" si="229"/>
        <v>kW</v>
      </c>
      <c r="W620" s="412">
        <f t="shared" si="225"/>
        <v>-7570.3693028900307</v>
      </c>
      <c r="X620" s="412"/>
      <c r="Y620" s="412">
        <f t="shared" si="226"/>
        <v>-14419.054192846874</v>
      </c>
      <c r="Z620" s="412"/>
      <c r="AA620" s="412">
        <f t="shared" si="227"/>
        <v>-3.093317388061223</v>
      </c>
      <c r="AB620" s="412"/>
      <c r="AC620" s="412">
        <f t="shared" si="228"/>
        <v>-22.064743676030275</v>
      </c>
      <c r="AD620" s="412"/>
    </row>
    <row r="621" spans="19:30" x14ac:dyDescent="0.3">
      <c r="S621" s="283" t="s">
        <v>148</v>
      </c>
      <c r="T621" s="412">
        <f t="shared" si="224"/>
        <v>-6.5236267070851568</v>
      </c>
      <c r="U621" s="412"/>
      <c r="V621" s="288" t="str">
        <f t="shared" si="229"/>
        <v>kW</v>
      </c>
      <c r="W621" s="412">
        <f t="shared" si="225"/>
        <v>-26.685191209850814</v>
      </c>
      <c r="X621" s="412"/>
      <c r="Y621" s="412">
        <f t="shared" si="226"/>
        <v>-33.628470429865956</v>
      </c>
      <c r="Z621" s="412"/>
      <c r="AA621" s="412">
        <f t="shared" si="227"/>
        <v>-4.3714155697497148E-2</v>
      </c>
      <c r="AB621" s="412"/>
      <c r="AC621" s="412">
        <f t="shared" si="228"/>
        <v>-6.2947616140752283E-2</v>
      </c>
      <c r="AD621" s="412"/>
    </row>
    <row r="622" spans="19:30" x14ac:dyDescent="0.3">
      <c r="S622" s="283" t="s">
        <v>66</v>
      </c>
      <c r="T622" s="412">
        <f t="shared" si="224"/>
        <v>0</v>
      </c>
      <c r="U622" s="412"/>
      <c r="V622" s="288" t="str">
        <f t="shared" si="229"/>
        <v>kW</v>
      </c>
      <c r="W622" s="412">
        <f t="shared" si="225"/>
        <v>0</v>
      </c>
      <c r="X622" s="412"/>
      <c r="Y622" s="412">
        <f t="shared" si="226"/>
        <v>-78.830664154762417</v>
      </c>
      <c r="Z622" s="412"/>
      <c r="AA622" s="412">
        <f t="shared" si="227"/>
        <v>0</v>
      </c>
      <c r="AB622" s="412"/>
      <c r="AC622" s="412">
        <f t="shared" si="228"/>
        <v>-9.7683598704785268E-3</v>
      </c>
      <c r="AD622" s="412"/>
    </row>
    <row r="623" spans="19:30" x14ac:dyDescent="0.3">
      <c r="S623" s="283" t="s">
        <v>149</v>
      </c>
      <c r="T623" s="412">
        <f t="shared" si="224"/>
        <v>0.85642642818638848</v>
      </c>
      <c r="U623" s="412"/>
      <c r="V623" s="288" t="str">
        <f t="shared" si="229"/>
        <v>kWh</v>
      </c>
      <c r="W623" s="412" t="e">
        <f t="shared" si="225"/>
        <v>#REF!</v>
      </c>
      <c r="X623" s="412"/>
      <c r="Y623" s="412" t="e">
        <f t="shared" si="226"/>
        <v>#REF!</v>
      </c>
      <c r="Z623" s="412"/>
      <c r="AA623" s="412" t="e">
        <f t="shared" si="227"/>
        <v>#REF!</v>
      </c>
      <c r="AB623" s="412"/>
      <c r="AC623" s="412" t="e">
        <f t="shared" si="228"/>
        <v>#REF!</v>
      </c>
      <c r="AD623" s="412"/>
    </row>
  </sheetData>
  <mergeCells count="325">
    <mergeCell ref="AC622:AD622"/>
    <mergeCell ref="AA607:AB607"/>
    <mergeCell ref="AC607:AD607"/>
    <mergeCell ref="S608:X608"/>
    <mergeCell ref="AA608:AB608"/>
    <mergeCell ref="AC608:AD608"/>
    <mergeCell ref="W617:X617"/>
    <mergeCell ref="Y617:Z617"/>
    <mergeCell ref="T623:U623"/>
    <mergeCell ref="W623:X623"/>
    <mergeCell ref="Y623:Z623"/>
    <mergeCell ref="AA623:AB623"/>
    <mergeCell ref="AC623:AD623"/>
    <mergeCell ref="Y620:Z620"/>
    <mergeCell ref="AA620:AB620"/>
    <mergeCell ref="AC620:AD620"/>
    <mergeCell ref="T621:U621"/>
    <mergeCell ref="W621:X621"/>
    <mergeCell ref="Y621:Z621"/>
    <mergeCell ref="AA621:AB621"/>
    <mergeCell ref="AC621:AD621"/>
    <mergeCell ref="T622:U622"/>
    <mergeCell ref="W622:X622"/>
    <mergeCell ref="Y622:Z622"/>
    <mergeCell ref="AA622:AB622"/>
    <mergeCell ref="S589:X589"/>
    <mergeCell ref="AA589:AB589"/>
    <mergeCell ref="AC589:AD589"/>
    <mergeCell ref="T598:U598"/>
    <mergeCell ref="W598:X598"/>
    <mergeCell ref="Y598:Z598"/>
    <mergeCell ref="AA598:AB598"/>
    <mergeCell ref="AC598:AD598"/>
    <mergeCell ref="T599:U599"/>
    <mergeCell ref="W599:X599"/>
    <mergeCell ref="Y599:Z599"/>
    <mergeCell ref="AA599:AB599"/>
    <mergeCell ref="AC599:AD599"/>
    <mergeCell ref="Y618:Z618"/>
    <mergeCell ref="T600:U600"/>
    <mergeCell ref="AA600:AB600"/>
    <mergeCell ref="AC600:AD600"/>
    <mergeCell ref="AA601:AB601"/>
    <mergeCell ref="AC601:AD601"/>
    <mergeCell ref="W600:X600"/>
    <mergeCell ref="Y600:Z600"/>
    <mergeCell ref="T601:U601"/>
    <mergeCell ref="W601:X601"/>
    <mergeCell ref="T585:U585"/>
    <mergeCell ref="W585:X585"/>
    <mergeCell ref="Y585:Z585"/>
    <mergeCell ref="AA585:AB585"/>
    <mergeCell ref="AC585:AD585"/>
    <mergeCell ref="T588:U588"/>
    <mergeCell ref="W588:X588"/>
    <mergeCell ref="Y588:Z588"/>
    <mergeCell ref="AA588:AB588"/>
    <mergeCell ref="AC588:AD588"/>
    <mergeCell ref="T582:U582"/>
    <mergeCell ref="W582:X582"/>
    <mergeCell ref="Y582:Z582"/>
    <mergeCell ref="AA582:AB582"/>
    <mergeCell ref="AC582:AD582"/>
    <mergeCell ref="W583:X583"/>
    <mergeCell ref="Y583:Z583"/>
    <mergeCell ref="T584:U584"/>
    <mergeCell ref="W584:X584"/>
    <mergeCell ref="Y584:Z584"/>
    <mergeCell ref="AA584:AB584"/>
    <mergeCell ref="AC584:AD584"/>
    <mergeCell ref="S570:X570"/>
    <mergeCell ref="AA570:AB570"/>
    <mergeCell ref="AC570:AD570"/>
    <mergeCell ref="T566:U566"/>
    <mergeCell ref="AA566:AB566"/>
    <mergeCell ref="AC566:AD566"/>
    <mergeCell ref="Y581:Z581"/>
    <mergeCell ref="AA581:AB581"/>
    <mergeCell ref="AC581:AD581"/>
    <mergeCell ref="AC564:AD564"/>
    <mergeCell ref="T565:U565"/>
    <mergeCell ref="W565:X565"/>
    <mergeCell ref="Y565:Z565"/>
    <mergeCell ref="AA565:AB565"/>
    <mergeCell ref="AC565:AD565"/>
    <mergeCell ref="W566:X566"/>
    <mergeCell ref="Y566:Z566"/>
    <mergeCell ref="T569:U569"/>
    <mergeCell ref="W569:X569"/>
    <mergeCell ref="Y569:Z569"/>
    <mergeCell ref="AA569:AB569"/>
    <mergeCell ref="AC569:AD569"/>
    <mergeCell ref="W560:X560"/>
    <mergeCell ref="Y560:Z560"/>
    <mergeCell ref="W561:X561"/>
    <mergeCell ref="Y561:Z561"/>
    <mergeCell ref="W562:X562"/>
    <mergeCell ref="Y562:Z562"/>
    <mergeCell ref="T560:U560"/>
    <mergeCell ref="AA560:AB560"/>
    <mergeCell ref="AC560:AD560"/>
    <mergeCell ref="T561:U561"/>
    <mergeCell ref="AA561:AB561"/>
    <mergeCell ref="AC561:AD561"/>
    <mergeCell ref="T562:U562"/>
    <mergeCell ref="AA562:AB562"/>
    <mergeCell ref="AC562:AD562"/>
    <mergeCell ref="AA547:AB547"/>
    <mergeCell ref="AC547:AD547"/>
    <mergeCell ref="T550:U550"/>
    <mergeCell ref="W550:X550"/>
    <mergeCell ref="Y550:Z550"/>
    <mergeCell ref="AA550:AB550"/>
    <mergeCell ref="AC550:AD550"/>
    <mergeCell ref="S551:X551"/>
    <mergeCell ref="AA551:AB551"/>
    <mergeCell ref="AC551:AD551"/>
    <mergeCell ref="K501:R501"/>
    <mergeCell ref="K502:R502"/>
    <mergeCell ref="W512:X512"/>
    <mergeCell ref="Y512:Z512"/>
    <mergeCell ref="K482:R482"/>
    <mergeCell ref="K483:R483"/>
    <mergeCell ref="K486:R486"/>
    <mergeCell ref="S513:X513"/>
    <mergeCell ref="T547:U547"/>
    <mergeCell ref="W547:X547"/>
    <mergeCell ref="Y547:Z547"/>
    <mergeCell ref="A22:G22"/>
    <mergeCell ref="A24:G24"/>
    <mergeCell ref="A81:G81"/>
    <mergeCell ref="A119:G119"/>
    <mergeCell ref="A278:E278"/>
    <mergeCell ref="A285:E285"/>
    <mergeCell ref="A290:E290"/>
    <mergeCell ref="A62:H62"/>
    <mergeCell ref="A82:H82"/>
    <mergeCell ref="A104:G104"/>
    <mergeCell ref="A209:F209"/>
    <mergeCell ref="A228:I228"/>
    <mergeCell ref="B252:E252"/>
    <mergeCell ref="A102:G102"/>
    <mergeCell ref="A138:F138"/>
    <mergeCell ref="A154:B154"/>
    <mergeCell ref="A169:G169"/>
    <mergeCell ref="A171:G171"/>
    <mergeCell ref="A258:E258"/>
    <mergeCell ref="A264:E264"/>
    <mergeCell ref="A271:E271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297:H297"/>
    <mergeCell ref="AA512:AB512"/>
    <mergeCell ref="AC512:AD512"/>
    <mergeCell ref="AA513:AB513"/>
    <mergeCell ref="AC513:AD513"/>
    <mergeCell ref="A312:G312"/>
    <mergeCell ref="T512:U512"/>
    <mergeCell ref="B315:E315"/>
    <mergeCell ref="A314:I314"/>
    <mergeCell ref="F315:I315"/>
    <mergeCell ref="A351:E351"/>
    <mergeCell ref="A353:E353"/>
    <mergeCell ref="K468:R468"/>
    <mergeCell ref="K472:R472"/>
    <mergeCell ref="K491:R491"/>
    <mergeCell ref="K492:R492"/>
    <mergeCell ref="A299:H299"/>
    <mergeCell ref="A302:H302"/>
    <mergeCell ref="A305:H305"/>
    <mergeCell ref="A308:H308"/>
    <mergeCell ref="K506:R506"/>
    <mergeCell ref="K487:R487"/>
    <mergeCell ref="K496:R496"/>
    <mergeCell ref="K497:R497"/>
    <mergeCell ref="AA523:AB523"/>
    <mergeCell ref="AC523:AD523"/>
    <mergeCell ref="T524:U524"/>
    <mergeCell ref="AA524:AB524"/>
    <mergeCell ref="AC524:AD524"/>
    <mergeCell ref="T525:U525"/>
    <mergeCell ref="AA525:AB525"/>
    <mergeCell ref="AC525:AD525"/>
    <mergeCell ref="Y522:Z522"/>
    <mergeCell ref="Y523:Z523"/>
    <mergeCell ref="Y524:Z524"/>
    <mergeCell ref="Y525:Z525"/>
    <mergeCell ref="AA522:AB522"/>
    <mergeCell ref="AC522:AD522"/>
    <mergeCell ref="W522:X522"/>
    <mergeCell ref="W523:X523"/>
    <mergeCell ref="W524:X524"/>
    <mergeCell ref="W525:X525"/>
    <mergeCell ref="T522:U522"/>
    <mergeCell ref="T523:U523"/>
    <mergeCell ref="AC531:AD531"/>
    <mergeCell ref="AA532:AB532"/>
    <mergeCell ref="AC532:AD532"/>
    <mergeCell ref="T526:U526"/>
    <mergeCell ref="AA526:AB526"/>
    <mergeCell ref="AC526:AD526"/>
    <mergeCell ref="T527:U527"/>
    <mergeCell ref="AA527:AB527"/>
    <mergeCell ref="AC527:AD527"/>
    <mergeCell ref="Y527:Z527"/>
    <mergeCell ref="Y528:Z528"/>
    <mergeCell ref="AA528:AB528"/>
    <mergeCell ref="AC528:AD528"/>
    <mergeCell ref="W531:X531"/>
    <mergeCell ref="Y531:Z531"/>
    <mergeCell ref="S532:X532"/>
    <mergeCell ref="Y526:Z526"/>
    <mergeCell ref="T528:U528"/>
    <mergeCell ref="W526:X526"/>
    <mergeCell ref="W527:X527"/>
    <mergeCell ref="W528:X528"/>
    <mergeCell ref="AC545:AD545"/>
    <mergeCell ref="W545:X545"/>
    <mergeCell ref="Y545:Z545"/>
    <mergeCell ref="T546:U546"/>
    <mergeCell ref="W546:X546"/>
    <mergeCell ref="Y546:Z546"/>
    <mergeCell ref="AA546:AB546"/>
    <mergeCell ref="AC546:AD546"/>
    <mergeCell ref="AA541:AB541"/>
    <mergeCell ref="AC541:AD541"/>
    <mergeCell ref="T542:U542"/>
    <mergeCell ref="AA542:AB542"/>
    <mergeCell ref="AC542:AD542"/>
    <mergeCell ref="T543:U543"/>
    <mergeCell ref="AA543:AB543"/>
    <mergeCell ref="AC543:AD543"/>
    <mergeCell ref="T544:U544"/>
    <mergeCell ref="AA544:AB544"/>
    <mergeCell ref="AC544:AD544"/>
    <mergeCell ref="W541:X541"/>
    <mergeCell ref="Y541:Z541"/>
    <mergeCell ref="W542:X542"/>
    <mergeCell ref="Y542:Z542"/>
    <mergeCell ref="W543:X543"/>
    <mergeCell ref="AC602:AD602"/>
    <mergeCell ref="T563:U563"/>
    <mergeCell ref="W563:X563"/>
    <mergeCell ref="Y563:Z563"/>
    <mergeCell ref="AA563:AB563"/>
    <mergeCell ref="AC563:AD563"/>
    <mergeCell ref="T564:U564"/>
    <mergeCell ref="T583:U583"/>
    <mergeCell ref="AA583:AB583"/>
    <mergeCell ref="AC583:AD583"/>
    <mergeCell ref="T579:U579"/>
    <mergeCell ref="AA579:AB579"/>
    <mergeCell ref="AC579:AD579"/>
    <mergeCell ref="T580:U580"/>
    <mergeCell ref="AA580:AB580"/>
    <mergeCell ref="AC580:AD580"/>
    <mergeCell ref="W579:X579"/>
    <mergeCell ref="Y579:Z579"/>
    <mergeCell ref="W580:X580"/>
    <mergeCell ref="Y580:Z580"/>
    <mergeCell ref="T581:U581"/>
    <mergeCell ref="W581:X581"/>
    <mergeCell ref="W564:X564"/>
    <mergeCell ref="Y564:Z564"/>
    <mergeCell ref="T603:U603"/>
    <mergeCell ref="W603:X603"/>
    <mergeCell ref="Y603:Z603"/>
    <mergeCell ref="AA603:AB603"/>
    <mergeCell ref="AC603:AD603"/>
    <mergeCell ref="T604:U604"/>
    <mergeCell ref="W604:X604"/>
    <mergeCell ref="Y604:Z604"/>
    <mergeCell ref="AA604:AB604"/>
    <mergeCell ref="AC604:AD604"/>
    <mergeCell ref="T607:U607"/>
    <mergeCell ref="W607:X607"/>
    <mergeCell ref="Y607:Z607"/>
    <mergeCell ref="T619:U619"/>
    <mergeCell ref="W619:X619"/>
    <mergeCell ref="Y619:Z619"/>
    <mergeCell ref="AA619:AB619"/>
    <mergeCell ref="AC619:AD619"/>
    <mergeCell ref="T620:U620"/>
    <mergeCell ref="W620:X620"/>
    <mergeCell ref="T617:U617"/>
    <mergeCell ref="AA617:AB617"/>
    <mergeCell ref="AC617:AD617"/>
    <mergeCell ref="AA618:AB618"/>
    <mergeCell ref="AC618:AD618"/>
    <mergeCell ref="T618:U618"/>
    <mergeCell ref="W618:X618"/>
    <mergeCell ref="A192:H192"/>
    <mergeCell ref="A211:G211"/>
    <mergeCell ref="A230:H230"/>
    <mergeCell ref="A236:G236"/>
    <mergeCell ref="A242:G242"/>
    <mergeCell ref="T602:U602"/>
    <mergeCell ref="W602:X602"/>
    <mergeCell ref="Y602:Z602"/>
    <mergeCell ref="AA602:AB602"/>
    <mergeCell ref="Y601:Z601"/>
    <mergeCell ref="AA564:AB564"/>
    <mergeCell ref="T545:U545"/>
    <mergeCell ref="AA545:AB545"/>
    <mergeCell ref="Y543:Z543"/>
    <mergeCell ref="W544:X544"/>
    <mergeCell ref="Y544:Z544"/>
    <mergeCell ref="T541:U541"/>
    <mergeCell ref="T531:U531"/>
    <mergeCell ref="AA531:AB531"/>
    <mergeCell ref="A293:C293"/>
    <mergeCell ref="A294:C294"/>
    <mergeCell ref="K477:R477"/>
    <mergeCell ref="K478:R478"/>
    <mergeCell ref="K479:R479"/>
  </mergeCells>
  <pageMargins left="0" right="0" top="0.75" bottom="0.75" header="0.3" footer="0.3"/>
  <pageSetup paperSize="5" scale="37" fitToHeight="0" orientation="landscape" horizontalDpi="200" verticalDpi="200" r:id="rId1"/>
  <headerFooter alignWithMargins="0"/>
  <ignoredErrors>
    <ignoredError sqref="D29:D41 F29:F43" formula="1"/>
    <ignoredError sqref="B243:G244" evalErro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8"/>
  <sheetViews>
    <sheetView topLeftCell="A73" workbookViewId="0">
      <selection activeCell="D76" sqref="D76"/>
    </sheetView>
  </sheetViews>
  <sheetFormatPr defaultRowHeight="13.2" x14ac:dyDescent="0.25"/>
  <cols>
    <col min="1" max="1" width="1.33203125" customWidth="1"/>
    <col min="2" max="2" width="31.6640625" bestFit="1" customWidth="1"/>
    <col min="3" max="3" width="18.88671875" customWidth="1"/>
    <col min="4" max="4" width="10.33203125" bestFit="1" customWidth="1"/>
    <col min="5" max="5" width="14.44140625" bestFit="1" customWidth="1"/>
    <col min="6" max="6" width="9.33203125" bestFit="1" customWidth="1"/>
    <col min="7" max="7" width="12.44140625" bestFit="1" customWidth="1"/>
    <col min="8" max="8" width="15.44140625" bestFit="1" customWidth="1"/>
  </cols>
  <sheetData>
    <row r="2" spans="2:7" ht="13.8" thickBot="1" x14ac:dyDescent="0.3"/>
    <row r="3" spans="2:7" ht="13.8" thickBot="1" x14ac:dyDescent="0.3">
      <c r="B3" s="452" t="s">
        <v>173</v>
      </c>
      <c r="C3" s="453"/>
      <c r="D3" s="453"/>
      <c r="E3" s="454"/>
    </row>
    <row r="4" spans="2:7" x14ac:dyDescent="0.25">
      <c r="B4" s="213" t="s">
        <v>194</v>
      </c>
      <c r="C4" s="66" t="s">
        <v>83</v>
      </c>
      <c r="D4" s="66" t="s">
        <v>84</v>
      </c>
      <c r="E4" s="212" t="s">
        <v>181</v>
      </c>
    </row>
    <row r="5" spans="2:7" x14ac:dyDescent="0.25">
      <c r="B5" s="77" t="s">
        <v>1</v>
      </c>
      <c r="C5" s="78">
        <f>Summary!Q15</f>
        <v>281151925.91048598</v>
      </c>
      <c r="D5" s="79"/>
      <c r="E5" s="136">
        <v>0.96640000000000004</v>
      </c>
    </row>
    <row r="6" spans="2:7" x14ac:dyDescent="0.25">
      <c r="B6" s="77" t="s">
        <v>133</v>
      </c>
      <c r="C6" s="78">
        <f>Summary!Q19</f>
        <v>90542146.755002111</v>
      </c>
      <c r="D6" s="79"/>
      <c r="E6" s="136">
        <v>0.92679999999999996</v>
      </c>
    </row>
    <row r="7" spans="2:7" x14ac:dyDescent="0.25">
      <c r="B7" s="395" t="s">
        <v>317</v>
      </c>
      <c r="C7" s="78">
        <f>Summary!Q23</f>
        <v>240024913.21432304</v>
      </c>
      <c r="D7" s="80">
        <f>Summary!Q24</f>
        <v>603193.73069710995</v>
      </c>
      <c r="E7" s="136">
        <v>0.35639999999999999</v>
      </c>
    </row>
    <row r="8" spans="2:7" x14ac:dyDescent="0.25">
      <c r="B8" s="77" t="s">
        <v>141</v>
      </c>
      <c r="C8" s="78">
        <f>Summary!Q28</f>
        <v>209800.13099560147</v>
      </c>
      <c r="D8" s="80">
        <f>Summary!Q29</f>
        <v>592.51480879014923</v>
      </c>
      <c r="E8" s="136">
        <v>1</v>
      </c>
    </row>
    <row r="9" spans="2:7" x14ac:dyDescent="0.25">
      <c r="B9" s="77" t="s">
        <v>66</v>
      </c>
      <c r="C9" s="78">
        <f>Summary!Q33</f>
        <v>2398221.2999999998</v>
      </c>
      <c r="D9" s="80">
        <f>Summary!Q34</f>
        <v>7030.1</v>
      </c>
      <c r="E9" s="136">
        <v>2.8799999999999999E-2</v>
      </c>
    </row>
    <row r="10" spans="2:7" x14ac:dyDescent="0.25">
      <c r="B10" s="77" t="s">
        <v>2</v>
      </c>
      <c r="C10" s="78">
        <f>Summary!Q38</f>
        <v>944731.43889360514</v>
      </c>
      <c r="D10" s="80"/>
      <c r="E10" s="136">
        <v>1</v>
      </c>
    </row>
    <row r="11" spans="2:7" x14ac:dyDescent="0.25">
      <c r="B11" s="81" t="s">
        <v>85</v>
      </c>
      <c r="C11" s="82">
        <f>SUM(C5:C10)</f>
        <v>615271738.74970031</v>
      </c>
      <c r="D11" s="82">
        <f>SUM(D5:D10)</f>
        <v>610816.3455059001</v>
      </c>
      <c r="E11" s="82"/>
    </row>
    <row r="12" spans="2:7" x14ac:dyDescent="0.25">
      <c r="C12" s="57"/>
      <c r="D12" s="57"/>
    </row>
    <row r="14" spans="2:7" x14ac:dyDescent="0.25">
      <c r="B14" s="137" t="s">
        <v>86</v>
      </c>
      <c r="C14" s="455" t="s">
        <v>180</v>
      </c>
      <c r="D14" s="457" t="s">
        <v>195</v>
      </c>
      <c r="E14" s="459">
        <v>2018</v>
      </c>
      <c r="F14" s="460"/>
      <c r="G14" s="461"/>
    </row>
    <row r="15" spans="2:7" x14ac:dyDescent="0.25">
      <c r="B15" s="138" t="s">
        <v>87</v>
      </c>
      <c r="C15" s="456"/>
      <c r="D15" s="458"/>
      <c r="E15" s="462"/>
      <c r="F15" s="463"/>
      <c r="G15" s="464"/>
    </row>
    <row r="16" spans="2:7" x14ac:dyDescent="0.25">
      <c r="B16" s="62" t="str">
        <f>B5</f>
        <v xml:space="preserve">Residential </v>
      </c>
      <c r="C16" s="78">
        <f t="shared" ref="C16:C21" si="0">C5*E5</f>
        <v>271705221.19989365</v>
      </c>
      <c r="D16" s="84">
        <v>1.0481</v>
      </c>
      <c r="E16" s="85">
        <f t="shared" ref="E16:E21" si="1">C16*D16</f>
        <v>284774242.33960855</v>
      </c>
      <c r="F16" s="151">
        <f>109.09/1000</f>
        <v>0.10909000000000001</v>
      </c>
      <c r="G16" s="87">
        <f t="shared" ref="G16:G21" si="2">E16*F16</f>
        <v>31066022.096827898</v>
      </c>
    </row>
    <row r="17" spans="2:8" x14ac:dyDescent="0.25">
      <c r="B17" s="62" t="str">
        <f>B6</f>
        <v>General Service &lt; 50 kW</v>
      </c>
      <c r="C17" s="78">
        <f t="shared" si="0"/>
        <v>83914461.612535954</v>
      </c>
      <c r="D17" s="84">
        <v>1.0481</v>
      </c>
      <c r="E17" s="85">
        <f t="shared" si="1"/>
        <v>87950747.216098934</v>
      </c>
      <c r="F17" s="151">
        <f>+F16</f>
        <v>0.10909000000000001</v>
      </c>
      <c r="G17" s="87">
        <f t="shared" si="2"/>
        <v>9594547.0138042327</v>
      </c>
    </row>
    <row r="18" spans="2:8" x14ac:dyDescent="0.25">
      <c r="B18" s="62" t="str">
        <f>B7</f>
        <v>General Service 50 to 4,999 kW</v>
      </c>
      <c r="C18" s="78">
        <f>C7*E7</f>
        <v>85544879.069584727</v>
      </c>
      <c r="D18" s="84">
        <v>1.0481</v>
      </c>
      <c r="E18" s="85">
        <f t="shared" si="1"/>
        <v>89659587.752831757</v>
      </c>
      <c r="F18" s="151">
        <f t="shared" ref="F18:F21" si="3">+F17</f>
        <v>0.10909000000000001</v>
      </c>
      <c r="G18" s="87">
        <f t="shared" si="2"/>
        <v>9780964.4279564172</v>
      </c>
    </row>
    <row r="19" spans="2:8" x14ac:dyDescent="0.25">
      <c r="B19" s="77" t="s">
        <v>141</v>
      </c>
      <c r="C19" s="78">
        <f t="shared" si="0"/>
        <v>209800.13099560147</v>
      </c>
      <c r="D19" s="84">
        <v>1.0481</v>
      </c>
      <c r="E19" s="85">
        <f t="shared" ref="E19" si="4">C19*D19</f>
        <v>219891.51729648991</v>
      </c>
      <c r="F19" s="151">
        <f t="shared" si="3"/>
        <v>0.10909000000000001</v>
      </c>
      <c r="G19" s="87">
        <f t="shared" ref="G19" si="5">E19*F19</f>
        <v>23987.965621874086</v>
      </c>
    </row>
    <row r="20" spans="2:8" x14ac:dyDescent="0.25">
      <c r="B20" s="62" t="str">
        <f>B9</f>
        <v>Street Lights</v>
      </c>
      <c r="C20" s="78">
        <f t="shared" si="0"/>
        <v>69068.77343999999</v>
      </c>
      <c r="D20" s="84">
        <v>1.0481</v>
      </c>
      <c r="E20" s="85">
        <f t="shared" si="1"/>
        <v>72390.981442463992</v>
      </c>
      <c r="F20" s="151">
        <f t="shared" si="3"/>
        <v>0.10909000000000001</v>
      </c>
      <c r="G20" s="87">
        <f t="shared" si="2"/>
        <v>7897.132165558397</v>
      </c>
    </row>
    <row r="21" spans="2:8" x14ac:dyDescent="0.25">
      <c r="B21" s="62" t="str">
        <f>B10</f>
        <v xml:space="preserve">Unmetered Loads </v>
      </c>
      <c r="C21" s="78">
        <f t="shared" si="0"/>
        <v>944731.43889360514</v>
      </c>
      <c r="D21" s="84">
        <v>1.0481</v>
      </c>
      <c r="E21" s="85">
        <f t="shared" si="1"/>
        <v>990173.02110438759</v>
      </c>
      <c r="F21" s="151">
        <f t="shared" si="3"/>
        <v>0.10909000000000001</v>
      </c>
      <c r="G21" s="87">
        <f t="shared" si="2"/>
        <v>108017.97487227764</v>
      </c>
    </row>
    <row r="22" spans="2:8" x14ac:dyDescent="0.25">
      <c r="B22" s="81" t="s">
        <v>85</v>
      </c>
      <c r="C22" s="82">
        <f>SUM(C16:C21)</f>
        <v>442388162.22534359</v>
      </c>
      <c r="D22" s="83"/>
      <c r="E22" s="82">
        <f>SUM(E16:E21)</f>
        <v>463667032.82838255</v>
      </c>
      <c r="F22" s="152"/>
      <c r="G22" s="89">
        <f>SUM(G16:G21)</f>
        <v>50581436.611248255</v>
      </c>
      <c r="H22" s="394"/>
    </row>
    <row r="23" spans="2:8" x14ac:dyDescent="0.25">
      <c r="B23" s="90"/>
      <c r="C23" s="91"/>
      <c r="D23" s="92"/>
      <c r="E23" s="91"/>
      <c r="F23" s="93"/>
      <c r="G23" s="94"/>
    </row>
    <row r="24" spans="2:8" x14ac:dyDescent="0.25">
      <c r="B24" s="137" t="s">
        <v>88</v>
      </c>
      <c r="C24" s="455" t="s">
        <v>180</v>
      </c>
      <c r="D24" s="457" t="s">
        <v>179</v>
      </c>
      <c r="E24" s="459">
        <v>2018</v>
      </c>
      <c r="F24" s="460"/>
      <c r="G24" s="461"/>
    </row>
    <row r="25" spans="2:8" x14ac:dyDescent="0.25">
      <c r="B25" s="138" t="s">
        <v>89</v>
      </c>
      <c r="C25" s="456"/>
      <c r="D25" s="458"/>
      <c r="E25" s="462"/>
      <c r="F25" s="463"/>
      <c r="G25" s="464"/>
    </row>
    <row r="26" spans="2:8" x14ac:dyDescent="0.25">
      <c r="B26" s="62" t="str">
        <f>B16</f>
        <v xml:space="preserve">Residential </v>
      </c>
      <c r="C26" s="78">
        <f t="shared" ref="C26:C31" si="6">C5-C16</f>
        <v>9446704.7105923295</v>
      </c>
      <c r="D26" s="79">
        <f t="shared" ref="D26:D31" si="7">D16</f>
        <v>1.0481</v>
      </c>
      <c r="E26" s="85">
        <f t="shared" ref="E26:E31" si="8">C26*D26</f>
        <v>9901091.2071718201</v>
      </c>
      <c r="F26" s="86">
        <f>(19.64+86.52)/1000</f>
        <v>0.10615999999999999</v>
      </c>
      <c r="G26" s="87">
        <f t="shared" ref="G26:G31" si="9">E26*F26</f>
        <v>1051099.8425533604</v>
      </c>
    </row>
    <row r="27" spans="2:8" x14ac:dyDescent="0.25">
      <c r="B27" s="62" t="str">
        <f>B17</f>
        <v>General Service &lt; 50 kW</v>
      </c>
      <c r="C27" s="78">
        <f t="shared" si="6"/>
        <v>6627685.1424661577</v>
      </c>
      <c r="D27" s="79">
        <f t="shared" si="7"/>
        <v>1.0481</v>
      </c>
      <c r="E27" s="85">
        <f t="shared" si="8"/>
        <v>6946476.7978187799</v>
      </c>
      <c r="F27" s="86">
        <f t="shared" ref="F27:F31" si="10">(19.64+86.52)/1000</f>
        <v>0.10615999999999999</v>
      </c>
      <c r="G27" s="87">
        <f t="shared" si="9"/>
        <v>737437.97685644159</v>
      </c>
    </row>
    <row r="28" spans="2:8" x14ac:dyDescent="0.25">
      <c r="B28" s="62" t="str">
        <f>B18</f>
        <v>General Service 50 to 4,999 kW</v>
      </c>
      <c r="C28" s="78">
        <f t="shared" si="6"/>
        <v>154480034.14473832</v>
      </c>
      <c r="D28" s="79">
        <f t="shared" si="7"/>
        <v>1.0481</v>
      </c>
      <c r="E28" s="85">
        <f t="shared" si="8"/>
        <v>161910523.78710023</v>
      </c>
      <c r="F28" s="86">
        <f t="shared" si="10"/>
        <v>0.10615999999999999</v>
      </c>
      <c r="G28" s="87">
        <f t="shared" si="9"/>
        <v>17188421.205238558</v>
      </c>
    </row>
    <row r="29" spans="2:8" x14ac:dyDescent="0.25">
      <c r="B29" s="77" t="s">
        <v>141</v>
      </c>
      <c r="C29" s="78">
        <f t="shared" si="6"/>
        <v>0</v>
      </c>
      <c r="D29" s="79">
        <f t="shared" si="7"/>
        <v>1.0481</v>
      </c>
      <c r="E29" s="85">
        <f t="shared" ref="E29" si="11">C29*D29</f>
        <v>0</v>
      </c>
      <c r="F29" s="86">
        <f t="shared" si="10"/>
        <v>0.10615999999999999</v>
      </c>
      <c r="G29" s="87">
        <f t="shared" ref="G29" si="12">E29*F29</f>
        <v>0</v>
      </c>
    </row>
    <row r="30" spans="2:8" x14ac:dyDescent="0.25">
      <c r="B30" s="62" t="str">
        <f>B20</f>
        <v>Street Lights</v>
      </c>
      <c r="C30" s="78">
        <f t="shared" si="6"/>
        <v>2329152.5265599997</v>
      </c>
      <c r="D30" s="79">
        <f t="shared" si="7"/>
        <v>1.0481</v>
      </c>
      <c r="E30" s="85">
        <f t="shared" si="8"/>
        <v>2441184.7630875357</v>
      </c>
      <c r="F30" s="86">
        <f t="shared" si="10"/>
        <v>0.10615999999999999</v>
      </c>
      <c r="G30" s="87">
        <f t="shared" si="9"/>
        <v>259156.17444937277</v>
      </c>
    </row>
    <row r="31" spans="2:8" x14ac:dyDescent="0.25">
      <c r="B31" s="62" t="str">
        <f>B21</f>
        <v xml:space="preserve">Unmetered Loads </v>
      </c>
      <c r="C31" s="78">
        <f t="shared" si="6"/>
        <v>0</v>
      </c>
      <c r="D31" s="79">
        <f t="shared" si="7"/>
        <v>1.0481</v>
      </c>
      <c r="E31" s="85">
        <f t="shared" si="8"/>
        <v>0</v>
      </c>
      <c r="F31" s="86">
        <f t="shared" si="10"/>
        <v>0.10615999999999999</v>
      </c>
      <c r="G31" s="87">
        <f t="shared" si="9"/>
        <v>0</v>
      </c>
    </row>
    <row r="32" spans="2:8" x14ac:dyDescent="0.25">
      <c r="B32" s="81" t="s">
        <v>85</v>
      </c>
      <c r="C32" s="82">
        <f>SUM(C26:C31)</f>
        <v>172883576.52435681</v>
      </c>
      <c r="D32" s="83"/>
      <c r="E32" s="82">
        <f>SUM(E26:E31)</f>
        <v>181199276.55517837</v>
      </c>
      <c r="F32" s="88"/>
      <c r="G32" s="89">
        <f>SUM(G26:G31)</f>
        <v>19236115.199097734</v>
      </c>
    </row>
    <row r="34" spans="2:7" x14ac:dyDescent="0.25">
      <c r="B34" s="139" t="s">
        <v>90</v>
      </c>
      <c r="C34" s="140"/>
      <c r="D34" s="141" t="s">
        <v>91</v>
      </c>
      <c r="E34" s="142"/>
      <c r="F34" s="143"/>
      <c r="G34" s="140"/>
    </row>
    <row r="35" spans="2:7" x14ac:dyDescent="0.25">
      <c r="B35" s="138" t="s">
        <v>89</v>
      </c>
      <c r="C35" s="150"/>
      <c r="D35" s="144" t="s">
        <v>92</v>
      </c>
      <c r="E35" s="462">
        <v>2018</v>
      </c>
      <c r="F35" s="463"/>
      <c r="G35" s="464"/>
    </row>
    <row r="36" spans="2:7" x14ac:dyDescent="0.25">
      <c r="B36" s="95" t="str">
        <f>B26</f>
        <v xml:space="preserve">Residential </v>
      </c>
      <c r="C36" s="85"/>
      <c r="D36" s="96" t="s">
        <v>83</v>
      </c>
      <c r="E36" s="85">
        <f>E16+E26</f>
        <v>294675333.54678035</v>
      </c>
      <c r="F36" s="153">
        <v>6.0000000000000001E-3</v>
      </c>
      <c r="G36" s="87">
        <f t="shared" ref="G36:G41" si="13">E36*F36</f>
        <v>1768052.0012806822</v>
      </c>
    </row>
    <row r="37" spans="2:7" x14ac:dyDescent="0.25">
      <c r="B37" s="95" t="str">
        <f>B27</f>
        <v>General Service &lt; 50 kW</v>
      </c>
      <c r="C37" s="85"/>
      <c r="D37" s="96" t="s">
        <v>83</v>
      </c>
      <c r="E37" s="85">
        <f>E17+E27</f>
        <v>94897224.013917714</v>
      </c>
      <c r="F37" s="153">
        <v>5.5999999999999999E-3</v>
      </c>
      <c r="G37" s="87">
        <f t="shared" si="13"/>
        <v>531424.45447793917</v>
      </c>
    </row>
    <row r="38" spans="2:7" x14ac:dyDescent="0.25">
      <c r="B38" s="95" t="str">
        <f>B28</f>
        <v>General Service 50 to 4,999 kW</v>
      </c>
      <c r="C38" s="85"/>
      <c r="D38" s="96" t="s">
        <v>84</v>
      </c>
      <c r="E38" s="85">
        <f>D7</f>
        <v>603193.73069710995</v>
      </c>
      <c r="F38" s="153">
        <v>2.2694000000000001</v>
      </c>
      <c r="G38" s="87">
        <f t="shared" si="13"/>
        <v>1368887.8524440213</v>
      </c>
    </row>
    <row r="39" spans="2:7" x14ac:dyDescent="0.25">
      <c r="B39" s="77" t="s">
        <v>141</v>
      </c>
      <c r="C39" s="78"/>
      <c r="D39" s="96" t="s">
        <v>84</v>
      </c>
      <c r="E39" s="85">
        <f>+D8</f>
        <v>592.51480879014923</v>
      </c>
      <c r="F39" s="153">
        <v>1.7202</v>
      </c>
      <c r="G39" s="87">
        <f t="shared" si="13"/>
        <v>1019.2439740808147</v>
      </c>
    </row>
    <row r="40" spans="2:7" x14ac:dyDescent="0.25">
      <c r="B40" s="95" t="str">
        <f>B30</f>
        <v>Street Lights</v>
      </c>
      <c r="C40" s="85"/>
      <c r="D40" s="96" t="s">
        <v>84</v>
      </c>
      <c r="E40" s="85">
        <f>D9</f>
        <v>7030.1</v>
      </c>
      <c r="F40" s="153">
        <v>1.7116</v>
      </c>
      <c r="G40" s="87">
        <f t="shared" si="13"/>
        <v>12032.719160000001</v>
      </c>
    </row>
    <row r="41" spans="2:7" x14ac:dyDescent="0.25">
      <c r="B41" s="95" t="str">
        <f>B31</f>
        <v xml:space="preserve">Unmetered Loads </v>
      </c>
      <c r="C41" s="85"/>
      <c r="D41" s="96" t="s">
        <v>83</v>
      </c>
      <c r="E41" s="85">
        <f>E31+E21</f>
        <v>990173.02110438759</v>
      </c>
      <c r="F41" s="153">
        <v>5.5999999999999999E-3</v>
      </c>
      <c r="G41" s="87">
        <f t="shared" si="13"/>
        <v>5544.9689181845706</v>
      </c>
    </row>
    <row r="42" spans="2:7" x14ac:dyDescent="0.25">
      <c r="B42" s="81" t="s">
        <v>85</v>
      </c>
      <c r="C42" s="82"/>
      <c r="D42" s="83"/>
      <c r="E42" s="82"/>
      <c r="F42" s="88"/>
      <c r="G42" s="98">
        <f>SUM(G36:G41)</f>
        <v>3686961.2402549083</v>
      </c>
    </row>
    <row r="44" spans="2:7" x14ac:dyDescent="0.25">
      <c r="B44" s="139" t="s">
        <v>93</v>
      </c>
      <c r="C44" s="140"/>
      <c r="D44" s="145" t="s">
        <v>91</v>
      </c>
      <c r="E44" s="142"/>
      <c r="F44" s="143"/>
      <c r="G44" s="140"/>
    </row>
    <row r="45" spans="2:7" x14ac:dyDescent="0.25">
      <c r="B45" s="138" t="s">
        <v>89</v>
      </c>
      <c r="C45" s="150"/>
      <c r="D45" s="146" t="s">
        <v>92</v>
      </c>
      <c r="E45" s="462">
        <v>2018</v>
      </c>
      <c r="F45" s="463"/>
      <c r="G45" s="464"/>
    </row>
    <row r="46" spans="2:7" x14ac:dyDescent="0.25">
      <c r="B46" s="95" t="str">
        <f>B36</f>
        <v xml:space="preserve">Residential </v>
      </c>
      <c r="C46" s="85"/>
      <c r="D46" s="96" t="str">
        <f t="shared" ref="D46:E51" si="14">D36</f>
        <v>kWh</v>
      </c>
      <c r="E46" s="85">
        <f t="shared" si="14"/>
        <v>294675333.54678035</v>
      </c>
      <c r="F46" s="153">
        <v>0</v>
      </c>
      <c r="G46" s="87">
        <f t="shared" ref="G46:G51" si="15">E46*F46</f>
        <v>0</v>
      </c>
    </row>
    <row r="47" spans="2:7" x14ac:dyDescent="0.25">
      <c r="B47" s="95" t="str">
        <f>B37</f>
        <v>General Service &lt; 50 kW</v>
      </c>
      <c r="C47" s="85"/>
      <c r="D47" s="96" t="str">
        <f t="shared" si="14"/>
        <v>kWh</v>
      </c>
      <c r="E47" s="85">
        <f t="shared" si="14"/>
        <v>94897224.013917714</v>
      </c>
      <c r="F47" s="153">
        <v>0</v>
      </c>
      <c r="G47" s="87">
        <f t="shared" si="15"/>
        <v>0</v>
      </c>
    </row>
    <row r="48" spans="2:7" x14ac:dyDescent="0.25">
      <c r="B48" s="95" t="str">
        <f>B38</f>
        <v>General Service 50 to 4,999 kW</v>
      </c>
      <c r="C48" s="85"/>
      <c r="D48" s="96" t="str">
        <f t="shared" si="14"/>
        <v>kW</v>
      </c>
      <c r="E48" s="85">
        <f t="shared" si="14"/>
        <v>603193.73069710995</v>
      </c>
      <c r="F48" s="153">
        <v>0</v>
      </c>
      <c r="G48" s="87">
        <f t="shared" si="15"/>
        <v>0</v>
      </c>
    </row>
    <row r="49" spans="2:7" x14ac:dyDescent="0.25">
      <c r="B49" s="77" t="s">
        <v>141</v>
      </c>
      <c r="C49" s="78"/>
      <c r="D49" s="214" t="str">
        <f t="shared" si="14"/>
        <v>kW</v>
      </c>
      <c r="E49" s="85">
        <f t="shared" si="14"/>
        <v>592.51480879014923</v>
      </c>
      <c r="F49" s="153">
        <v>0</v>
      </c>
      <c r="G49" s="87">
        <f t="shared" si="15"/>
        <v>0</v>
      </c>
    </row>
    <row r="50" spans="2:7" x14ac:dyDescent="0.25">
      <c r="B50" s="95" t="str">
        <f>B40</f>
        <v>Street Lights</v>
      </c>
      <c r="C50" s="85"/>
      <c r="D50" s="96" t="str">
        <f t="shared" si="14"/>
        <v>kW</v>
      </c>
      <c r="E50" s="85">
        <f t="shared" si="14"/>
        <v>7030.1</v>
      </c>
      <c r="F50" s="153">
        <v>0</v>
      </c>
      <c r="G50" s="87">
        <f t="shared" si="15"/>
        <v>0</v>
      </c>
    </row>
    <row r="51" spans="2:7" x14ac:dyDescent="0.25">
      <c r="B51" s="95" t="str">
        <f>B41</f>
        <v xml:space="preserve">Unmetered Loads </v>
      </c>
      <c r="C51" s="85"/>
      <c r="D51" s="96" t="str">
        <f t="shared" si="14"/>
        <v>kWh</v>
      </c>
      <c r="E51" s="85">
        <f t="shared" si="14"/>
        <v>990173.02110438759</v>
      </c>
      <c r="F51" s="153">
        <v>0</v>
      </c>
      <c r="G51" s="87">
        <f t="shared" si="15"/>
        <v>0</v>
      </c>
    </row>
    <row r="52" spans="2:7" x14ac:dyDescent="0.25">
      <c r="B52" s="81" t="s">
        <v>85</v>
      </c>
      <c r="C52" s="82"/>
      <c r="D52" s="83"/>
      <c r="E52" s="82"/>
      <c r="F52" s="88"/>
      <c r="G52" s="98">
        <f>SUM(G46:G51)</f>
        <v>0</v>
      </c>
    </row>
    <row r="54" spans="2:7" x14ac:dyDescent="0.25">
      <c r="B54" s="139" t="s">
        <v>94</v>
      </c>
      <c r="C54" s="140"/>
      <c r="D54" s="145"/>
      <c r="E54" s="142"/>
      <c r="F54" s="143"/>
      <c r="G54" s="140"/>
    </row>
    <row r="55" spans="2:7" x14ac:dyDescent="0.25">
      <c r="B55" s="138" t="s">
        <v>89</v>
      </c>
      <c r="C55" s="150"/>
      <c r="D55" s="146"/>
      <c r="E55" s="462">
        <v>2018</v>
      </c>
      <c r="F55" s="463"/>
      <c r="G55" s="465"/>
    </row>
    <row r="56" spans="2:7" x14ac:dyDescent="0.25">
      <c r="B56" s="95" t="str">
        <f>B46</f>
        <v xml:space="preserve">Residential </v>
      </c>
      <c r="C56" s="85"/>
      <c r="D56" s="96" t="s">
        <v>83</v>
      </c>
      <c r="E56" s="85">
        <f t="shared" ref="E56:E61" si="16">E16+E26</f>
        <v>294675333.54678035</v>
      </c>
      <c r="F56" s="97">
        <v>3.5999999999999999E-3</v>
      </c>
      <c r="G56" s="87">
        <f t="shared" ref="G56:G61" si="17">E56*F56</f>
        <v>1060831.2007684093</v>
      </c>
    </row>
    <row r="57" spans="2:7" x14ac:dyDescent="0.25">
      <c r="B57" s="95" t="str">
        <f>B47</f>
        <v>General Service &lt; 50 kW</v>
      </c>
      <c r="C57" s="85"/>
      <c r="D57" s="96" t="s">
        <v>83</v>
      </c>
      <c r="E57" s="85">
        <f t="shared" si="16"/>
        <v>94897224.013917714</v>
      </c>
      <c r="F57" s="97">
        <v>3.5999999999999999E-3</v>
      </c>
      <c r="G57" s="87">
        <f t="shared" si="17"/>
        <v>341630.00645010377</v>
      </c>
    </row>
    <row r="58" spans="2:7" x14ac:dyDescent="0.25">
      <c r="B58" s="95" t="str">
        <f>B48</f>
        <v>General Service 50 to 4,999 kW</v>
      </c>
      <c r="C58" s="85"/>
      <c r="D58" s="96" t="s">
        <v>83</v>
      </c>
      <c r="E58" s="85">
        <f t="shared" si="16"/>
        <v>251570111.53993198</v>
      </c>
      <c r="F58" s="97">
        <v>3.5999999999999999E-3</v>
      </c>
      <c r="G58" s="87">
        <f t="shared" si="17"/>
        <v>905652.40154375508</v>
      </c>
    </row>
    <row r="59" spans="2:7" x14ac:dyDescent="0.25">
      <c r="B59" s="77" t="s">
        <v>141</v>
      </c>
      <c r="C59" s="78"/>
      <c r="D59" s="96" t="s">
        <v>83</v>
      </c>
      <c r="E59" s="85">
        <f t="shared" si="16"/>
        <v>219891.51729648991</v>
      </c>
      <c r="F59" s="97">
        <v>3.5999999999999999E-3</v>
      </c>
      <c r="G59" s="87">
        <f t="shared" si="17"/>
        <v>791.60946226736371</v>
      </c>
    </row>
    <row r="60" spans="2:7" x14ac:dyDescent="0.25">
      <c r="B60" s="95" t="str">
        <f>B50</f>
        <v>Street Lights</v>
      </c>
      <c r="C60" s="85"/>
      <c r="D60" s="96" t="s">
        <v>83</v>
      </c>
      <c r="E60" s="85">
        <f t="shared" si="16"/>
        <v>2513575.7445299998</v>
      </c>
      <c r="F60" s="97">
        <v>3.5999999999999999E-3</v>
      </c>
      <c r="G60" s="87">
        <f t="shared" si="17"/>
        <v>9048.872680307999</v>
      </c>
    </row>
    <row r="61" spans="2:7" x14ac:dyDescent="0.25">
      <c r="B61" s="95" t="str">
        <f>B51</f>
        <v xml:space="preserve">Unmetered Loads </v>
      </c>
      <c r="C61" s="85"/>
      <c r="D61" s="96" t="s">
        <v>83</v>
      </c>
      <c r="E61" s="85">
        <f t="shared" si="16"/>
        <v>990173.02110438759</v>
      </c>
      <c r="F61" s="97">
        <v>3.5999999999999999E-3</v>
      </c>
      <c r="G61" s="87">
        <f t="shared" si="17"/>
        <v>3564.6228759757951</v>
      </c>
    </row>
    <row r="62" spans="2:7" x14ac:dyDescent="0.25">
      <c r="B62" s="81" t="s">
        <v>85</v>
      </c>
      <c r="C62" s="82"/>
      <c r="D62" s="83"/>
      <c r="E62" s="82">
        <f>SUM(E56:E61)</f>
        <v>644866309.38356078</v>
      </c>
      <c r="F62" s="88"/>
      <c r="G62" s="98">
        <f>SUM(G56:G61)</f>
        <v>2321518.713780819</v>
      </c>
    </row>
    <row r="64" spans="2:7" x14ac:dyDescent="0.25">
      <c r="B64" s="139" t="s">
        <v>95</v>
      </c>
      <c r="C64" s="140"/>
      <c r="D64" s="145"/>
      <c r="E64" s="142"/>
      <c r="F64" s="143"/>
      <c r="G64" s="140"/>
    </row>
    <row r="65" spans="2:7" x14ac:dyDescent="0.25">
      <c r="B65" s="138" t="s">
        <v>89</v>
      </c>
      <c r="C65" s="150"/>
      <c r="D65" s="146"/>
      <c r="E65" s="466">
        <v>2018</v>
      </c>
      <c r="F65" s="463"/>
      <c r="G65" s="464"/>
    </row>
    <row r="66" spans="2:7" x14ac:dyDescent="0.25">
      <c r="B66" s="95" t="str">
        <f>B56</f>
        <v xml:space="preserve">Residential </v>
      </c>
      <c r="C66" s="85"/>
      <c r="D66" s="96" t="str">
        <f t="shared" ref="D66:E71" si="18">D56</f>
        <v>kWh</v>
      </c>
      <c r="E66" s="85">
        <f t="shared" si="18"/>
        <v>294675333.54678035</v>
      </c>
      <c r="F66" s="154">
        <v>2.9999999999999997E-4</v>
      </c>
      <c r="G66" s="87">
        <f t="shared" ref="G66:G71" si="19">E66*F66</f>
        <v>88402.600064034094</v>
      </c>
    </row>
    <row r="67" spans="2:7" x14ac:dyDescent="0.25">
      <c r="B67" s="95" t="str">
        <f>B57</f>
        <v>General Service &lt; 50 kW</v>
      </c>
      <c r="C67" s="85"/>
      <c r="D67" s="96" t="str">
        <f t="shared" si="18"/>
        <v>kWh</v>
      </c>
      <c r="E67" s="85">
        <f t="shared" si="18"/>
        <v>94897224.013917714</v>
      </c>
      <c r="F67" s="154">
        <v>2.9999999999999997E-4</v>
      </c>
      <c r="G67" s="87">
        <f t="shared" si="19"/>
        <v>28469.167204175312</v>
      </c>
    </row>
    <row r="68" spans="2:7" x14ac:dyDescent="0.25">
      <c r="B68" s="95" t="str">
        <f>B58</f>
        <v>General Service 50 to 4,999 kW</v>
      </c>
      <c r="C68" s="85"/>
      <c r="D68" s="96" t="str">
        <f t="shared" si="18"/>
        <v>kWh</v>
      </c>
      <c r="E68" s="85">
        <f t="shared" si="18"/>
        <v>251570111.53993198</v>
      </c>
      <c r="F68" s="154">
        <v>2.9999999999999997E-4</v>
      </c>
      <c r="G68" s="87">
        <f t="shared" si="19"/>
        <v>75471.03346197959</v>
      </c>
    </row>
    <row r="69" spans="2:7" x14ac:dyDescent="0.25">
      <c r="B69" s="77" t="s">
        <v>141</v>
      </c>
      <c r="C69" s="78"/>
      <c r="D69" s="96" t="str">
        <f t="shared" si="18"/>
        <v>kWh</v>
      </c>
      <c r="E69" s="85">
        <f t="shared" si="18"/>
        <v>219891.51729648991</v>
      </c>
      <c r="F69" s="154">
        <v>2.9999999999999997E-4</v>
      </c>
      <c r="G69" s="87">
        <f t="shared" si="19"/>
        <v>65.967455188946971</v>
      </c>
    </row>
    <row r="70" spans="2:7" x14ac:dyDescent="0.25">
      <c r="B70" s="95" t="str">
        <f>B60</f>
        <v>Street Lights</v>
      </c>
      <c r="C70" s="85"/>
      <c r="D70" s="96" t="str">
        <f t="shared" si="18"/>
        <v>kWh</v>
      </c>
      <c r="E70" s="85">
        <f t="shared" si="18"/>
        <v>2513575.7445299998</v>
      </c>
      <c r="F70" s="154">
        <v>2.9999999999999997E-4</v>
      </c>
      <c r="G70" s="87">
        <f t="shared" si="19"/>
        <v>754.07272335899984</v>
      </c>
    </row>
    <row r="71" spans="2:7" x14ac:dyDescent="0.25">
      <c r="B71" s="95" t="str">
        <f>B61</f>
        <v xml:space="preserve">Unmetered Loads </v>
      </c>
      <c r="C71" s="85"/>
      <c r="D71" s="96" t="str">
        <f t="shared" si="18"/>
        <v>kWh</v>
      </c>
      <c r="E71" s="85">
        <f t="shared" si="18"/>
        <v>990173.02110438759</v>
      </c>
      <c r="F71" s="154">
        <v>2.9999999999999997E-4</v>
      </c>
      <c r="G71" s="87">
        <f t="shared" si="19"/>
        <v>297.05190633131627</v>
      </c>
    </row>
    <row r="72" spans="2:7" x14ac:dyDescent="0.25">
      <c r="B72" s="81" t="s">
        <v>85</v>
      </c>
      <c r="C72" s="82"/>
      <c r="D72" s="83"/>
      <c r="E72" s="82">
        <f>SUM(E66:E71)</f>
        <v>644866309.38356078</v>
      </c>
      <c r="F72" s="88"/>
      <c r="G72" s="98">
        <f>SUM(G66:G71)</f>
        <v>193459.89281506825</v>
      </c>
    </row>
    <row r="74" spans="2:7" x14ac:dyDescent="0.25">
      <c r="B74" s="139" t="s">
        <v>182</v>
      </c>
      <c r="C74" s="142"/>
      <c r="D74" s="460">
        <v>2018</v>
      </c>
      <c r="E74" s="461"/>
    </row>
    <row r="75" spans="2:7" x14ac:dyDescent="0.25">
      <c r="B75" s="138" t="s">
        <v>89</v>
      </c>
      <c r="C75" s="207" t="s">
        <v>183</v>
      </c>
      <c r="D75" s="463"/>
      <c r="E75" s="464"/>
    </row>
    <row r="76" spans="2:7" x14ac:dyDescent="0.25">
      <c r="B76" s="95" t="str">
        <f>B66</f>
        <v xml:space="preserve">Residential </v>
      </c>
      <c r="C76" s="85">
        <f>+'Rate Class Customer Model'!B19</f>
        <v>29815.501606131944</v>
      </c>
      <c r="D76" s="154">
        <v>0.56999999999999995</v>
      </c>
      <c r="E76" s="87">
        <f t="shared" ref="E76:E81" si="20">C76*D76</f>
        <v>16994.835915495205</v>
      </c>
    </row>
    <row r="77" spans="2:7" x14ac:dyDescent="0.25">
      <c r="B77" s="95" t="str">
        <f>B67</f>
        <v>General Service &lt; 50 kW</v>
      </c>
      <c r="C77" s="85">
        <f>+'Rate Class Customer Model'!C19</f>
        <v>3430.7641919188468</v>
      </c>
      <c r="D77" s="154">
        <v>0.56999999999999995</v>
      </c>
      <c r="E77" s="87">
        <f t="shared" si="20"/>
        <v>1955.5355893937426</v>
      </c>
    </row>
    <row r="78" spans="2:7" x14ac:dyDescent="0.25">
      <c r="B78" s="95" t="str">
        <f>B68</f>
        <v>General Service 50 to 4,999 kW</v>
      </c>
      <c r="C78" s="85"/>
      <c r="D78" s="154"/>
      <c r="E78" s="87">
        <f t="shared" si="20"/>
        <v>0</v>
      </c>
    </row>
    <row r="79" spans="2:7" x14ac:dyDescent="0.25">
      <c r="B79" s="77" t="s">
        <v>141</v>
      </c>
      <c r="C79" s="85"/>
      <c r="D79" s="154"/>
      <c r="E79" s="87">
        <f t="shared" si="20"/>
        <v>0</v>
      </c>
    </row>
    <row r="80" spans="2:7" x14ac:dyDescent="0.25">
      <c r="B80" s="95" t="str">
        <f>B70</f>
        <v>Street Lights</v>
      </c>
      <c r="C80" s="85"/>
      <c r="D80" s="154"/>
      <c r="E80" s="87">
        <f t="shared" si="20"/>
        <v>0</v>
      </c>
    </row>
    <row r="81" spans="2:5" x14ac:dyDescent="0.25">
      <c r="B81" s="95" t="str">
        <f>B71</f>
        <v xml:space="preserve">Unmetered Loads </v>
      </c>
      <c r="C81" s="85"/>
      <c r="D81" s="154"/>
      <c r="E81" s="87">
        <f t="shared" si="20"/>
        <v>0</v>
      </c>
    </row>
    <row r="82" spans="2:5" x14ac:dyDescent="0.25">
      <c r="B82" s="81" t="s">
        <v>85</v>
      </c>
      <c r="C82" s="82">
        <f>SUM(C76:C81)</f>
        <v>33246.265798050794</v>
      </c>
      <c r="D82" s="88"/>
      <c r="E82" s="98">
        <f>SUM(E76:E81)</f>
        <v>18950.371504888946</v>
      </c>
    </row>
    <row r="85" spans="2:5" x14ac:dyDescent="0.25">
      <c r="B85" s="147"/>
      <c r="C85" s="148">
        <v>2018</v>
      </c>
    </row>
    <row r="86" spans="2:5" x14ac:dyDescent="0.25">
      <c r="B86" s="60"/>
      <c r="C86" s="99"/>
    </row>
    <row r="87" spans="2:5" x14ac:dyDescent="0.25">
      <c r="B87" s="58" t="s">
        <v>96</v>
      </c>
      <c r="C87" s="100">
        <f>G22+G32</f>
        <v>69817551.810345992</v>
      </c>
    </row>
    <row r="88" spans="2:5" x14ac:dyDescent="0.25">
      <c r="B88" s="58" t="s">
        <v>97</v>
      </c>
      <c r="C88" s="101">
        <f>G62</f>
        <v>2321518.713780819</v>
      </c>
    </row>
    <row r="89" spans="2:5" x14ac:dyDescent="0.25">
      <c r="B89" s="58" t="s">
        <v>98</v>
      </c>
      <c r="C89" s="101">
        <f>G42</f>
        <v>3686961.2402549083</v>
      </c>
    </row>
    <row r="90" spans="2:5" x14ac:dyDescent="0.25">
      <c r="B90" s="58" t="s">
        <v>99</v>
      </c>
      <c r="C90" s="100">
        <f>G52</f>
        <v>0</v>
      </c>
    </row>
    <row r="91" spans="2:5" x14ac:dyDescent="0.25">
      <c r="B91" s="58" t="s">
        <v>100</v>
      </c>
      <c r="C91" s="100">
        <f>G72</f>
        <v>193459.89281506825</v>
      </c>
    </row>
    <row r="92" spans="2:5" x14ac:dyDescent="0.25">
      <c r="B92" s="58" t="s">
        <v>101</v>
      </c>
      <c r="C92" s="100"/>
    </row>
    <row r="93" spans="2:5" x14ac:dyDescent="0.25">
      <c r="B93" s="149" t="s">
        <v>132</v>
      </c>
      <c r="C93" s="100">
        <f>+E82</f>
        <v>18950.371504888946</v>
      </c>
    </row>
    <row r="94" spans="2:5" x14ac:dyDescent="0.25">
      <c r="B94" s="65" t="s">
        <v>85</v>
      </c>
      <c r="C94" s="215">
        <f>SUM(C87:C93)</f>
        <v>76038442.028701678</v>
      </c>
    </row>
    <row r="95" spans="2:5" x14ac:dyDescent="0.25">
      <c r="C95" s="32"/>
    </row>
    <row r="96" spans="2:5" x14ac:dyDescent="0.25">
      <c r="C96" s="54"/>
    </row>
    <row r="98" spans="3:3" x14ac:dyDescent="0.25">
      <c r="C98" s="229"/>
    </row>
  </sheetData>
  <mergeCells count="12">
    <mergeCell ref="D74:E75"/>
    <mergeCell ref="E35:G35"/>
    <mergeCell ref="E45:G45"/>
    <mergeCell ref="E55:G55"/>
    <mergeCell ref="E65:G65"/>
    <mergeCell ref="B3:E3"/>
    <mergeCell ref="C14:C15"/>
    <mergeCell ref="D14:D15"/>
    <mergeCell ref="E14:G15"/>
    <mergeCell ref="C24:C25"/>
    <mergeCell ref="D24:D25"/>
    <mergeCell ref="E24:G25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tabSelected="1" zoomScaleNormal="100" workbookViewId="0">
      <pane xSplit="1" ySplit="3" topLeftCell="H40" activePane="bottomRight" state="frozen"/>
      <selection pane="topRight" activeCell="B1" sqref="B1"/>
      <selection pane="bottomLeft" activeCell="A4" sqref="A4"/>
      <selection pane="bottomRight" activeCell="Q46" sqref="Q46"/>
    </sheetView>
  </sheetViews>
  <sheetFormatPr defaultRowHeight="13.2" x14ac:dyDescent="0.25"/>
  <cols>
    <col min="1" max="1" width="31.88671875" customWidth="1"/>
    <col min="2" max="2" width="13.109375" style="1" customWidth="1"/>
    <col min="3" max="3" width="13" style="1" customWidth="1"/>
    <col min="4" max="4" width="12.5546875" style="1" customWidth="1"/>
    <col min="5" max="5" width="14.109375" style="1" bestFit="1" customWidth="1"/>
    <col min="6" max="6" width="13.5546875" style="1" customWidth="1"/>
    <col min="7" max="7" width="12.6640625" style="1" customWidth="1"/>
    <col min="8" max="8" width="13" style="1" customWidth="1"/>
    <col min="9" max="9" width="14.33203125" style="1" bestFit="1" customWidth="1"/>
    <col min="10" max="10" width="12.88671875" style="68" customWidth="1"/>
    <col min="11" max="11" width="14" style="69" bestFit="1" customWidth="1"/>
    <col min="12" max="12" width="14" bestFit="1" customWidth="1"/>
    <col min="13" max="15" width="12.6640625" style="32" bestFit="1" customWidth="1"/>
    <col min="16" max="16" width="12.6640625" style="32" customWidth="1"/>
    <col min="17" max="17" width="15.109375" style="32" bestFit="1" customWidth="1"/>
    <col min="18" max="18" width="13.33203125" hidden="1" customWidth="1"/>
    <col min="19" max="19" width="15" style="54" hidden="1" customWidth="1"/>
    <col min="20" max="20" width="12.109375" customWidth="1"/>
  </cols>
  <sheetData>
    <row r="1" spans="1:19" ht="15.6" x14ac:dyDescent="0.3">
      <c r="A1" s="175" t="s">
        <v>322</v>
      </c>
      <c r="J1" s="23"/>
      <c r="K1" s="32"/>
    </row>
    <row r="2" spans="1:19" x14ac:dyDescent="0.25">
      <c r="J2" s="23"/>
      <c r="K2" s="32"/>
    </row>
    <row r="3" spans="1:19" ht="54" customHeight="1" x14ac:dyDescent="0.25">
      <c r="B3" s="46" t="s">
        <v>53</v>
      </c>
      <c r="C3" s="46" t="s">
        <v>54</v>
      </c>
      <c r="D3" s="46" t="s">
        <v>55</v>
      </c>
      <c r="E3" s="46" t="s">
        <v>56</v>
      </c>
      <c r="F3" s="46" t="s">
        <v>57</v>
      </c>
      <c r="G3" s="46" t="s">
        <v>106</v>
      </c>
      <c r="H3" s="46" t="s">
        <v>109</v>
      </c>
      <c r="I3" s="46" t="s">
        <v>107</v>
      </c>
      <c r="J3" s="46" t="s">
        <v>108</v>
      </c>
      <c r="K3" s="46" t="s">
        <v>110</v>
      </c>
      <c r="L3" s="46" t="s">
        <v>134</v>
      </c>
      <c r="M3" s="46" t="s">
        <v>135</v>
      </c>
      <c r="N3" s="108" t="s">
        <v>174</v>
      </c>
      <c r="O3" s="108" t="s">
        <v>175</v>
      </c>
      <c r="P3" s="108" t="s">
        <v>321</v>
      </c>
      <c r="Q3" s="206" t="s">
        <v>176</v>
      </c>
      <c r="R3" s="108" t="s">
        <v>177</v>
      </c>
      <c r="S3" s="209" t="s">
        <v>178</v>
      </c>
    </row>
    <row r="4" spans="1:19" ht="54" customHeight="1" x14ac:dyDescent="0.25">
      <c r="A4" s="18" t="s">
        <v>60</v>
      </c>
      <c r="B4" s="29">
        <f>'Purchased Power Model'!B200</f>
        <v>755126020</v>
      </c>
      <c r="C4" s="6">
        <f>'Purchased Power Model'!B201</f>
        <v>757685752</v>
      </c>
      <c r="D4" s="29">
        <f>'Purchased Power Model'!B202</f>
        <v>749219032</v>
      </c>
      <c r="E4" s="29">
        <f>'Purchased Power Model'!B203</f>
        <v>728093333</v>
      </c>
      <c r="F4" s="29">
        <f>'Purchased Power Model'!B204</f>
        <v>738093576</v>
      </c>
      <c r="G4" s="29">
        <f>'Purchased Power Model'!B205</f>
        <v>740966486</v>
      </c>
      <c r="H4" s="29">
        <f>'Purchased Power Model'!B206</f>
        <v>732869984</v>
      </c>
      <c r="I4" s="29">
        <f>'Purchased Power Model'!B207</f>
        <v>714199062</v>
      </c>
      <c r="J4" s="70">
        <f>'Purchased Power Model'!B208</f>
        <v>745049194</v>
      </c>
      <c r="K4" s="27">
        <f>'Purchased Power Model'!B209</f>
        <v>706953513</v>
      </c>
      <c r="L4" s="6">
        <f>'Purchased Power Model'!B210</f>
        <v>730568311</v>
      </c>
      <c r="M4" s="27">
        <f>'Purchased Power Model'!B211</f>
        <v>730490284.99000001</v>
      </c>
      <c r="N4" s="199">
        <f>'Purchased Power Model'!B212</f>
        <v>698517377.1099999</v>
      </c>
      <c r="O4" s="199">
        <f>'Purchased Power Model'!B213</f>
        <v>669958461.73000014</v>
      </c>
      <c r="P4" s="199">
        <f>'Purchased Power Model'!B214</f>
        <v>652970473</v>
      </c>
      <c r="Q4" s="199"/>
    </row>
    <row r="5" spans="1:19" x14ac:dyDescent="0.25">
      <c r="A5" s="18" t="s">
        <v>61</v>
      </c>
      <c r="B5" s="29">
        <f>'Purchased Power Model'!M200</f>
        <v>755606395.31945324</v>
      </c>
      <c r="C5" s="29">
        <f>'Purchased Power Model'!M201</f>
        <v>753123367.54559541</v>
      </c>
      <c r="D5" s="29">
        <f>'Purchased Power Model'!M202</f>
        <v>750481142.50597298</v>
      </c>
      <c r="E5" s="29">
        <f>'Purchased Power Model'!M203</f>
        <v>729078576.82526612</v>
      </c>
      <c r="F5" s="29">
        <f>'Purchased Power Model'!M204</f>
        <v>734873049.45721519</v>
      </c>
      <c r="G5" s="29">
        <f>'Purchased Power Model'!M205</f>
        <v>741457853.42233407</v>
      </c>
      <c r="H5" s="29">
        <f>'Purchased Power Model'!M206</f>
        <v>738417077.78610682</v>
      </c>
      <c r="I5" s="29">
        <f>'Purchased Power Model'!M207</f>
        <v>729090573.03183043</v>
      </c>
      <c r="J5" s="70">
        <f>'Purchased Power Model'!M208</f>
        <v>734157347.45087898</v>
      </c>
      <c r="K5" s="70">
        <f>'Purchased Power Model'!M209</f>
        <v>694701033.39093661</v>
      </c>
      <c r="L5" s="6">
        <f>'Purchased Power Model'!M210</f>
        <v>714650129.51209605</v>
      </c>
      <c r="M5" s="27">
        <f>'Purchased Power Model'!M211</f>
        <v>738289357.05702746</v>
      </c>
      <c r="N5" s="27">
        <f>'Purchased Power Model'!M212</f>
        <v>712983673.07175934</v>
      </c>
      <c r="O5" s="27">
        <f>'Purchased Power Model'!M213</f>
        <v>672893773.87281346</v>
      </c>
      <c r="P5" s="199">
        <f>'Purchased Power Model'!M214</f>
        <v>650957509.5807122</v>
      </c>
      <c r="Q5" s="199">
        <f>'Purchased Power Model'!M215</f>
        <v>646080810.26982498</v>
      </c>
    </row>
    <row r="6" spans="1:19" x14ac:dyDescent="0.25">
      <c r="A6" s="18" t="s">
        <v>11</v>
      </c>
      <c r="B6" s="45">
        <f t="shared" ref="B6:P6" si="0">(B5-B4)/B4</f>
        <v>6.3615251856006692E-4</v>
      </c>
      <c r="C6" s="45">
        <f t="shared" si="0"/>
        <v>-6.021473206222561E-3</v>
      </c>
      <c r="D6" s="45">
        <f t="shared" si="0"/>
        <v>1.684568133038272E-3</v>
      </c>
      <c r="E6" s="45">
        <f t="shared" si="0"/>
        <v>1.3531834184040286E-3</v>
      </c>
      <c r="F6" s="45">
        <f t="shared" si="0"/>
        <v>-4.3633038513057184E-3</v>
      </c>
      <c r="G6" s="45">
        <f t="shared" si="0"/>
        <v>6.6314392299529048E-4</v>
      </c>
      <c r="H6" s="45">
        <f t="shared" si="0"/>
        <v>7.5690011969528617E-3</v>
      </c>
      <c r="I6" s="45">
        <f t="shared" si="0"/>
        <v>2.085064490301785E-2</v>
      </c>
      <c r="J6" s="109">
        <f t="shared" si="0"/>
        <v>-1.4618962931353795E-2</v>
      </c>
      <c r="K6" s="109">
        <f t="shared" si="0"/>
        <v>-1.7331379480765643E-2</v>
      </c>
      <c r="L6" s="45">
        <f t="shared" si="0"/>
        <v>-2.1788765332724586E-2</v>
      </c>
      <c r="M6" s="109">
        <f t="shared" si="0"/>
        <v>1.0676489786765903E-2</v>
      </c>
      <c r="N6" s="109">
        <f t="shared" si="0"/>
        <v>2.0710001548725036E-2</v>
      </c>
      <c r="O6" s="109">
        <f t="shared" si="0"/>
        <v>4.3813345311493126E-3</v>
      </c>
      <c r="P6" s="109">
        <f t="shared" si="0"/>
        <v>-3.0827786286253722E-3</v>
      </c>
      <c r="Q6" s="161"/>
    </row>
    <row r="7" spans="1:19" x14ac:dyDescent="0.25">
      <c r="A7" s="18" t="s">
        <v>111</v>
      </c>
      <c r="B7" s="45"/>
      <c r="C7" s="45"/>
      <c r="D7" s="45"/>
      <c r="E7" s="45"/>
      <c r="F7" s="45"/>
      <c r="G7" s="45"/>
      <c r="H7" s="45"/>
      <c r="I7" s="45"/>
      <c r="J7" s="109"/>
      <c r="K7" s="109"/>
      <c r="L7" s="45"/>
      <c r="M7" s="109"/>
      <c r="N7" s="115"/>
      <c r="O7" s="115"/>
      <c r="P7" s="115"/>
      <c r="Q7" s="115">
        <f>-'Rate Class Energy Model'!G85*'Rate Class Energy Model'!$F$29</f>
        <v>-2429729.6716977456</v>
      </c>
    </row>
    <row r="8" spans="1:19" x14ac:dyDescent="0.25">
      <c r="A8" s="18" t="s">
        <v>112</v>
      </c>
      <c r="B8" s="45"/>
      <c r="C8" s="45"/>
      <c r="D8" s="45"/>
      <c r="E8" s="45"/>
      <c r="F8" s="45"/>
      <c r="G8" s="45"/>
      <c r="H8" s="45"/>
      <c r="I8" s="45"/>
      <c r="J8" s="109"/>
      <c r="K8" s="109"/>
      <c r="L8" s="45"/>
      <c r="M8" s="109"/>
      <c r="N8" s="27"/>
      <c r="O8" s="27"/>
      <c r="P8" s="199"/>
      <c r="Q8" s="199">
        <f>Q5+Q7</f>
        <v>643651080.59812725</v>
      </c>
    </row>
    <row r="9" spans="1:19" x14ac:dyDescent="0.25">
      <c r="A9" s="18"/>
      <c r="B9" s="42"/>
      <c r="C9" s="42"/>
      <c r="D9" s="42"/>
      <c r="E9" s="42"/>
      <c r="F9" s="42"/>
      <c r="G9" s="42"/>
      <c r="H9" s="42"/>
      <c r="I9" s="42"/>
      <c r="J9" s="71"/>
      <c r="K9" s="32"/>
      <c r="L9" s="1"/>
      <c r="M9" s="23"/>
      <c r="N9" s="23"/>
      <c r="O9" s="23"/>
      <c r="P9" s="161"/>
      <c r="Q9" s="161"/>
    </row>
    <row r="10" spans="1:19" x14ac:dyDescent="0.25">
      <c r="A10" s="18" t="s">
        <v>113</v>
      </c>
      <c r="B10" s="29">
        <f>'Rate Class Energy Model'!G12</f>
        <v>719286098</v>
      </c>
      <c r="C10" s="29">
        <f>'Rate Class Energy Model'!G13</f>
        <v>727308120</v>
      </c>
      <c r="D10" s="29">
        <f>'Rate Class Energy Model'!G14</f>
        <v>717783995</v>
      </c>
      <c r="E10" s="29">
        <f>'Rate Class Energy Model'!G15</f>
        <v>697140805</v>
      </c>
      <c r="F10" s="29">
        <f>'Rate Class Energy Model'!G16</f>
        <v>701800772</v>
      </c>
      <c r="G10" s="29">
        <f>'Rate Class Energy Model'!G17</f>
        <v>710698626</v>
      </c>
      <c r="H10" s="29">
        <f>'Rate Class Energy Model'!G18</f>
        <v>707756700</v>
      </c>
      <c r="I10" s="29">
        <f>'Rate Class Energy Model'!G19</f>
        <v>683757862</v>
      </c>
      <c r="J10" s="70">
        <f>'Rate Class Energy Model'!G20</f>
        <v>711929017</v>
      </c>
      <c r="K10" s="116">
        <f>'Rate Class Energy Model'!G21</f>
        <v>676765709</v>
      </c>
      <c r="L10" s="6">
        <f>'Rate Class Energy Model'!G22</f>
        <v>688244167</v>
      </c>
      <c r="M10" s="27">
        <f>'Rate Class Energy Model'!G23</f>
        <v>701843127</v>
      </c>
      <c r="N10" s="199">
        <f>'Rate Class Energy Model'!G24</f>
        <v>669387526</v>
      </c>
      <c r="O10" s="199">
        <f>'Rate Class Energy Model'!G25</f>
        <v>636876243.92999995</v>
      </c>
      <c r="P10" s="199">
        <f>'Rate Class Energy Model'!G26</f>
        <v>622542513.29999995</v>
      </c>
      <c r="Q10" s="199">
        <f>'Rate Class Energy Model'!G27-'Rate Class Energy Model'!G85</f>
        <v>615271738.74970031</v>
      </c>
    </row>
    <row r="11" spans="1:19" x14ac:dyDescent="0.25">
      <c r="A11" s="18"/>
      <c r="B11" s="42"/>
      <c r="C11" s="42"/>
      <c r="D11" s="42"/>
      <c r="E11" s="42"/>
      <c r="F11" s="42"/>
      <c r="G11" s="42"/>
      <c r="H11" s="42"/>
      <c r="I11" s="42"/>
      <c r="J11" s="23"/>
      <c r="K11" s="32"/>
      <c r="L11" s="1"/>
      <c r="M11" s="110"/>
      <c r="N11" s="23"/>
      <c r="P11" s="161"/>
      <c r="Q11" s="161"/>
    </row>
    <row r="12" spans="1:19" ht="15.6" x14ac:dyDescent="0.3">
      <c r="A12" s="44" t="s">
        <v>62</v>
      </c>
      <c r="J12" s="23"/>
      <c r="K12" s="32"/>
      <c r="L12" s="1"/>
      <c r="M12" s="23"/>
      <c r="N12" s="23"/>
      <c r="O12" s="23"/>
      <c r="P12" s="161"/>
      <c r="Q12" s="161"/>
    </row>
    <row r="13" spans="1:19" x14ac:dyDescent="0.25">
      <c r="A13" s="43" t="str">
        <f>'Rate Class Energy Model'!H2</f>
        <v>Residential</v>
      </c>
      <c r="J13" s="23"/>
      <c r="K13" s="32"/>
      <c r="L13" s="1"/>
      <c r="M13" s="23"/>
      <c r="N13" s="23"/>
      <c r="O13" s="23"/>
      <c r="P13" s="161"/>
      <c r="Q13" s="161"/>
    </row>
    <row r="14" spans="1:19" x14ac:dyDescent="0.25">
      <c r="A14" t="s">
        <v>50</v>
      </c>
      <c r="B14" s="6">
        <f>'Rate Class Customer Model'!B4</f>
        <v>28544</v>
      </c>
      <c r="C14" s="6">
        <f>'Rate Class Customer Model'!B5</f>
        <v>28560</v>
      </c>
      <c r="D14" s="6">
        <f>'Rate Class Customer Model'!B6</f>
        <v>28576</v>
      </c>
      <c r="E14" s="6">
        <f>'Rate Class Customer Model'!B7</f>
        <v>28596</v>
      </c>
      <c r="F14" s="6">
        <f>'Rate Class Customer Model'!B8</f>
        <v>28630</v>
      </c>
      <c r="G14" s="6">
        <f>'Rate Class Customer Model'!B9</f>
        <v>28780</v>
      </c>
      <c r="H14" s="6">
        <f>'Rate Class Customer Model'!B10</f>
        <v>28971</v>
      </c>
      <c r="I14" s="6">
        <f>'Rate Class Customer Model'!B11</f>
        <v>29057</v>
      </c>
      <c r="J14" s="27">
        <f>'Rate Class Customer Model'!B12</f>
        <v>29124</v>
      </c>
      <c r="K14" s="27">
        <f>'Rate Class Customer Model'!B13</f>
        <v>29327</v>
      </c>
      <c r="L14" s="6">
        <f>'Rate Class Customer Model'!B14</f>
        <v>29504</v>
      </c>
      <c r="M14" s="27">
        <f>'Rate Class Customer Model'!B15</f>
        <v>29514</v>
      </c>
      <c r="N14" s="27">
        <f>'Rate Class Customer Model'!B16</f>
        <v>29566</v>
      </c>
      <c r="O14" s="27">
        <f>'Rate Class Customer Model'!B17</f>
        <v>29620</v>
      </c>
      <c r="P14" s="199">
        <f>'Rate Class Customer Model'!B18</f>
        <v>29729</v>
      </c>
      <c r="Q14" s="199">
        <f>'Rate Class Customer Model'!B19</f>
        <v>29815.501606131944</v>
      </c>
      <c r="R14">
        <v>16.79</v>
      </c>
      <c r="S14" s="54">
        <f>+Q14*R14*12</f>
        <v>6007227.2636034638</v>
      </c>
    </row>
    <row r="15" spans="1:19" x14ac:dyDescent="0.25">
      <c r="A15" t="s">
        <v>51</v>
      </c>
      <c r="B15" s="6">
        <f>'Rate Class Energy Model'!H12</f>
        <v>351037890</v>
      </c>
      <c r="C15" s="6">
        <f>'Rate Class Energy Model'!H13</f>
        <v>356490492</v>
      </c>
      <c r="D15" s="6">
        <f>'Rate Class Energy Model'!H14</f>
        <v>347274259</v>
      </c>
      <c r="E15" s="6">
        <f>'Rate Class Energy Model'!H15</f>
        <v>335395539</v>
      </c>
      <c r="F15" s="6">
        <f>'Rate Class Energy Model'!H16</f>
        <v>338874337</v>
      </c>
      <c r="G15" s="6">
        <f>'Rate Class Energy Model'!H17</f>
        <v>347363230</v>
      </c>
      <c r="H15" s="6">
        <f>'Rate Class Energy Model'!H18</f>
        <v>348619359</v>
      </c>
      <c r="I15" s="6">
        <f>'Rate Class Energy Model'!H19</f>
        <v>326493714</v>
      </c>
      <c r="J15" s="27">
        <f>'Rate Class Energy Model'!H20</f>
        <v>345282279</v>
      </c>
      <c r="K15" s="27">
        <f>'Rate Class Energy Model'!H21</f>
        <v>316127645</v>
      </c>
      <c r="L15" s="55">
        <f>'Rate Class Energy Model'!H22</f>
        <v>324185392</v>
      </c>
      <c r="M15" s="27">
        <f>'Rate Class Energy Model'!H23</f>
        <v>334950383</v>
      </c>
      <c r="N15" s="199">
        <f>'Rate Class Energy Model'!H24</f>
        <v>310458240</v>
      </c>
      <c r="O15" s="199">
        <f>'Rate Class Energy Model'!H25</f>
        <v>288746486.39999998</v>
      </c>
      <c r="P15" s="199">
        <f>'Rate Class Energy Model'!H26</f>
        <v>282820546.89999998</v>
      </c>
      <c r="Q15" s="199">
        <f>'Rate Class Energy Model'!H76</f>
        <v>281151925.91048598</v>
      </c>
      <c r="R15">
        <v>1.04E-2</v>
      </c>
      <c r="S15" s="210">
        <f>+Q15*R15</f>
        <v>2923980.0294690542</v>
      </c>
    </row>
    <row r="16" spans="1:19" x14ac:dyDescent="0.25">
      <c r="J16" s="23"/>
      <c r="K16" s="32"/>
      <c r="L16" s="55"/>
      <c r="M16" s="23"/>
      <c r="N16" s="23"/>
      <c r="P16" s="161"/>
      <c r="Q16" s="161"/>
      <c r="S16" s="54">
        <f>SUM(S14:S15)</f>
        <v>8931207.293072518</v>
      </c>
    </row>
    <row r="17" spans="1:20" x14ac:dyDescent="0.25">
      <c r="A17" s="43" t="str">
        <f>'Rate Class Energy Model'!I2</f>
        <v>General Service &lt;50 kW</v>
      </c>
      <c r="J17" s="23"/>
      <c r="K17" s="32"/>
      <c r="L17" s="74"/>
      <c r="M17" s="23"/>
      <c r="N17" s="23"/>
      <c r="O17" s="23"/>
      <c r="P17" s="161"/>
      <c r="Q17" s="161"/>
    </row>
    <row r="18" spans="1:20" x14ac:dyDescent="0.25">
      <c r="A18" t="s">
        <v>50</v>
      </c>
      <c r="B18" s="6">
        <f>'Rate Class Customer Model'!C4</f>
        <v>3230</v>
      </c>
      <c r="C18" s="6">
        <f>'Rate Class Customer Model'!C5</f>
        <v>3247</v>
      </c>
      <c r="D18" s="6">
        <f>'Rate Class Customer Model'!C6</f>
        <v>3274</v>
      </c>
      <c r="E18" s="6">
        <f>'Rate Class Customer Model'!C7</f>
        <v>3301</v>
      </c>
      <c r="F18" s="6">
        <f>'Rate Class Customer Model'!C8</f>
        <v>3302</v>
      </c>
      <c r="G18" s="6">
        <f>'Rate Class Customer Model'!C9</f>
        <v>3325</v>
      </c>
      <c r="H18" s="6">
        <f>'Rate Class Customer Model'!C10</f>
        <v>3352</v>
      </c>
      <c r="I18" s="6">
        <f>'Rate Class Customer Model'!C11</f>
        <v>3345</v>
      </c>
      <c r="J18" s="27">
        <f>'Rate Class Customer Model'!C12</f>
        <v>3366</v>
      </c>
      <c r="K18" s="27">
        <f>'Rate Class Customer Model'!C13</f>
        <v>3448</v>
      </c>
      <c r="L18" s="6">
        <f>'Rate Class Customer Model'!C14</f>
        <v>3474</v>
      </c>
      <c r="M18" s="27">
        <f>'Rate Class Customer Model'!C15</f>
        <v>3464</v>
      </c>
      <c r="N18" s="27">
        <f>'Rate Class Customer Model'!C16</f>
        <v>3431</v>
      </c>
      <c r="O18" s="27">
        <f>'Rate Class Customer Model'!C17</f>
        <v>3414</v>
      </c>
      <c r="P18" s="199">
        <f>'Rate Class Customer Model'!C18</f>
        <v>3417</v>
      </c>
      <c r="Q18" s="199">
        <f>'Rate Class Customer Model'!C19</f>
        <v>3430.7641919188468</v>
      </c>
      <c r="R18">
        <v>17.11</v>
      </c>
      <c r="S18" s="54">
        <f>+Q18*R18*12</f>
        <v>704404.50388477766</v>
      </c>
    </row>
    <row r="19" spans="1:20" x14ac:dyDescent="0.25">
      <c r="A19" t="s">
        <v>51</v>
      </c>
      <c r="B19" s="6">
        <f>'Rate Class Energy Model'!I12</f>
        <v>96164282</v>
      </c>
      <c r="C19" s="6">
        <f>'Rate Class Energy Model'!I13</f>
        <v>95721847</v>
      </c>
      <c r="D19" s="6">
        <f>'Rate Class Energy Model'!I14</f>
        <v>95591622</v>
      </c>
      <c r="E19" s="6">
        <f>'Rate Class Energy Model'!I15</f>
        <v>86770873</v>
      </c>
      <c r="F19" s="6">
        <f>'Rate Class Energy Model'!I16</f>
        <v>94225468</v>
      </c>
      <c r="G19" s="6">
        <f>'Rate Class Energy Model'!I17</f>
        <v>93474158</v>
      </c>
      <c r="H19" s="6">
        <f>'Rate Class Energy Model'!I18</f>
        <v>91450221</v>
      </c>
      <c r="I19" s="6">
        <f>'Rate Class Energy Model'!I19</f>
        <v>91377364</v>
      </c>
      <c r="J19" s="27">
        <f>'Rate Class Energy Model'!I20</f>
        <v>101728299</v>
      </c>
      <c r="K19" s="27">
        <f>'Rate Class Energy Model'!I21</f>
        <v>97479014</v>
      </c>
      <c r="L19" s="6">
        <f>'Rate Class Energy Model'!I22</f>
        <v>95827695</v>
      </c>
      <c r="M19" s="27">
        <f>'Rate Class Energy Model'!I23</f>
        <v>99153426</v>
      </c>
      <c r="N19" s="199">
        <f>'Rate Class Energy Model'!I24</f>
        <v>95701162</v>
      </c>
      <c r="O19" s="199">
        <f>'Rate Class Energy Model'!I25</f>
        <v>92174996</v>
      </c>
      <c r="P19" s="199">
        <f>'Rate Class Energy Model'!I26</f>
        <v>91035995.200000003</v>
      </c>
      <c r="Q19" s="199">
        <f>'Rate Class Energy Model'!I76</f>
        <v>90542146.755002111</v>
      </c>
      <c r="R19">
        <v>2.0500000000000001E-2</v>
      </c>
      <c r="S19" s="210">
        <f>+Q19*R19</f>
        <v>1856114.0084775432</v>
      </c>
    </row>
    <row r="20" spans="1:20" x14ac:dyDescent="0.25">
      <c r="J20" s="23"/>
      <c r="K20" s="27"/>
      <c r="L20" s="1"/>
      <c r="M20" s="23"/>
      <c r="N20" s="23"/>
      <c r="P20" s="161"/>
      <c r="Q20" s="161"/>
      <c r="S20" s="54">
        <f>SUM(S18:S19)</f>
        <v>2560518.5123623209</v>
      </c>
    </row>
    <row r="21" spans="1:20" x14ac:dyDescent="0.25">
      <c r="A21" s="43" t="str">
        <f>'Rate Class Energy Model'!J2</f>
        <v>General Service 50 to 4,999 kW</v>
      </c>
      <c r="J21" s="23"/>
      <c r="K21" s="27"/>
      <c r="L21" s="1"/>
      <c r="M21" s="23"/>
      <c r="N21" s="23"/>
      <c r="O21" s="23"/>
      <c r="P21" s="161"/>
      <c r="Q21" s="161"/>
    </row>
    <row r="22" spans="1:20" x14ac:dyDescent="0.25">
      <c r="A22" t="s">
        <v>50</v>
      </c>
      <c r="B22" s="6">
        <f>'Rate Class Customer Model'!D4</f>
        <v>419</v>
      </c>
      <c r="C22" s="6">
        <f>'Rate Class Customer Model'!D5</f>
        <v>424</v>
      </c>
      <c r="D22" s="6">
        <f>'Rate Class Customer Model'!D6</f>
        <v>431</v>
      </c>
      <c r="E22" s="6">
        <f>'Rate Class Customer Model'!D7</f>
        <v>432</v>
      </c>
      <c r="F22" s="6">
        <f>'Rate Class Customer Model'!D8</f>
        <v>429</v>
      </c>
      <c r="G22" s="6">
        <f>'Rate Class Customer Model'!D9</f>
        <v>426</v>
      </c>
      <c r="H22" s="6">
        <f>'Rate Class Customer Model'!D10</f>
        <v>433</v>
      </c>
      <c r="I22" s="6">
        <f>'Rate Class Customer Model'!D11</f>
        <v>435</v>
      </c>
      <c r="J22" s="27">
        <f>'Rate Class Customer Model'!D12</f>
        <v>403</v>
      </c>
      <c r="K22" s="27">
        <f>'Rate Class Customer Model'!D13</f>
        <v>366</v>
      </c>
      <c r="L22" s="6">
        <f>'Rate Class Customer Model'!D14</f>
        <v>373</v>
      </c>
      <c r="M22" s="27">
        <f>'Rate Class Customer Model'!D15</f>
        <v>370</v>
      </c>
      <c r="N22" s="27">
        <f>'Rate Class Customer Model'!D16</f>
        <v>373</v>
      </c>
      <c r="O22" s="27">
        <f>'Rate Class Customer Model'!D17</f>
        <v>361</v>
      </c>
      <c r="P22" s="199">
        <f>'Rate Class Customer Model'!D18</f>
        <v>361</v>
      </c>
      <c r="Q22" s="199">
        <f>'Rate Class Customer Model'!D19</f>
        <v>357.17848110967191</v>
      </c>
      <c r="R22">
        <v>114.46</v>
      </c>
      <c r="S22" s="54">
        <f>+Q22*R22*12</f>
        <v>490591.78737375652</v>
      </c>
    </row>
    <row r="23" spans="1:20" x14ac:dyDescent="0.25">
      <c r="A23" t="s">
        <v>51</v>
      </c>
      <c r="B23" s="6">
        <f>'Rate Class Energy Model'!J12</f>
        <v>263763186</v>
      </c>
      <c r="C23" s="6">
        <f>'Rate Class Energy Model'!J13</f>
        <v>266586772</v>
      </c>
      <c r="D23" s="6">
        <f>'Rate Class Energy Model'!J14</f>
        <v>266071754</v>
      </c>
      <c r="E23" s="6">
        <f>'Rate Class Energy Model'!J15</f>
        <v>266238407</v>
      </c>
      <c r="F23" s="6">
        <f>'Rate Class Energy Model'!J16</f>
        <v>259930403</v>
      </c>
      <c r="G23" s="6">
        <f>'Rate Class Energy Model'!J17</f>
        <v>261123945</v>
      </c>
      <c r="H23" s="6">
        <f>'Rate Class Energy Model'!J18</f>
        <v>258998141</v>
      </c>
      <c r="I23" s="6">
        <f>'Rate Class Energy Model'!J19</f>
        <v>257036820</v>
      </c>
      <c r="J23" s="27">
        <f>'Rate Class Energy Model'!J20</f>
        <v>255968368</v>
      </c>
      <c r="K23" s="27">
        <f>'Rate Class Energy Model'!J21</f>
        <v>254314087</v>
      </c>
      <c r="L23" s="6">
        <f>'Rate Class Energy Model'!J22</f>
        <v>259048750</v>
      </c>
      <c r="M23" s="27">
        <f>'Rate Class Energy Model'!J23</f>
        <v>258807830</v>
      </c>
      <c r="N23" s="199">
        <f>'Rate Class Energy Model'!J24</f>
        <v>254784565</v>
      </c>
      <c r="O23" s="199">
        <f>'Rate Class Energy Model'!J25</f>
        <v>249955178</v>
      </c>
      <c r="P23" s="199">
        <f>'Rate Class Energy Model'!J26</f>
        <v>245166375.80000001</v>
      </c>
      <c r="Q23" s="199">
        <f>'Rate Class Energy Model'!J76</f>
        <v>240024913.21432304</v>
      </c>
      <c r="S23" s="54">
        <v>-85746.599999999991</v>
      </c>
      <c r="T23" s="107" t="s">
        <v>190</v>
      </c>
    </row>
    <row r="24" spans="1:20" x14ac:dyDescent="0.25">
      <c r="A24" t="s">
        <v>52</v>
      </c>
      <c r="B24" s="6">
        <f>'Rate Class Load Model'!B4</f>
        <v>659827</v>
      </c>
      <c r="C24" s="6">
        <f>'Rate Class Load Model'!B5</f>
        <v>673069</v>
      </c>
      <c r="D24" s="6">
        <f>'Rate Class Load Model'!B6</f>
        <v>682195</v>
      </c>
      <c r="E24" s="6">
        <f>'Rate Class Load Model'!B7</f>
        <v>657827</v>
      </c>
      <c r="F24" s="6">
        <f>'Rate Class Load Model'!B8</f>
        <v>657184</v>
      </c>
      <c r="G24" s="6">
        <f>'Rate Class Load Model'!B9</f>
        <v>650699</v>
      </c>
      <c r="H24" s="6">
        <f>'Rate Class Load Model'!B10</f>
        <v>637622</v>
      </c>
      <c r="I24" s="6">
        <f>'Rate Class Load Model'!B11</f>
        <v>635104</v>
      </c>
      <c r="J24" s="27">
        <f>'Rate Class Load Model'!B12</f>
        <v>629024</v>
      </c>
      <c r="K24" s="27">
        <f>'Rate Class Load Model'!B13</f>
        <v>627836</v>
      </c>
      <c r="L24" s="6">
        <f>'Rate Class Load Model'!B14</f>
        <v>656137</v>
      </c>
      <c r="M24" s="27">
        <f>'Rate Class Load Model'!B15</f>
        <v>634289</v>
      </c>
      <c r="N24" s="27">
        <f>'Rate Class Load Model'!B16</f>
        <v>711311</v>
      </c>
      <c r="O24" s="27">
        <f>'Rate Class Load Model'!B17</f>
        <v>622066.30000000005</v>
      </c>
      <c r="P24" s="199">
        <f>'Rate Class Load Model'!B18</f>
        <v>610764.1</v>
      </c>
      <c r="Q24" s="199">
        <f>'Rate Class Load Model'!B19</f>
        <v>603193.73069710995</v>
      </c>
      <c r="R24">
        <v>5.4371999999999998</v>
      </c>
      <c r="S24" s="210">
        <f>+Q24*R24</f>
        <v>3279684.952546326</v>
      </c>
    </row>
    <row r="25" spans="1:20" x14ac:dyDescent="0.25">
      <c r="J25" s="23"/>
      <c r="K25" s="32"/>
      <c r="L25" s="1"/>
      <c r="M25" s="23"/>
      <c r="N25" s="23"/>
      <c r="Q25" s="161"/>
      <c r="S25" s="54">
        <f>SUM(S22:S24)</f>
        <v>3684530.1399200824</v>
      </c>
      <c r="T25" s="54"/>
    </row>
    <row r="26" spans="1:20" x14ac:dyDescent="0.25">
      <c r="A26" s="43" t="str">
        <f>'Rate Class Energy Model'!K2</f>
        <v>Sentinel Lights</v>
      </c>
      <c r="J26" s="23"/>
      <c r="K26" s="27"/>
      <c r="L26" s="1"/>
      <c r="M26" s="23"/>
      <c r="N26" s="23"/>
      <c r="O26" s="23"/>
      <c r="P26" s="161"/>
      <c r="Q26" s="161"/>
    </row>
    <row r="27" spans="1:20" x14ac:dyDescent="0.25">
      <c r="A27" t="s">
        <v>50</v>
      </c>
      <c r="B27" s="6">
        <f>'Rate Class Customer Model'!E4</f>
        <v>466</v>
      </c>
      <c r="C27" s="6">
        <f>'Rate Class Customer Model'!E5</f>
        <v>466</v>
      </c>
      <c r="D27" s="6">
        <f>'Rate Class Customer Model'!E6</f>
        <v>459</v>
      </c>
      <c r="E27" s="6">
        <f>'Rate Class Customer Model'!E7</f>
        <v>449</v>
      </c>
      <c r="F27" s="6">
        <f>'Rate Class Customer Model'!E8</f>
        <v>443</v>
      </c>
      <c r="G27" s="6">
        <f>'Rate Class Customer Model'!E9</f>
        <v>435</v>
      </c>
      <c r="H27" s="6">
        <f>'Rate Class Customer Model'!E10</f>
        <v>423</v>
      </c>
      <c r="I27" s="6">
        <f>'Rate Class Customer Model'!E11</f>
        <v>411</v>
      </c>
      <c r="J27" s="27">
        <f>'Rate Class Customer Model'!E12</f>
        <v>402</v>
      </c>
      <c r="K27" s="27">
        <f>'Rate Class Customer Model'!E13</f>
        <v>392</v>
      </c>
      <c r="L27" s="6">
        <f>'Rate Class Customer Model'!E14</f>
        <v>374</v>
      </c>
      <c r="M27" s="27">
        <f>'Rate Class Customer Model'!E15</f>
        <v>362</v>
      </c>
      <c r="N27" s="27">
        <f>'Rate Class Customer Model'!E16</f>
        <v>360</v>
      </c>
      <c r="O27" s="27">
        <f>'Rate Class Customer Model'!E17</f>
        <v>362</v>
      </c>
      <c r="P27" s="199">
        <f>'Rate Class Customer Model'!E18</f>
        <v>361</v>
      </c>
      <c r="Q27" s="199">
        <f>'Rate Class Customer Model'!E19</f>
        <v>354.47637329291484</v>
      </c>
      <c r="R27">
        <v>2.93</v>
      </c>
      <c r="S27" s="54">
        <f>+Q27*R27*12</f>
        <v>12463.389284978886</v>
      </c>
    </row>
    <row r="28" spans="1:20" x14ac:dyDescent="0.25">
      <c r="A28" t="s">
        <v>51</v>
      </c>
      <c r="B28" s="6">
        <f>'Rate Class Energy Model'!K12</f>
        <v>276562</v>
      </c>
      <c r="C28" s="6">
        <f>'Rate Class Energy Model'!K13</f>
        <v>291228</v>
      </c>
      <c r="D28" s="6">
        <f>'Rate Class Energy Model'!K14</f>
        <v>281406</v>
      </c>
      <c r="E28" s="6">
        <f>'Rate Class Energy Model'!K15</f>
        <v>274009</v>
      </c>
      <c r="F28" s="6">
        <f>'Rate Class Energy Model'!K16</f>
        <v>269054</v>
      </c>
      <c r="G28" s="6">
        <f>'Rate Class Energy Model'!K17</f>
        <v>268763</v>
      </c>
      <c r="H28" s="6">
        <f>'Rate Class Energy Model'!K18</f>
        <v>262522</v>
      </c>
      <c r="I28" s="6">
        <f>'Rate Class Energy Model'!K19</f>
        <v>258147</v>
      </c>
      <c r="J28" s="27">
        <f>'Rate Class Energy Model'!K20</f>
        <v>260362</v>
      </c>
      <c r="K28" s="27">
        <f>'Rate Class Energy Model'!K21</f>
        <v>246512</v>
      </c>
      <c r="L28" s="6">
        <f>'Rate Class Energy Model'!K22</f>
        <v>237315</v>
      </c>
      <c r="M28" s="27">
        <f>'Rate Class Energy Model'!K23</f>
        <v>243349</v>
      </c>
      <c r="N28" s="199">
        <f>'Rate Class Energy Model'!K24</f>
        <v>235238</v>
      </c>
      <c r="O28" s="199">
        <f>'Rate Class Energy Model'!K25</f>
        <v>227055.8</v>
      </c>
      <c r="P28" s="199">
        <f>'Rate Class Energy Model'!K26</f>
        <v>213661.2</v>
      </c>
      <c r="Q28" s="199">
        <f>'Rate Class Energy Model'!K76</f>
        <v>209800.13099560147</v>
      </c>
    </row>
    <row r="29" spans="1:20" x14ac:dyDescent="0.25">
      <c r="A29" t="s">
        <v>52</v>
      </c>
      <c r="B29" s="6">
        <f>'Rate Class Load Model'!C4</f>
        <v>768</v>
      </c>
      <c r="C29" s="6">
        <f>'Rate Class Load Model'!C5</f>
        <v>873</v>
      </c>
      <c r="D29" s="6">
        <f>'Rate Class Load Model'!C6</f>
        <v>784</v>
      </c>
      <c r="E29" s="6">
        <f>'Rate Class Load Model'!C7</f>
        <v>766</v>
      </c>
      <c r="F29" s="6">
        <f>'Rate Class Load Model'!C8</f>
        <v>747</v>
      </c>
      <c r="G29" s="6">
        <f>'Rate Class Load Model'!C9</f>
        <v>744</v>
      </c>
      <c r="H29" s="6">
        <f>'Rate Class Load Model'!C10</f>
        <v>730</v>
      </c>
      <c r="I29" s="6">
        <f>'Rate Class Load Model'!C11</f>
        <v>714</v>
      </c>
      <c r="J29" s="27">
        <f>'Rate Class Load Model'!C12</f>
        <v>703</v>
      </c>
      <c r="K29" s="27">
        <f>'Rate Class Load Model'!C13</f>
        <v>687</v>
      </c>
      <c r="L29" s="6">
        <f>'Rate Class Load Model'!C14</f>
        <v>660</v>
      </c>
      <c r="M29" s="27">
        <f>'Rate Class Load Model'!C15</f>
        <v>676</v>
      </c>
      <c r="N29" s="27">
        <f>'Rate Class Load Model'!C16</f>
        <v>752</v>
      </c>
      <c r="O29" s="27">
        <f>'Rate Class Load Model'!C17</f>
        <v>630</v>
      </c>
      <c r="P29" s="199">
        <f>'Rate Class Load Model'!C18</f>
        <v>619.20000000000005</v>
      </c>
      <c r="Q29" s="199">
        <f>'Rate Class Load Model'!C19</f>
        <v>592.51480879014923</v>
      </c>
      <c r="R29">
        <v>27.3551</v>
      </c>
      <c r="S29" s="210">
        <f>+Q29*R29</f>
        <v>16208.301845935412</v>
      </c>
    </row>
    <row r="30" spans="1:20" x14ac:dyDescent="0.25">
      <c r="J30" s="23"/>
      <c r="K30" s="32"/>
      <c r="L30" s="1"/>
      <c r="M30" s="23"/>
      <c r="N30" s="23"/>
      <c r="Q30" s="161"/>
      <c r="S30" s="54">
        <f>SUM(S27:S29)</f>
        <v>28671.691130914296</v>
      </c>
    </row>
    <row r="31" spans="1:20" x14ac:dyDescent="0.25">
      <c r="A31" s="43" t="str">
        <f>'Rate Class Energy Model'!L2</f>
        <v>Street Lights</v>
      </c>
      <c r="J31" s="23"/>
      <c r="K31" s="32"/>
      <c r="L31" s="1"/>
      <c r="M31" s="23"/>
      <c r="N31" s="23"/>
      <c r="O31" s="23"/>
      <c r="P31" s="161"/>
      <c r="Q31" s="161"/>
    </row>
    <row r="32" spans="1:20" x14ac:dyDescent="0.25">
      <c r="A32" t="s">
        <v>50</v>
      </c>
      <c r="B32" s="6">
        <f>'Rate Class Customer Model'!F4</f>
        <v>8619</v>
      </c>
      <c r="C32" s="6">
        <f>'Rate Class Customer Model'!F5</f>
        <v>8635</v>
      </c>
      <c r="D32" s="6">
        <f>'Rate Class Customer Model'!F6</f>
        <v>8642</v>
      </c>
      <c r="E32" s="6">
        <f>'Rate Class Customer Model'!F7</f>
        <v>8663</v>
      </c>
      <c r="F32" s="6">
        <f>'Rate Class Customer Model'!F8</f>
        <v>8707</v>
      </c>
      <c r="G32" s="6">
        <f>'Rate Class Customer Model'!F9</f>
        <v>8741</v>
      </c>
      <c r="H32" s="6">
        <f>'Rate Class Customer Model'!F10</f>
        <v>8799</v>
      </c>
      <c r="I32" s="6">
        <f>'Rate Class Customer Model'!F11</f>
        <v>8846</v>
      </c>
      <c r="J32" s="27">
        <f>'Rate Class Customer Model'!F12</f>
        <v>8846</v>
      </c>
      <c r="K32" s="27">
        <f>'Rate Class Customer Model'!F13</f>
        <v>8846</v>
      </c>
      <c r="L32" s="6">
        <f>'Rate Class Customer Model'!F14</f>
        <v>8846</v>
      </c>
      <c r="M32" s="27">
        <f>'Rate Class Customer Model'!F15</f>
        <v>8846</v>
      </c>
      <c r="N32" s="27">
        <f>'Rate Class Customer Model'!F16</f>
        <v>8839</v>
      </c>
      <c r="O32" s="27">
        <f>'Rate Class Customer Model'!F17</f>
        <v>8872</v>
      </c>
      <c r="P32" s="199">
        <f>'Rate Class Customer Model'!F18</f>
        <v>8070</v>
      </c>
      <c r="Q32" s="199">
        <f>'Rate Class Customer Model'!F19</f>
        <v>8070</v>
      </c>
      <c r="R32">
        <v>2.94</v>
      </c>
      <c r="S32" s="54">
        <f>+Q32*R32*12</f>
        <v>284709.59999999998</v>
      </c>
    </row>
    <row r="33" spans="1:19" x14ac:dyDescent="0.25">
      <c r="A33" t="s">
        <v>51</v>
      </c>
      <c r="B33" s="6">
        <f>'Rate Class Energy Model'!L12</f>
        <v>7192541</v>
      </c>
      <c r="C33" s="6">
        <f>'Rate Class Energy Model'!L13</f>
        <v>7375127</v>
      </c>
      <c r="D33" s="6">
        <f>'Rate Class Energy Model'!L14</f>
        <v>7719127</v>
      </c>
      <c r="E33" s="6">
        <f>'Rate Class Energy Model'!L15</f>
        <v>7605824</v>
      </c>
      <c r="F33" s="6">
        <f>'Rate Class Energy Model'!L16</f>
        <v>7637528</v>
      </c>
      <c r="G33" s="6">
        <f>'Rate Class Energy Model'!L17</f>
        <v>7620205</v>
      </c>
      <c r="H33" s="6">
        <f>'Rate Class Energy Model'!L18</f>
        <v>7603009</v>
      </c>
      <c r="I33" s="6">
        <f>'Rate Class Energy Model'!L19</f>
        <v>7754588</v>
      </c>
      <c r="J33" s="27">
        <f>'Rate Class Energy Model'!L20</f>
        <v>7814836</v>
      </c>
      <c r="K33" s="27">
        <f>'Rate Class Energy Model'!L21</f>
        <v>7736459</v>
      </c>
      <c r="L33" s="6">
        <f>'Rate Class Energy Model'!L22</f>
        <v>8087592</v>
      </c>
      <c r="M33" s="27">
        <f>'Rate Class Energy Model'!L23</f>
        <v>7812115</v>
      </c>
      <c r="N33" s="199">
        <f>'Rate Class Energy Model'!L24</f>
        <v>7295612</v>
      </c>
      <c r="O33" s="199">
        <f>'Rate Class Energy Model'!L25</f>
        <v>4869277.0999999996</v>
      </c>
      <c r="P33" s="199">
        <f>'Rate Class Energy Model'!L26</f>
        <v>2398221.2999999998</v>
      </c>
      <c r="Q33" s="199">
        <f>'Rate Class Energy Model'!L76</f>
        <v>2398221.2999999998</v>
      </c>
    </row>
    <row r="34" spans="1:19" x14ac:dyDescent="0.25">
      <c r="A34" t="s">
        <v>52</v>
      </c>
      <c r="B34" s="6">
        <f>'Rate Class Load Model'!D4</f>
        <v>21295</v>
      </c>
      <c r="C34" s="6">
        <f>'Rate Class Load Model'!D5</f>
        <v>21340</v>
      </c>
      <c r="D34" s="6">
        <f>'Rate Class Load Model'!D6</f>
        <v>21295</v>
      </c>
      <c r="E34" s="6">
        <f>'Rate Class Load Model'!D7</f>
        <v>23029</v>
      </c>
      <c r="F34" s="6">
        <f>'Rate Class Load Model'!D8</f>
        <v>21406</v>
      </c>
      <c r="G34" s="6">
        <f>'Rate Class Load Model'!D9</f>
        <v>21317</v>
      </c>
      <c r="H34" s="6">
        <f>'Rate Class Load Model'!D10</f>
        <v>21346</v>
      </c>
      <c r="I34" s="6">
        <f>'Rate Class Load Model'!D11</f>
        <v>23264</v>
      </c>
      <c r="J34" s="27">
        <f>'Rate Class Load Model'!D12</f>
        <v>21619</v>
      </c>
      <c r="K34" s="27">
        <f>'Rate Class Load Model'!D13</f>
        <v>21596</v>
      </c>
      <c r="L34" s="6">
        <f>'Rate Class Load Model'!D14</f>
        <v>21588</v>
      </c>
      <c r="M34" s="27">
        <f>'Rate Class Load Model'!D15</f>
        <v>21876</v>
      </c>
      <c r="N34" s="27">
        <f>'Rate Class Load Model'!D16</f>
        <v>21794</v>
      </c>
      <c r="O34" s="27">
        <f>'Rate Class Load Model'!D17</f>
        <v>14262.4</v>
      </c>
      <c r="P34" s="199">
        <f>'Rate Class Load Model'!D18</f>
        <v>7030.1</v>
      </c>
      <c r="Q34" s="199">
        <f>'Rate Class Load Model'!D19</f>
        <v>7030.1</v>
      </c>
      <c r="R34">
        <v>19.1736</v>
      </c>
      <c r="S34" s="210">
        <f>+Q34*R34</f>
        <v>134792.32536000002</v>
      </c>
    </row>
    <row r="35" spans="1:19" x14ac:dyDescent="0.25">
      <c r="J35" s="23"/>
      <c r="K35" s="27"/>
      <c r="L35" s="1"/>
      <c r="M35" s="23"/>
      <c r="N35" s="23"/>
      <c r="Q35" s="161"/>
      <c r="S35" s="54">
        <f>SUM(S32:S34)</f>
        <v>419501.92535999999</v>
      </c>
    </row>
    <row r="36" spans="1:19" x14ac:dyDescent="0.25">
      <c r="A36" s="43" t="str">
        <f>'Rate Class Energy Model'!M2</f>
        <v>USL</v>
      </c>
      <c r="B36" s="112"/>
      <c r="C36" s="112"/>
      <c r="D36" s="112"/>
      <c r="E36" s="112"/>
      <c r="F36" s="112"/>
      <c r="G36" s="112"/>
      <c r="H36" s="112"/>
      <c r="I36" s="112"/>
      <c r="J36" s="23"/>
      <c r="K36" s="27"/>
      <c r="L36" s="112"/>
      <c r="M36" s="23"/>
      <c r="N36" s="23"/>
      <c r="O36" s="23"/>
      <c r="P36" s="161"/>
      <c r="Q36" s="161"/>
    </row>
    <row r="37" spans="1:19" x14ac:dyDescent="0.25">
      <c r="A37" t="s">
        <v>50</v>
      </c>
      <c r="B37" s="27">
        <f>'Rate Class Customer Model'!G4</f>
        <v>12</v>
      </c>
      <c r="C37" s="27">
        <f>'Rate Class Customer Model'!G5</f>
        <v>19</v>
      </c>
      <c r="D37" s="27">
        <f>'Rate Class Customer Model'!G6</f>
        <v>27</v>
      </c>
      <c r="E37" s="27">
        <f>'Rate Class Customer Model'!G7</f>
        <v>28</v>
      </c>
      <c r="F37" s="27">
        <f>'Rate Class Customer Model'!G8</f>
        <v>27</v>
      </c>
      <c r="G37" s="27">
        <f>'Rate Class Customer Model'!G9</f>
        <v>22</v>
      </c>
      <c r="H37" s="27">
        <f>'Rate Class Customer Model'!G10</f>
        <v>17</v>
      </c>
      <c r="I37" s="27">
        <f>'Rate Class Customer Model'!G11</f>
        <v>16</v>
      </c>
      <c r="J37" s="27">
        <f>'Rate Class Customer Model'!G12</f>
        <v>19</v>
      </c>
      <c r="K37" s="27">
        <f>'Rate Class Customer Model'!G13</f>
        <v>21</v>
      </c>
      <c r="L37" s="27">
        <f>'Rate Class Customer Model'!G14</f>
        <v>21</v>
      </c>
      <c r="M37" s="27">
        <f>'Rate Class Customer Model'!G15</f>
        <v>21</v>
      </c>
      <c r="N37" s="27">
        <f>'Rate Class Customer Model'!G16</f>
        <v>21</v>
      </c>
      <c r="O37" s="27">
        <f>'Rate Class Customer Model'!G17</f>
        <v>21</v>
      </c>
      <c r="P37" s="199">
        <f>'Rate Class Customer Model'!G18</f>
        <v>21</v>
      </c>
      <c r="Q37" s="199">
        <f>'Rate Class Customer Model'!G19</f>
        <v>21.856426428186388</v>
      </c>
      <c r="R37">
        <v>12.69</v>
      </c>
      <c r="S37" s="54">
        <f>+Q37*R37*12</f>
        <v>3328.2966164842233</v>
      </c>
    </row>
    <row r="38" spans="1:19" x14ac:dyDescent="0.25">
      <c r="A38" t="s">
        <v>51</v>
      </c>
      <c r="B38" s="27">
        <f>'Rate Class Energy Model'!M12</f>
        <v>851637</v>
      </c>
      <c r="C38" s="27">
        <f>'Rate Class Energy Model'!M13</f>
        <v>842654</v>
      </c>
      <c r="D38" s="27">
        <f>'Rate Class Energy Model'!M14</f>
        <v>845827</v>
      </c>
      <c r="E38" s="27">
        <f>'Rate Class Energy Model'!M15</f>
        <v>856153</v>
      </c>
      <c r="F38" s="27">
        <f>'Rate Class Energy Model'!M16</f>
        <v>863982</v>
      </c>
      <c r="G38" s="27">
        <f>'Rate Class Energy Model'!M17</f>
        <v>848325</v>
      </c>
      <c r="H38" s="27">
        <f>'Rate Class Energy Model'!M18</f>
        <v>823448</v>
      </c>
      <c r="I38" s="27">
        <f>'Rate Class Energy Model'!M19</f>
        <v>837229</v>
      </c>
      <c r="J38" s="27">
        <f>'Rate Class Energy Model'!M20</f>
        <v>874873</v>
      </c>
      <c r="K38" s="27">
        <f>'Rate Class Energy Model'!M21</f>
        <v>861992</v>
      </c>
      <c r="L38" s="27">
        <f>'Rate Class Energy Model'!M22</f>
        <v>857423</v>
      </c>
      <c r="M38" s="27">
        <f>'Rate Class Energy Model'!M23</f>
        <v>876024</v>
      </c>
      <c r="N38" s="199">
        <f>'Rate Class Energy Model'!M24</f>
        <v>912709</v>
      </c>
      <c r="O38" s="199">
        <f>'Rate Class Energy Model'!M25</f>
        <v>903250.63</v>
      </c>
      <c r="P38" s="199">
        <f>'Rate Class Energy Model'!M26</f>
        <v>907712.9</v>
      </c>
      <c r="Q38" s="199">
        <f>'Rate Class Energy Model'!M76</f>
        <v>944731.43889360514</v>
      </c>
      <c r="R38" s="208">
        <v>3.1E-2</v>
      </c>
      <c r="S38" s="210">
        <f>+Q38*R38</f>
        <v>29286.674605701759</v>
      </c>
    </row>
    <row r="39" spans="1:19" x14ac:dyDescent="0.25">
      <c r="J39" s="23"/>
      <c r="K39" s="32"/>
      <c r="L39" s="23"/>
      <c r="M39" s="23"/>
      <c r="N39" s="23"/>
      <c r="P39" s="161"/>
      <c r="Q39" s="161"/>
      <c r="S39" s="54">
        <f>SUM(S37:S38)</f>
        <v>32614.971222185981</v>
      </c>
    </row>
    <row r="40" spans="1:19" x14ac:dyDescent="0.25">
      <c r="A40" s="43" t="s">
        <v>12</v>
      </c>
      <c r="J40" s="23"/>
      <c r="K40" s="32"/>
      <c r="L40" s="23"/>
      <c r="M40" s="23"/>
      <c r="N40" s="23"/>
      <c r="O40" s="23"/>
      <c r="P40" s="161"/>
      <c r="Q40" s="161"/>
    </row>
    <row r="41" spans="1:19" x14ac:dyDescent="0.25">
      <c r="A41" t="s">
        <v>59</v>
      </c>
      <c r="B41" s="27">
        <f t="shared" ref="B41:F42" si="1">B14+B18+B22+B27+B32+B37</f>
        <v>41290</v>
      </c>
      <c r="C41" s="27">
        <f t="shared" si="1"/>
        <v>41351</v>
      </c>
      <c r="D41" s="27">
        <f t="shared" si="1"/>
        <v>41409</v>
      </c>
      <c r="E41" s="27">
        <f t="shared" si="1"/>
        <v>41469</v>
      </c>
      <c r="F41" s="27">
        <f t="shared" si="1"/>
        <v>41538</v>
      </c>
      <c r="G41" s="27">
        <f t="shared" ref="G41:P41" si="2">G14+G18+G22+G27+G32+G37</f>
        <v>41729</v>
      </c>
      <c r="H41" s="27">
        <f t="shared" si="2"/>
        <v>41995</v>
      </c>
      <c r="I41" s="27">
        <f t="shared" si="2"/>
        <v>42110</v>
      </c>
      <c r="J41" s="27">
        <f t="shared" si="2"/>
        <v>42160</v>
      </c>
      <c r="K41" s="27">
        <f t="shared" si="2"/>
        <v>42400</v>
      </c>
      <c r="L41" s="27">
        <f t="shared" si="2"/>
        <v>42592</v>
      </c>
      <c r="M41" s="27">
        <f t="shared" si="2"/>
        <v>42577</v>
      </c>
      <c r="N41" s="27">
        <f t="shared" si="2"/>
        <v>42590</v>
      </c>
      <c r="O41" s="27">
        <f t="shared" si="2"/>
        <v>42650</v>
      </c>
      <c r="P41" s="199">
        <f t="shared" si="2"/>
        <v>41959</v>
      </c>
      <c r="Q41" s="199">
        <f>Q14+Q18+Q22+Q27+Q32+Q37</f>
        <v>42049.777078881569</v>
      </c>
    </row>
    <row r="42" spans="1:19" x14ac:dyDescent="0.25">
      <c r="A42" t="s">
        <v>51</v>
      </c>
      <c r="B42" s="27">
        <f t="shared" si="1"/>
        <v>719286098</v>
      </c>
      <c r="C42" s="27">
        <f t="shared" si="1"/>
        <v>727308120</v>
      </c>
      <c r="D42" s="27">
        <f t="shared" si="1"/>
        <v>717783995</v>
      </c>
      <c r="E42" s="27">
        <f t="shared" si="1"/>
        <v>697140805</v>
      </c>
      <c r="F42" s="27">
        <f t="shared" si="1"/>
        <v>701800772</v>
      </c>
      <c r="G42" s="27">
        <f t="shared" ref="G42:Q42" si="3">G15+G19+G23+G28+G33+G38</f>
        <v>710698626</v>
      </c>
      <c r="H42" s="27">
        <f t="shared" si="3"/>
        <v>707756700</v>
      </c>
      <c r="I42" s="27">
        <f t="shared" si="3"/>
        <v>683757862</v>
      </c>
      <c r="J42" s="27">
        <f t="shared" si="3"/>
        <v>711929017</v>
      </c>
      <c r="K42" s="27">
        <f t="shared" si="3"/>
        <v>676765709</v>
      </c>
      <c r="L42" s="27">
        <f t="shared" si="3"/>
        <v>688244167</v>
      </c>
      <c r="M42" s="27">
        <f t="shared" si="3"/>
        <v>701843127</v>
      </c>
      <c r="N42" s="27">
        <f t="shared" si="3"/>
        <v>669387526</v>
      </c>
      <c r="O42" s="27">
        <f t="shared" si="3"/>
        <v>636876243.92999995</v>
      </c>
      <c r="P42" s="199">
        <f t="shared" si="3"/>
        <v>622542513.29999995</v>
      </c>
      <c r="Q42" s="199">
        <f t="shared" si="3"/>
        <v>615271738.74970031</v>
      </c>
      <c r="S42" s="211">
        <f>+S16+S20+S25+S30+S35+S39</f>
        <v>15657044.53306802</v>
      </c>
    </row>
    <row r="43" spans="1:19" x14ac:dyDescent="0.25">
      <c r="A43" t="s">
        <v>58</v>
      </c>
      <c r="B43" s="27">
        <f>B24+B29+B34</f>
        <v>681890</v>
      </c>
      <c r="C43" s="27">
        <f>C24+C29+C34</f>
        <v>695282</v>
      </c>
      <c r="D43" s="27">
        <f>D24+D29+D34</f>
        <v>704274</v>
      </c>
      <c r="E43" s="27">
        <f>E24+E29+E34</f>
        <v>681622</v>
      </c>
      <c r="F43" s="27">
        <f>F24+F29+F34</f>
        <v>679337</v>
      </c>
      <c r="G43" s="27">
        <f t="shared" ref="G43:Q43" si="4">G24+G29+G34</f>
        <v>672760</v>
      </c>
      <c r="H43" s="27">
        <f t="shared" si="4"/>
        <v>659698</v>
      </c>
      <c r="I43" s="27">
        <f t="shared" si="4"/>
        <v>659082</v>
      </c>
      <c r="J43" s="27">
        <f t="shared" si="4"/>
        <v>651346</v>
      </c>
      <c r="K43" s="27">
        <f t="shared" si="4"/>
        <v>650119</v>
      </c>
      <c r="L43" s="27">
        <f t="shared" si="4"/>
        <v>678385</v>
      </c>
      <c r="M43" s="27">
        <f t="shared" si="4"/>
        <v>656841</v>
      </c>
      <c r="N43" s="27">
        <f t="shared" si="4"/>
        <v>733857</v>
      </c>
      <c r="O43" s="27">
        <f>O24+O29+O34</f>
        <v>636958.70000000007</v>
      </c>
      <c r="P43" s="199">
        <f>P24+P29+P34</f>
        <v>618413.39999999991</v>
      </c>
      <c r="Q43" s="199">
        <f t="shared" si="4"/>
        <v>610816.3455059001</v>
      </c>
    </row>
    <row r="44" spans="1:19" x14ac:dyDescent="0.25">
      <c r="B44" s="6"/>
      <c r="C44" s="6"/>
      <c r="D44" s="6"/>
      <c r="E44" s="6"/>
      <c r="F44" s="6"/>
      <c r="G44" s="6"/>
      <c r="I44" s="6"/>
      <c r="J44" s="27"/>
      <c r="K44" s="32"/>
      <c r="L44" s="111"/>
      <c r="M44" s="23"/>
      <c r="N44" s="23"/>
      <c r="O44" s="23"/>
      <c r="P44" s="161"/>
      <c r="Q44" s="161"/>
    </row>
    <row r="45" spans="1:19" x14ac:dyDescent="0.25">
      <c r="B45" s="6">
        <f>'Rate Class Customer Model'!H4</f>
        <v>41290</v>
      </c>
      <c r="C45" s="6">
        <f>'Rate Class Customer Model'!H5</f>
        <v>41351</v>
      </c>
      <c r="D45" s="6">
        <f>'Rate Class Customer Model'!H6</f>
        <v>41409</v>
      </c>
      <c r="E45" s="6">
        <f>'Rate Class Customer Model'!H7</f>
        <v>41469</v>
      </c>
      <c r="F45" s="6">
        <f>'Rate Class Customer Model'!H8</f>
        <v>41538</v>
      </c>
      <c r="G45" s="6">
        <f>'Rate Class Customer Model'!H9</f>
        <v>41729</v>
      </c>
      <c r="H45" s="6">
        <f>'Rate Class Customer Model'!H10</f>
        <v>41995</v>
      </c>
      <c r="I45" s="6">
        <f>'Rate Class Customer Model'!H11</f>
        <v>42110</v>
      </c>
      <c r="J45" s="27">
        <f>'Rate Class Customer Model'!H12</f>
        <v>42160</v>
      </c>
      <c r="K45" s="27">
        <f>'Rate Class Customer Model'!H13</f>
        <v>42400</v>
      </c>
      <c r="L45" s="27">
        <f>'Rate Class Customer Model'!H14</f>
        <v>42592</v>
      </c>
      <c r="M45" s="27">
        <f>'Rate Class Customer Model'!H15</f>
        <v>42577</v>
      </c>
      <c r="N45" s="27">
        <f>'Rate Class Customer Model'!H16</f>
        <v>42590</v>
      </c>
      <c r="O45" s="27">
        <f>'Rate Class Customer Model'!H17</f>
        <v>42650</v>
      </c>
      <c r="P45" s="199">
        <f>'Rate Class Customer Model'!H18</f>
        <v>41959</v>
      </c>
      <c r="Q45" s="199">
        <f>'Rate Class Customer Model'!H19</f>
        <v>42049.777078881569</v>
      </c>
    </row>
    <row r="46" spans="1:19" x14ac:dyDescent="0.25">
      <c r="B46" s="6">
        <f>'Rate Class Energy Model'!G12</f>
        <v>719286098</v>
      </c>
      <c r="C46" s="6">
        <f>'Rate Class Energy Model'!G13</f>
        <v>727308120</v>
      </c>
      <c r="D46" s="6">
        <f>'Rate Class Energy Model'!G14</f>
        <v>717783995</v>
      </c>
      <c r="E46" s="6">
        <f>'Rate Class Energy Model'!G15</f>
        <v>697140805</v>
      </c>
      <c r="F46" s="6">
        <f>'Rate Class Energy Model'!G16</f>
        <v>701800772</v>
      </c>
      <c r="G46" s="6">
        <f>'Rate Class Energy Model'!G17</f>
        <v>710698626</v>
      </c>
      <c r="H46" s="6">
        <f>'Rate Class Energy Model'!G18</f>
        <v>707756700</v>
      </c>
      <c r="I46" s="6">
        <f>'Rate Class Energy Model'!G19</f>
        <v>683757862</v>
      </c>
      <c r="J46" s="27">
        <f>'Rate Class Energy Model'!G20</f>
        <v>711929017</v>
      </c>
      <c r="K46" s="27">
        <f>'Rate Class Energy Model'!G21</f>
        <v>676765709</v>
      </c>
      <c r="L46" s="27">
        <f>'Rate Class Energy Model'!G22</f>
        <v>688244167</v>
      </c>
      <c r="M46" s="27">
        <f>'Rate Class Energy Model'!G23</f>
        <v>701843127</v>
      </c>
      <c r="N46" s="199">
        <f>'Rate Class Energy Model'!G24</f>
        <v>669387526</v>
      </c>
      <c r="O46" s="199">
        <f>'Rate Class Energy Model'!G25</f>
        <v>636876243.92999995</v>
      </c>
      <c r="P46" s="199">
        <f>'Rate Class Energy Model'!G26</f>
        <v>622542513.29999995</v>
      </c>
      <c r="Q46" s="199">
        <f>'Rate Class Energy Model'!N76</f>
        <v>615271738.74970031</v>
      </c>
    </row>
    <row r="47" spans="1:19" x14ac:dyDescent="0.25">
      <c r="B47" s="6">
        <f>'Rate Class Load Model'!E4</f>
        <v>681890</v>
      </c>
      <c r="C47" s="6">
        <f>'Rate Class Load Model'!E5</f>
        <v>695282</v>
      </c>
      <c r="D47" s="6">
        <f>'Rate Class Load Model'!E6</f>
        <v>704274</v>
      </c>
      <c r="E47" s="6">
        <f>'Rate Class Load Model'!E7</f>
        <v>681622</v>
      </c>
      <c r="F47" s="6">
        <f>'Rate Class Load Model'!E8</f>
        <v>679337</v>
      </c>
      <c r="G47" s="6">
        <f>'Rate Class Load Model'!E9</f>
        <v>672760</v>
      </c>
      <c r="H47" s="6">
        <f>'Rate Class Load Model'!E10</f>
        <v>659698</v>
      </c>
      <c r="I47" s="6">
        <f>'Rate Class Load Model'!E11</f>
        <v>659082</v>
      </c>
      <c r="J47" s="27">
        <f>'Rate Class Load Model'!E12</f>
        <v>651346</v>
      </c>
      <c r="K47" s="27">
        <f>'Rate Class Load Model'!E13</f>
        <v>650119</v>
      </c>
      <c r="L47" s="27">
        <f>'Rate Class Load Model'!E14</f>
        <v>678385</v>
      </c>
      <c r="M47" s="27">
        <f>'Rate Class Load Model'!E15</f>
        <v>656841</v>
      </c>
      <c r="N47" s="27">
        <f>'Rate Class Load Model'!E16</f>
        <v>733857</v>
      </c>
      <c r="O47" s="27">
        <f>'Rate Class Load Model'!E17</f>
        <v>636958.70000000007</v>
      </c>
      <c r="P47" s="199">
        <f>'Rate Class Load Model'!E18</f>
        <v>618413.39999999991</v>
      </c>
      <c r="Q47" s="199">
        <f>'Rate Class Load Model'!E19</f>
        <v>610816.3455059001</v>
      </c>
    </row>
    <row r="48" spans="1:19" x14ac:dyDescent="0.25">
      <c r="J48" s="23"/>
      <c r="K48" s="32"/>
      <c r="L48" s="32"/>
    </row>
    <row r="49" spans="1:17" x14ac:dyDescent="0.25">
      <c r="A49" s="107" t="s">
        <v>19</v>
      </c>
      <c r="J49"/>
      <c r="K49"/>
    </row>
    <row r="50" spans="1:17" x14ac:dyDescent="0.25">
      <c r="A50" t="s">
        <v>59</v>
      </c>
      <c r="B50" s="6">
        <f>B41-B45</f>
        <v>0</v>
      </c>
      <c r="C50" s="6">
        <f t="shared" ref="C50:O50" si="5">C41-C45</f>
        <v>0</v>
      </c>
      <c r="D50" s="6">
        <f t="shared" si="5"/>
        <v>0</v>
      </c>
      <c r="E50" s="6">
        <f t="shared" si="5"/>
        <v>0</v>
      </c>
      <c r="F50" s="6">
        <f t="shared" si="5"/>
        <v>0</v>
      </c>
      <c r="G50" s="6">
        <f t="shared" si="5"/>
        <v>0</v>
      </c>
      <c r="H50" s="6">
        <f t="shared" si="5"/>
        <v>0</v>
      </c>
      <c r="I50" s="6">
        <f t="shared" si="5"/>
        <v>0</v>
      </c>
      <c r="J50" s="6">
        <f t="shared" si="5"/>
        <v>0</v>
      </c>
      <c r="K50" s="6">
        <f t="shared" si="5"/>
        <v>0</v>
      </c>
      <c r="L50" s="6">
        <f t="shared" si="5"/>
        <v>0</v>
      </c>
      <c r="M50" s="27">
        <f t="shared" si="5"/>
        <v>0</v>
      </c>
      <c r="N50" s="27">
        <f t="shared" si="5"/>
        <v>0</v>
      </c>
      <c r="O50" s="27">
        <f t="shared" si="5"/>
        <v>0</v>
      </c>
      <c r="P50" s="199">
        <f t="shared" ref="P50" si="6">P41-P45</f>
        <v>0</v>
      </c>
      <c r="Q50" s="199">
        <f t="shared" ref="Q50" si="7">Q41-Q45</f>
        <v>0</v>
      </c>
    </row>
    <row r="51" spans="1:17" x14ac:dyDescent="0.25">
      <c r="A51" t="s">
        <v>51</v>
      </c>
      <c r="B51" s="6">
        <f>B42-B46</f>
        <v>0</v>
      </c>
      <c r="C51" s="6">
        <f t="shared" ref="C51:O51" si="8">C42-C46</f>
        <v>0</v>
      </c>
      <c r="D51" s="6">
        <f t="shared" si="8"/>
        <v>0</v>
      </c>
      <c r="E51" s="6">
        <f t="shared" si="8"/>
        <v>0</v>
      </c>
      <c r="F51" s="6">
        <f t="shared" si="8"/>
        <v>0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27">
        <f t="shared" si="8"/>
        <v>0</v>
      </c>
      <c r="N51" s="27">
        <f t="shared" si="8"/>
        <v>0</v>
      </c>
      <c r="O51" s="27">
        <f t="shared" si="8"/>
        <v>0</v>
      </c>
      <c r="P51" s="199">
        <f t="shared" ref="P51" si="9">P42-P46</f>
        <v>0</v>
      </c>
      <c r="Q51" s="199">
        <f t="shared" ref="Q51" si="10">Q42-Q46</f>
        <v>0</v>
      </c>
    </row>
    <row r="52" spans="1:17" x14ac:dyDescent="0.25">
      <c r="A52" t="s">
        <v>58</v>
      </c>
      <c r="B52" s="6">
        <f>B43-B47</f>
        <v>0</v>
      </c>
      <c r="C52" s="6">
        <f t="shared" ref="C52:N52" si="11">C43-C47</f>
        <v>0</v>
      </c>
      <c r="D52" s="6">
        <f t="shared" si="11"/>
        <v>0</v>
      </c>
      <c r="E52" s="6">
        <f t="shared" si="11"/>
        <v>0</v>
      </c>
      <c r="F52" s="6">
        <f t="shared" si="11"/>
        <v>0</v>
      </c>
      <c r="G52" s="6">
        <f t="shared" si="11"/>
        <v>0</v>
      </c>
      <c r="H52" s="6">
        <f t="shared" si="11"/>
        <v>0</v>
      </c>
      <c r="I52" s="6">
        <f t="shared" si="11"/>
        <v>0</v>
      </c>
      <c r="J52" s="6">
        <f t="shared" si="11"/>
        <v>0</v>
      </c>
      <c r="K52" s="6">
        <f t="shared" si="11"/>
        <v>0</v>
      </c>
      <c r="L52" s="6">
        <f t="shared" si="11"/>
        <v>0</v>
      </c>
      <c r="M52" s="27">
        <f t="shared" si="11"/>
        <v>0</v>
      </c>
      <c r="N52" s="27">
        <f t="shared" si="11"/>
        <v>0</v>
      </c>
      <c r="O52" s="27">
        <f>O43-O47</f>
        <v>0</v>
      </c>
      <c r="P52" s="199">
        <f>P43-P47</f>
        <v>0</v>
      </c>
      <c r="Q52" s="199">
        <f t="shared" ref="Q52" si="12">Q43-Q47</f>
        <v>0</v>
      </c>
    </row>
    <row r="53" spans="1:17" x14ac:dyDescent="0.25">
      <c r="J53"/>
      <c r="K53"/>
    </row>
    <row r="54" spans="1:17" x14ac:dyDescent="0.25">
      <c r="J54"/>
      <c r="K54"/>
      <c r="O54" s="116">
        <f>O15+O19+O23</f>
        <v>630876660.39999998</v>
      </c>
      <c r="P54" s="116">
        <f t="shared" ref="P54:Q54" si="13">P15+P19+P23</f>
        <v>619022917.89999998</v>
      </c>
      <c r="Q54" s="116">
        <f t="shared" si="13"/>
        <v>611718985.87981117</v>
      </c>
    </row>
    <row r="55" spans="1:17" x14ac:dyDescent="0.25">
      <c r="J55"/>
      <c r="K55"/>
    </row>
    <row r="56" spans="1:17" x14ac:dyDescent="0.25">
      <c r="J56"/>
      <c r="K56"/>
    </row>
    <row r="57" spans="1:17" x14ac:dyDescent="0.25">
      <c r="J57"/>
      <c r="K57"/>
      <c r="Q57" s="386"/>
    </row>
    <row r="58" spans="1:17" x14ac:dyDescent="0.25">
      <c r="J58"/>
      <c r="K58"/>
      <c r="Q58" s="386"/>
    </row>
    <row r="59" spans="1:17" x14ac:dyDescent="0.25">
      <c r="J59"/>
      <c r="K59"/>
      <c r="Q59" s="386"/>
    </row>
    <row r="60" spans="1:17" x14ac:dyDescent="0.25">
      <c r="J60"/>
      <c r="K60"/>
    </row>
    <row r="61" spans="1:17" x14ac:dyDescent="0.25">
      <c r="J61"/>
      <c r="K61"/>
    </row>
    <row r="62" spans="1:17" x14ac:dyDescent="0.25">
      <c r="J62"/>
      <c r="K62"/>
    </row>
    <row r="63" spans="1:17" x14ac:dyDescent="0.25">
      <c r="J63"/>
      <c r="K63"/>
    </row>
    <row r="64" spans="1:17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J76"/>
      <c r="K76"/>
    </row>
    <row r="77" spans="10:11" x14ac:dyDescent="0.25">
      <c r="J77"/>
      <c r="K77"/>
    </row>
    <row r="78" spans="10:11" x14ac:dyDescent="0.25">
      <c r="J78"/>
      <c r="K78"/>
    </row>
    <row r="79" spans="10:11" x14ac:dyDescent="0.25">
      <c r="J79"/>
      <c r="K79"/>
    </row>
    <row r="80" spans="10:11" x14ac:dyDescent="0.25">
      <c r="J80"/>
      <c r="K80"/>
    </row>
    <row r="81" spans="10:11" x14ac:dyDescent="0.25">
      <c r="J81"/>
      <c r="K81"/>
    </row>
    <row r="82" spans="10:11" x14ac:dyDescent="0.25">
      <c r="J82"/>
      <c r="K82"/>
    </row>
    <row r="83" spans="10:11" x14ac:dyDescent="0.25">
      <c r="J83"/>
      <c r="K83"/>
    </row>
    <row r="84" spans="10:11" x14ac:dyDescent="0.25">
      <c r="J84"/>
      <c r="K84"/>
    </row>
    <row r="85" spans="10:11" x14ac:dyDescent="0.25">
      <c r="J85"/>
      <c r="K85"/>
    </row>
    <row r="86" spans="10:11" x14ac:dyDescent="0.25">
      <c r="J86"/>
      <c r="K86"/>
    </row>
    <row r="87" spans="10:11" x14ac:dyDescent="0.25">
      <c r="J87"/>
      <c r="K87"/>
    </row>
    <row r="88" spans="10:11" x14ac:dyDescent="0.25">
      <c r="J88"/>
      <c r="K88"/>
    </row>
    <row r="89" spans="10:11" x14ac:dyDescent="0.25">
      <c r="J89"/>
      <c r="K89"/>
    </row>
    <row r="90" spans="10:11" x14ac:dyDescent="0.25">
      <c r="J90"/>
      <c r="K90"/>
    </row>
    <row r="91" spans="10:11" x14ac:dyDescent="0.25">
      <c r="J91"/>
      <c r="K91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X266"/>
  <sheetViews>
    <sheetView zoomScale="80" zoomScaleNormal="80" workbookViewId="0">
      <pane xSplit="1" ySplit="2" topLeftCell="H198" activePane="bottomRight" state="frozen"/>
      <selection activeCell="M35" sqref="M35"/>
      <selection pane="topRight" activeCell="M35" sqref="M35"/>
      <selection pane="bottomLeft" activeCell="M35" sqref="M35"/>
      <selection pane="bottomRight" activeCell="S27" sqref="S27"/>
    </sheetView>
  </sheetViews>
  <sheetFormatPr defaultRowHeight="13.2" x14ac:dyDescent="0.25"/>
  <cols>
    <col min="1" max="1" width="11.88671875" style="41" customWidth="1"/>
    <col min="2" max="2" width="18" style="6" customWidth="1"/>
    <col min="3" max="3" width="11.6640625" style="1" customWidth="1"/>
    <col min="4" max="4" width="13.44140625" style="1" customWidth="1"/>
    <col min="5" max="5" width="12.44140625" style="1" customWidth="1"/>
    <col min="6" max="6" width="12.33203125" style="182" customWidth="1"/>
    <col min="7" max="7" width="12.6640625" style="161" bestFit="1" customWidth="1"/>
    <col min="8" max="8" width="14.88671875" style="161" customWidth="1"/>
    <col min="9" max="9" width="13" style="161" hidden="1" customWidth="1"/>
    <col min="10" max="10" width="10.109375" style="161" hidden="1" customWidth="1"/>
    <col min="11" max="12" width="14.88671875" style="161" hidden="1" customWidth="1"/>
    <col min="13" max="13" width="16.44140625" style="1" bestFit="1" customWidth="1"/>
    <col min="14" max="14" width="16" style="1" customWidth="1"/>
    <col min="15" max="15" width="9.44140625" style="1" customWidth="1"/>
    <col min="16" max="16" width="8.88671875" style="1" customWidth="1"/>
    <col min="17" max="17" width="14.5546875" style="1" customWidth="1"/>
    <col min="18" max="18" width="17.33203125" style="1" bestFit="1" customWidth="1"/>
    <col min="19" max="19" width="42.109375" customWidth="1"/>
    <col min="20" max="20" width="15.88671875" bestFit="1" customWidth="1"/>
    <col min="21" max="21" width="15.33203125" bestFit="1" customWidth="1"/>
    <col min="22" max="22" width="13" bestFit="1" customWidth="1"/>
    <col min="23" max="23" width="17.109375" customWidth="1"/>
    <col min="24" max="24" width="17.109375" bestFit="1" customWidth="1"/>
    <col min="25" max="25" width="16" bestFit="1" customWidth="1"/>
    <col min="26" max="26" width="26.109375" bestFit="1" customWidth="1"/>
    <col min="27" max="27" width="23" bestFit="1" customWidth="1"/>
    <col min="30" max="30" width="40.6640625" bestFit="1" customWidth="1"/>
    <col min="31" max="31" width="42.88671875" bestFit="1" customWidth="1"/>
  </cols>
  <sheetData>
    <row r="2" spans="1:25" s="32" customFormat="1" ht="39.6" x14ac:dyDescent="0.25">
      <c r="A2" s="168"/>
      <c r="B2" s="155" t="s">
        <v>65</v>
      </c>
      <c r="C2" s="156" t="s">
        <v>4</v>
      </c>
      <c r="D2" s="156" t="s">
        <v>5</v>
      </c>
      <c r="E2" s="156" t="s">
        <v>22</v>
      </c>
      <c r="F2" s="157" t="s">
        <v>6</v>
      </c>
      <c r="G2" s="156" t="s">
        <v>114</v>
      </c>
      <c r="H2" s="156" t="s">
        <v>102</v>
      </c>
      <c r="I2" s="158" t="s">
        <v>8</v>
      </c>
      <c r="J2" s="167" t="s">
        <v>7</v>
      </c>
      <c r="K2" s="156" t="s">
        <v>136</v>
      </c>
      <c r="L2" s="156" t="s">
        <v>137</v>
      </c>
      <c r="M2" s="156" t="s">
        <v>13</v>
      </c>
      <c r="N2" s="157" t="s">
        <v>14</v>
      </c>
      <c r="O2" s="156" t="s">
        <v>15</v>
      </c>
      <c r="P2" s="156" t="s">
        <v>103</v>
      </c>
      <c r="S2" t="s">
        <v>23</v>
      </c>
      <c r="T2"/>
      <c r="U2"/>
      <c r="V2"/>
      <c r="W2"/>
      <c r="X2"/>
      <c r="Y2"/>
    </row>
    <row r="3" spans="1:25" ht="13.8" thickBot="1" x14ac:dyDescent="0.3">
      <c r="A3" s="169">
        <v>37652</v>
      </c>
      <c r="B3" s="170">
        <v>85049952</v>
      </c>
      <c r="C3" s="230">
        <f>'Weather Analysis '!J8</f>
        <v>920.6</v>
      </c>
      <c r="D3" s="230">
        <f>+'Weather Analysis '!J28</f>
        <v>0</v>
      </c>
      <c r="E3" s="171">
        <v>0</v>
      </c>
      <c r="F3" s="171">
        <v>31</v>
      </c>
      <c r="G3" s="296">
        <v>0</v>
      </c>
      <c r="H3" s="297">
        <v>32198</v>
      </c>
      <c r="I3" s="298">
        <v>125.66024937363977</v>
      </c>
      <c r="J3" s="299">
        <v>351.91199999999998</v>
      </c>
      <c r="K3" s="171">
        <v>166.9</v>
      </c>
      <c r="L3" s="300">
        <v>9.1</v>
      </c>
      <c r="M3" s="296">
        <f t="shared" ref="M3:M14" si="0">+$T$43+C3*$T$44+D3*$T$45+E3*$T$46+F3*$T$47+G3*$T$48+ H3*$T$49</f>
        <v>84248242.256462157</v>
      </c>
      <c r="N3" s="50">
        <f t="shared" ref="N3:N34" si="1">M3-B3</f>
        <v>-801709.74353784323</v>
      </c>
      <c r="O3" s="103">
        <f t="shared" ref="O3:O34" si="2">N3/B3</f>
        <v>-9.4263397531117159E-3</v>
      </c>
      <c r="P3" s="13">
        <f t="shared" ref="P3:P66" si="3">ABS(O3)</f>
        <v>9.4263397531117159E-3</v>
      </c>
      <c r="Q3" s="13"/>
      <c r="R3" s="13"/>
    </row>
    <row r="4" spans="1:25" x14ac:dyDescent="0.25">
      <c r="A4" s="169">
        <f t="shared" ref="A4:A11" si="4">EOMONTH(A3,1)</f>
        <v>37680</v>
      </c>
      <c r="B4" s="170">
        <v>76788076</v>
      </c>
      <c r="C4" s="230">
        <f>'Weather Analysis '!J9</f>
        <v>902.6</v>
      </c>
      <c r="D4" s="230">
        <f>+'Weather Analysis '!J29</f>
        <v>0</v>
      </c>
      <c r="E4" s="171">
        <v>0</v>
      </c>
      <c r="F4" s="171">
        <v>28</v>
      </c>
      <c r="G4" s="296">
        <v>0</v>
      </c>
      <c r="H4" s="297">
        <v>32198</v>
      </c>
      <c r="I4" s="298">
        <v>125.80592062045517</v>
      </c>
      <c r="J4" s="299">
        <v>319.87200000000001</v>
      </c>
      <c r="K4" s="171">
        <v>167.8</v>
      </c>
      <c r="L4" s="300">
        <v>9.3000000000000007</v>
      </c>
      <c r="M4" s="296">
        <f t="shared" si="0"/>
        <v>78148753.140457615</v>
      </c>
      <c r="N4" s="50">
        <f t="shared" si="1"/>
        <v>1360677.1404576153</v>
      </c>
      <c r="O4" s="103">
        <f t="shared" si="2"/>
        <v>1.7719901465660048E-2</v>
      </c>
      <c r="P4" s="13">
        <f t="shared" si="3"/>
        <v>1.7719901465660048E-2</v>
      </c>
      <c r="Q4" s="347"/>
      <c r="R4" s="13"/>
      <c r="S4" s="36" t="s">
        <v>24</v>
      </c>
      <c r="T4" s="36"/>
    </row>
    <row r="5" spans="1:25" x14ac:dyDescent="0.25">
      <c r="A5" s="169">
        <f t="shared" si="4"/>
        <v>37711</v>
      </c>
      <c r="B5" s="170">
        <v>75545096</v>
      </c>
      <c r="C5" s="230">
        <f>'Weather Analysis '!J10</f>
        <v>745.5</v>
      </c>
      <c r="D5" s="230">
        <f>+'Weather Analysis '!J30</f>
        <v>0</v>
      </c>
      <c r="E5" s="171">
        <v>1</v>
      </c>
      <c r="F5" s="171">
        <v>31</v>
      </c>
      <c r="G5" s="296">
        <v>0</v>
      </c>
      <c r="H5" s="297">
        <v>32199</v>
      </c>
      <c r="I5" s="298">
        <v>125.9517607362029</v>
      </c>
      <c r="J5" s="299">
        <v>336.28800000000001</v>
      </c>
      <c r="K5" s="171">
        <v>169.4</v>
      </c>
      <c r="L5" s="300">
        <v>9.3000000000000007</v>
      </c>
      <c r="M5" s="296">
        <f t="shared" si="0"/>
        <v>74460212.750885814</v>
      </c>
      <c r="N5" s="50">
        <f t="shared" si="1"/>
        <v>-1084883.2491141856</v>
      </c>
      <c r="O5" s="103">
        <f t="shared" si="2"/>
        <v>-1.4360736918173822E-2</v>
      </c>
      <c r="P5" s="13">
        <f t="shared" si="3"/>
        <v>1.4360736918173822E-2</v>
      </c>
      <c r="Q5" s="347"/>
      <c r="R5" s="13"/>
      <c r="S5" s="33" t="s">
        <v>25</v>
      </c>
      <c r="T5" s="295">
        <v>0.98246480723030005</v>
      </c>
    </row>
    <row r="6" spans="1:25" x14ac:dyDescent="0.25">
      <c r="A6" s="169">
        <f t="shared" si="4"/>
        <v>37741</v>
      </c>
      <c r="B6" s="170">
        <v>63274204</v>
      </c>
      <c r="C6" s="230">
        <f>'Weather Analysis '!J11</f>
        <v>497.2</v>
      </c>
      <c r="D6" s="230">
        <f>+'Weather Analysis '!J31</f>
        <v>0</v>
      </c>
      <c r="E6" s="171">
        <v>1</v>
      </c>
      <c r="F6" s="171">
        <v>30</v>
      </c>
      <c r="G6" s="296">
        <v>0</v>
      </c>
      <c r="H6" s="297">
        <v>32198</v>
      </c>
      <c r="I6" s="298">
        <v>126.09776991664374</v>
      </c>
      <c r="J6" s="299">
        <v>336.24</v>
      </c>
      <c r="K6" s="171">
        <v>170.5</v>
      </c>
      <c r="L6" s="300">
        <v>9.4</v>
      </c>
      <c r="M6" s="296">
        <f t="shared" si="0"/>
        <v>62928112.23234617</v>
      </c>
      <c r="N6" s="50">
        <f t="shared" si="1"/>
        <v>-346091.76765383035</v>
      </c>
      <c r="O6" s="103">
        <f t="shared" si="2"/>
        <v>-5.4697134973650616E-3</v>
      </c>
      <c r="P6" s="13">
        <f t="shared" si="3"/>
        <v>5.4697134973650616E-3</v>
      </c>
      <c r="Q6" s="347"/>
      <c r="R6" s="13"/>
      <c r="S6" s="33" t="s">
        <v>26</v>
      </c>
      <c r="T6" s="295">
        <v>0.96523709744607056</v>
      </c>
    </row>
    <row r="7" spans="1:25" x14ac:dyDescent="0.25">
      <c r="A7" s="169">
        <f t="shared" si="4"/>
        <v>37772</v>
      </c>
      <c r="B7" s="170">
        <v>52784032</v>
      </c>
      <c r="C7" s="230">
        <f>'Weather Analysis '!J12</f>
        <v>236.5</v>
      </c>
      <c r="D7" s="230">
        <f>+'Weather Analysis '!J32</f>
        <v>0</v>
      </c>
      <c r="E7" s="171">
        <v>1</v>
      </c>
      <c r="F7" s="171">
        <v>31</v>
      </c>
      <c r="G7" s="296">
        <v>0</v>
      </c>
      <c r="H7" s="297">
        <v>32136</v>
      </c>
      <c r="I7" s="298">
        <v>126.2439483577654</v>
      </c>
      <c r="J7" s="299">
        <v>336.28800000000001</v>
      </c>
      <c r="K7" s="171">
        <v>173.3</v>
      </c>
      <c r="L7" s="300">
        <v>9.9</v>
      </c>
      <c r="M7" s="296">
        <f t="shared" si="0"/>
        <v>54375199.508515276</v>
      </c>
      <c r="N7" s="50">
        <f t="shared" si="1"/>
        <v>1591167.508515276</v>
      </c>
      <c r="O7" s="103">
        <f t="shared" si="2"/>
        <v>3.0144864805236479E-2</v>
      </c>
      <c r="P7" s="13">
        <f t="shared" si="3"/>
        <v>3.0144864805236479E-2</v>
      </c>
      <c r="Q7" s="347"/>
      <c r="R7" s="13"/>
      <c r="S7" s="33" t="s">
        <v>27</v>
      </c>
      <c r="T7" s="295">
        <v>0.96394158554965081</v>
      </c>
    </row>
    <row r="8" spans="1:25" x14ac:dyDescent="0.25">
      <c r="A8" s="169">
        <f t="shared" si="4"/>
        <v>37802</v>
      </c>
      <c r="B8" s="170">
        <v>49325848</v>
      </c>
      <c r="C8" s="230">
        <f>'Weather Analysis '!J13</f>
        <v>112.8</v>
      </c>
      <c r="D8" s="230">
        <f>+'Weather Analysis '!J33</f>
        <v>11.9</v>
      </c>
      <c r="E8" s="171">
        <v>0</v>
      </c>
      <c r="F8" s="171">
        <v>30</v>
      </c>
      <c r="G8" s="296">
        <v>0</v>
      </c>
      <c r="H8" s="297">
        <v>32119</v>
      </c>
      <c r="I8" s="298">
        <v>126.3902962557828</v>
      </c>
      <c r="J8" s="299">
        <v>336.24</v>
      </c>
      <c r="K8" s="171">
        <v>175.5</v>
      </c>
      <c r="L8" s="300">
        <v>10.1</v>
      </c>
      <c r="M8" s="296">
        <f t="shared" si="0"/>
        <v>51589603.044780545</v>
      </c>
      <c r="N8" s="50">
        <f t="shared" si="1"/>
        <v>2263755.0447805449</v>
      </c>
      <c r="O8" s="103">
        <f t="shared" si="2"/>
        <v>4.5893890050923099E-2</v>
      </c>
      <c r="P8" s="13">
        <f t="shared" si="3"/>
        <v>4.5893890050923099E-2</v>
      </c>
      <c r="Q8" s="347"/>
      <c r="R8" s="13"/>
      <c r="S8" s="33" t="s">
        <v>28</v>
      </c>
      <c r="T8" s="293">
        <v>2156983.4758142433</v>
      </c>
    </row>
    <row r="9" spans="1:25" ht="13.8" thickBot="1" x14ac:dyDescent="0.3">
      <c r="A9" s="169">
        <f t="shared" si="4"/>
        <v>37833</v>
      </c>
      <c r="B9" s="170">
        <v>51148508</v>
      </c>
      <c r="C9" s="230">
        <f>'Weather Analysis '!J14</f>
        <v>28</v>
      </c>
      <c r="D9" s="230">
        <f>+'Weather Analysis '!J34</f>
        <v>27.9</v>
      </c>
      <c r="E9" s="171">
        <v>0</v>
      </c>
      <c r="F9" s="171">
        <v>31</v>
      </c>
      <c r="G9" s="296">
        <v>0</v>
      </c>
      <c r="H9" s="297">
        <v>32132</v>
      </c>
      <c r="I9" s="298">
        <v>126.5368138071383</v>
      </c>
      <c r="J9" s="299">
        <v>351.91199999999998</v>
      </c>
      <c r="K9" s="171">
        <v>176.8</v>
      </c>
      <c r="L9" s="300">
        <v>10.9</v>
      </c>
      <c r="M9" s="296">
        <f t="shared" si="0"/>
        <v>51395930.776322372</v>
      </c>
      <c r="N9" s="50">
        <f t="shared" si="1"/>
        <v>247422.77632237226</v>
      </c>
      <c r="O9" s="103">
        <f t="shared" si="2"/>
        <v>4.8373410290359249E-3</v>
      </c>
      <c r="P9" s="13">
        <f t="shared" si="3"/>
        <v>4.8373410290359249E-3</v>
      </c>
      <c r="Q9" s="347"/>
      <c r="R9" s="13"/>
      <c r="S9" s="34" t="s">
        <v>29</v>
      </c>
      <c r="T9" s="294">
        <v>168</v>
      </c>
    </row>
    <row r="10" spans="1:25" x14ac:dyDescent="0.25">
      <c r="A10" s="169">
        <f t="shared" si="4"/>
        <v>37864</v>
      </c>
      <c r="B10" s="170">
        <v>50113412</v>
      </c>
      <c r="C10" s="230">
        <f>'Weather Analysis '!J15</f>
        <v>32.200000000000003</v>
      </c>
      <c r="D10" s="230">
        <f>+'Weather Analysis '!J35</f>
        <v>48.6</v>
      </c>
      <c r="E10" s="171">
        <v>0</v>
      </c>
      <c r="F10" s="171">
        <v>31</v>
      </c>
      <c r="G10" s="296">
        <v>0</v>
      </c>
      <c r="H10" s="297">
        <v>32143</v>
      </c>
      <c r="I10" s="298">
        <v>126.68350120850199</v>
      </c>
      <c r="J10" s="299">
        <v>319.92</v>
      </c>
      <c r="K10" s="171">
        <v>177.7</v>
      </c>
      <c r="L10" s="300">
        <v>10.3</v>
      </c>
      <c r="M10" s="296">
        <f t="shared" si="0"/>
        <v>53271361.756425969</v>
      </c>
      <c r="N10" s="50">
        <f t="shared" si="1"/>
        <v>3157949.7564259693</v>
      </c>
      <c r="O10" s="103">
        <f t="shared" si="2"/>
        <v>6.3016059581534167E-2</v>
      </c>
      <c r="P10" s="13">
        <f t="shared" si="3"/>
        <v>6.3016059581534167E-2</v>
      </c>
      <c r="Q10" s="347"/>
      <c r="R10" s="13"/>
    </row>
    <row r="11" spans="1:25" ht="13.8" thickBot="1" x14ac:dyDescent="0.3">
      <c r="A11" s="169">
        <f t="shared" si="4"/>
        <v>37894</v>
      </c>
      <c r="B11" s="170">
        <v>49728476</v>
      </c>
      <c r="C11" s="230">
        <f>'Weather Analysis '!J16</f>
        <v>123.1</v>
      </c>
      <c r="D11" s="230">
        <f>+'Weather Analysis '!J36</f>
        <v>14.2</v>
      </c>
      <c r="E11" s="171">
        <v>1</v>
      </c>
      <c r="F11" s="171">
        <v>30</v>
      </c>
      <c r="G11" s="296">
        <v>0</v>
      </c>
      <c r="H11" s="297">
        <v>32159</v>
      </c>
      <c r="I11" s="298">
        <v>126.83035865677196</v>
      </c>
      <c r="J11" s="299">
        <v>336.24</v>
      </c>
      <c r="K11" s="171">
        <v>176.9</v>
      </c>
      <c r="L11" s="300">
        <v>10.1</v>
      </c>
      <c r="M11" s="296">
        <f t="shared" si="0"/>
        <v>49339301.225828238</v>
      </c>
      <c r="N11" s="50">
        <f t="shared" si="1"/>
        <v>-389174.77417176217</v>
      </c>
      <c r="O11" s="103">
        <f t="shared" si="2"/>
        <v>-7.8259943894472481E-3</v>
      </c>
      <c r="P11" s="13">
        <f t="shared" si="3"/>
        <v>7.8259943894472481E-3</v>
      </c>
      <c r="Q11" s="347"/>
      <c r="R11" s="13"/>
      <c r="S11" t="s">
        <v>30</v>
      </c>
    </row>
    <row r="12" spans="1:25" x14ac:dyDescent="0.25">
      <c r="A12" s="169">
        <f t="shared" ref="A12:A75" si="5">EOMONTH(A11,1)</f>
        <v>37925</v>
      </c>
      <c r="B12" s="170">
        <v>58883124</v>
      </c>
      <c r="C12" s="230">
        <f>'Weather Analysis '!J17</f>
        <v>348.5</v>
      </c>
      <c r="D12" s="230">
        <f>+'Weather Analysis '!J37</f>
        <v>0</v>
      </c>
      <c r="E12" s="171">
        <v>1</v>
      </c>
      <c r="F12" s="171">
        <v>31</v>
      </c>
      <c r="G12" s="296">
        <v>0</v>
      </c>
      <c r="H12" s="297">
        <v>32189</v>
      </c>
      <c r="I12" s="298">
        <v>126.97738634907456</v>
      </c>
      <c r="J12" s="299">
        <v>351.91199999999998</v>
      </c>
      <c r="K12" s="171">
        <v>176.6</v>
      </c>
      <c r="L12" s="300">
        <v>8.6999999999999993</v>
      </c>
      <c r="M12" s="296">
        <f t="shared" si="0"/>
        <v>58878610.112919845</v>
      </c>
      <c r="N12" s="50">
        <f t="shared" si="1"/>
        <v>-4513.887080155313</v>
      </c>
      <c r="O12" s="103">
        <f t="shared" si="2"/>
        <v>-7.6658417107001875E-5</v>
      </c>
      <c r="P12" s="13">
        <f t="shared" si="3"/>
        <v>7.6658417107001875E-5</v>
      </c>
      <c r="Q12" s="347"/>
      <c r="R12" s="13"/>
      <c r="S12" s="35"/>
      <c r="T12" s="35" t="s">
        <v>34</v>
      </c>
      <c r="U12" s="35" t="s">
        <v>35</v>
      </c>
      <c r="V12" s="35" t="s">
        <v>36</v>
      </c>
      <c r="W12" s="35" t="s">
        <v>37</v>
      </c>
      <c r="X12" s="35" t="s">
        <v>38</v>
      </c>
    </row>
    <row r="13" spans="1:25" x14ac:dyDescent="0.25">
      <c r="A13" s="169">
        <f t="shared" si="5"/>
        <v>37955</v>
      </c>
      <c r="B13" s="170">
        <v>66040876</v>
      </c>
      <c r="C13" s="230">
        <f>'Weather Analysis '!J18</f>
        <v>494.7</v>
      </c>
      <c r="D13" s="230">
        <f>+'Weather Analysis '!J38</f>
        <v>0</v>
      </c>
      <c r="E13" s="171">
        <v>1</v>
      </c>
      <c r="F13" s="171">
        <v>30</v>
      </c>
      <c r="G13" s="296">
        <v>0</v>
      </c>
      <c r="H13" s="297">
        <v>32230</v>
      </c>
      <c r="I13" s="298">
        <v>127.12458448276465</v>
      </c>
      <c r="J13" s="299">
        <v>319.68</v>
      </c>
      <c r="K13" s="171">
        <v>175</v>
      </c>
      <c r="L13" s="300">
        <v>8.5</v>
      </c>
      <c r="M13" s="296">
        <f t="shared" si="0"/>
        <v>62898740.583305724</v>
      </c>
      <c r="N13" s="50">
        <f t="shared" si="1"/>
        <v>-3142135.416694276</v>
      </c>
      <c r="O13" s="103">
        <f t="shared" si="2"/>
        <v>-4.7578645333146034E-2</v>
      </c>
      <c r="P13" s="13">
        <f t="shared" si="3"/>
        <v>4.7578645333146034E-2</v>
      </c>
      <c r="Q13" s="347"/>
      <c r="R13" s="13"/>
      <c r="S13" s="33" t="s">
        <v>31</v>
      </c>
      <c r="T13" s="33">
        <v>6</v>
      </c>
      <c r="U13" s="33">
        <v>2.0798762041248708E+16</v>
      </c>
      <c r="V13" s="33">
        <v>3466460340208118</v>
      </c>
      <c r="W13" s="33">
        <v>745.06231869703004</v>
      </c>
      <c r="X13" s="33">
        <v>1.1378208740977467E-114</v>
      </c>
    </row>
    <row r="14" spans="1:25" x14ac:dyDescent="0.25">
      <c r="A14" s="169">
        <f t="shared" si="5"/>
        <v>37986</v>
      </c>
      <c r="B14" s="170">
        <v>76444416</v>
      </c>
      <c r="C14" s="230">
        <f>'Weather Analysis '!J19</f>
        <v>657.8</v>
      </c>
      <c r="D14" s="230">
        <f>+'Weather Analysis '!J39</f>
        <v>0</v>
      </c>
      <c r="E14" s="171">
        <v>0</v>
      </c>
      <c r="F14" s="171">
        <v>31</v>
      </c>
      <c r="G14" s="296">
        <v>0</v>
      </c>
      <c r="H14" s="297">
        <v>32256</v>
      </c>
      <c r="I14" s="298">
        <v>127.27195325542573</v>
      </c>
      <c r="J14" s="299">
        <v>336.28800000000001</v>
      </c>
      <c r="K14" s="171">
        <v>175.6</v>
      </c>
      <c r="L14" s="300">
        <v>7.8</v>
      </c>
      <c r="M14" s="296">
        <f t="shared" si="0"/>
        <v>74072327.931203514</v>
      </c>
      <c r="N14" s="50">
        <f t="shared" si="1"/>
        <v>-2372088.0687964857</v>
      </c>
      <c r="O14" s="103">
        <f t="shared" si="2"/>
        <v>-3.1030233376319934E-2</v>
      </c>
      <c r="P14" s="13">
        <f t="shared" si="3"/>
        <v>3.1030233376319934E-2</v>
      </c>
      <c r="Q14" s="347"/>
      <c r="R14" s="13"/>
      <c r="S14" s="33" t="s">
        <v>32</v>
      </c>
      <c r="T14" s="33">
        <v>161</v>
      </c>
      <c r="U14" s="33">
        <v>749065012104646.75</v>
      </c>
      <c r="V14" s="33">
        <v>4652577714935.6943</v>
      </c>
      <c r="W14" s="33"/>
      <c r="X14" s="33"/>
    </row>
    <row r="15" spans="1:25" ht="13.8" thickBot="1" x14ac:dyDescent="0.3">
      <c r="A15" s="169">
        <f t="shared" si="5"/>
        <v>38017</v>
      </c>
      <c r="B15" s="170">
        <v>89226740</v>
      </c>
      <c r="C15" s="230">
        <f>'Weather Analysis '!K8</f>
        <v>1006</v>
      </c>
      <c r="D15" s="230">
        <f>+'Weather Analysis '!K28</f>
        <v>0</v>
      </c>
      <c r="E15" s="171">
        <v>0</v>
      </c>
      <c r="F15" s="171">
        <v>31</v>
      </c>
      <c r="G15" s="296">
        <v>0</v>
      </c>
      <c r="H15" s="297">
        <v>32257</v>
      </c>
      <c r="I15" s="298">
        <v>127.53411264087498</v>
      </c>
      <c r="J15" s="301">
        <v>336.28800000000001</v>
      </c>
      <c r="K15" s="171">
        <v>175.8</v>
      </c>
      <c r="L15" s="300">
        <v>8.6</v>
      </c>
      <c r="M15" s="296">
        <f>+$T$43+C15*$T$44+D15*$T$45+E15*$T$46+F15*$T$47+G15*$T$48+ H15*$T$49</f>
        <v>87721948.072389543</v>
      </c>
      <c r="N15" s="50">
        <f t="shared" si="1"/>
        <v>-1504791.9276104569</v>
      </c>
      <c r="O15" s="103">
        <f t="shared" si="2"/>
        <v>-1.6864808997957979E-2</v>
      </c>
      <c r="P15" s="13">
        <f t="shared" si="3"/>
        <v>1.6864808997957979E-2</v>
      </c>
      <c r="Q15" s="347"/>
      <c r="R15" s="13"/>
      <c r="S15" s="34" t="s">
        <v>12</v>
      </c>
      <c r="T15" s="34">
        <v>167</v>
      </c>
      <c r="U15" s="34">
        <v>2.1547827053353356E+16</v>
      </c>
      <c r="V15" s="34"/>
      <c r="W15" s="34"/>
      <c r="X15" s="34"/>
    </row>
    <row r="16" spans="1:25" ht="13.8" thickBot="1" x14ac:dyDescent="0.3">
      <c r="A16" s="169">
        <f t="shared" si="5"/>
        <v>38046</v>
      </c>
      <c r="B16" s="170">
        <v>73066340</v>
      </c>
      <c r="C16" s="230">
        <f>'Weather Analysis '!K9</f>
        <v>707</v>
      </c>
      <c r="D16" s="230">
        <f>+'Weather Analysis '!K29</f>
        <v>0</v>
      </c>
      <c r="E16" s="171">
        <v>0</v>
      </c>
      <c r="F16" s="171">
        <v>29</v>
      </c>
      <c r="G16" s="296">
        <v>0</v>
      </c>
      <c r="H16" s="297">
        <v>32250</v>
      </c>
      <c r="I16" s="298">
        <v>127.79681203173486</v>
      </c>
      <c r="J16" s="301">
        <v>320.16000000000003</v>
      </c>
      <c r="K16" s="171">
        <v>175.4</v>
      </c>
      <c r="L16" s="300">
        <v>8.8000000000000007</v>
      </c>
      <c r="M16" s="296">
        <f t="shared" ref="M16:M79" si="6">+$T$43+C16*$T$44+D16*$T$45+E16*$T$46+F16*$T$47+G16*$T$48+ H16*$T$49</f>
        <v>72391831.47786355</v>
      </c>
      <c r="N16" s="50">
        <f t="shared" si="1"/>
        <v>-674508.52213644981</v>
      </c>
      <c r="O16" s="103">
        <f t="shared" si="2"/>
        <v>-9.2314535275264883E-3</v>
      </c>
      <c r="P16" s="13">
        <f t="shared" si="3"/>
        <v>9.2314535275264883E-3</v>
      </c>
      <c r="Q16" s="347"/>
      <c r="R16" s="13"/>
    </row>
    <row r="17" spans="1:25" x14ac:dyDescent="0.25">
      <c r="A17" s="169">
        <f t="shared" si="5"/>
        <v>38077</v>
      </c>
      <c r="B17" s="170">
        <v>71196888</v>
      </c>
      <c r="C17" s="230">
        <f>'Weather Analysis '!K10</f>
        <v>652.70000000000005</v>
      </c>
      <c r="D17" s="230">
        <f>+'Weather Analysis '!K30</f>
        <v>0</v>
      </c>
      <c r="E17" s="171">
        <v>1</v>
      </c>
      <c r="F17" s="171">
        <v>31</v>
      </c>
      <c r="G17" s="296">
        <v>0</v>
      </c>
      <c r="H17" s="297">
        <v>32199</v>
      </c>
      <c r="I17" s="298">
        <v>128.06005254032812</v>
      </c>
      <c r="J17" s="301">
        <v>368.28</v>
      </c>
      <c r="K17" s="171">
        <v>173.9</v>
      </c>
      <c r="L17" s="300">
        <v>10.1</v>
      </c>
      <c r="M17" s="296">
        <f t="shared" si="6"/>
        <v>70822976.197816968</v>
      </c>
      <c r="N17" s="50">
        <f t="shared" si="1"/>
        <v>-373911.80218303204</v>
      </c>
      <c r="O17" s="103">
        <f t="shared" si="2"/>
        <v>-5.2517998003372285E-3</v>
      </c>
      <c r="P17" s="13">
        <f t="shared" si="3"/>
        <v>5.2517998003372285E-3</v>
      </c>
      <c r="Q17" s="347"/>
      <c r="R17" s="13"/>
      <c r="S17" s="35"/>
      <c r="T17" s="35" t="s">
        <v>39</v>
      </c>
      <c r="U17" s="35" t="s">
        <v>28</v>
      </c>
      <c r="V17" s="35" t="s">
        <v>40</v>
      </c>
      <c r="W17" s="35" t="s">
        <v>41</v>
      </c>
      <c r="X17" s="35" t="s">
        <v>42</v>
      </c>
      <c r="Y17" s="35" t="s">
        <v>43</v>
      </c>
    </row>
    <row r="18" spans="1:25" x14ac:dyDescent="0.25">
      <c r="A18" s="169">
        <f t="shared" si="5"/>
        <v>38107</v>
      </c>
      <c r="B18" s="170">
        <v>61357220</v>
      </c>
      <c r="C18" s="230">
        <f>'Weather Analysis '!K11</f>
        <v>457.4</v>
      </c>
      <c r="D18" s="230">
        <f>+'Weather Analysis '!K31</f>
        <v>0</v>
      </c>
      <c r="E18" s="171">
        <v>1</v>
      </c>
      <c r="F18" s="171">
        <v>30</v>
      </c>
      <c r="G18" s="296">
        <v>0</v>
      </c>
      <c r="H18" s="297">
        <v>32154</v>
      </c>
      <c r="I18" s="298">
        <v>128.32383528126866</v>
      </c>
      <c r="J18" s="301">
        <v>336.24</v>
      </c>
      <c r="K18" s="171">
        <v>173.7</v>
      </c>
      <c r="L18" s="300">
        <v>10.5</v>
      </c>
      <c r="M18" s="296">
        <f t="shared" si="6"/>
        <v>61273832.134870388</v>
      </c>
      <c r="N18" s="50">
        <f t="shared" si="1"/>
        <v>-83387.865129612386</v>
      </c>
      <c r="O18" s="103">
        <f t="shared" si="2"/>
        <v>-1.35905546453396E-3</v>
      </c>
      <c r="P18" s="13">
        <f t="shared" si="3"/>
        <v>1.35905546453396E-3</v>
      </c>
      <c r="Q18" s="347"/>
      <c r="R18" s="13"/>
      <c r="S18" s="33" t="s">
        <v>33</v>
      </c>
      <c r="T18" s="293">
        <v>-92792689.92313543</v>
      </c>
      <c r="U18" s="293">
        <v>28164980.221083801</v>
      </c>
      <c r="V18" s="348">
        <v>-3.2946122878393673</v>
      </c>
      <c r="W18" s="33">
        <v>1.2120833294354738E-3</v>
      </c>
      <c r="X18" s="293">
        <v>-148413120.76776084</v>
      </c>
      <c r="Y18" s="293">
        <v>-37172259.078510024</v>
      </c>
    </row>
    <row r="19" spans="1:25" x14ac:dyDescent="0.25">
      <c r="A19" s="169">
        <f t="shared" si="5"/>
        <v>38138</v>
      </c>
      <c r="B19" s="170">
        <v>55571152</v>
      </c>
      <c r="C19" s="230">
        <f>'Weather Analysis '!K12</f>
        <v>297.89999999999998</v>
      </c>
      <c r="D19" s="230">
        <f>+'Weather Analysis '!K32</f>
        <v>0.2</v>
      </c>
      <c r="E19" s="171">
        <v>1</v>
      </c>
      <c r="F19" s="171">
        <v>31</v>
      </c>
      <c r="G19" s="296">
        <v>0</v>
      </c>
      <c r="H19" s="297">
        <v>32212</v>
      </c>
      <c r="I19" s="298">
        <v>128.58816137146633</v>
      </c>
      <c r="J19" s="301">
        <v>319.92</v>
      </c>
      <c r="K19" s="171">
        <v>174.9</v>
      </c>
      <c r="L19" s="300">
        <v>10</v>
      </c>
      <c r="M19" s="296">
        <f t="shared" si="6"/>
        <v>56960993.743538536</v>
      </c>
      <c r="N19" s="50">
        <f t="shared" si="1"/>
        <v>1389841.7435385361</v>
      </c>
      <c r="O19" s="103">
        <f t="shared" si="2"/>
        <v>2.5010130139798723E-2</v>
      </c>
      <c r="P19" s="13">
        <f t="shared" si="3"/>
        <v>2.5010130139798723E-2</v>
      </c>
      <c r="Q19" s="347"/>
      <c r="R19" s="13"/>
      <c r="S19" s="33" t="s">
        <v>4</v>
      </c>
      <c r="T19" s="293">
        <v>39810.865930730841</v>
      </c>
      <c r="U19" s="293">
        <v>784.63483761578448</v>
      </c>
      <c r="V19" s="348">
        <v>50.738080980066293</v>
      </c>
      <c r="W19" s="33">
        <v>6.0362413048508782E-101</v>
      </c>
      <c r="X19" s="293">
        <v>38261.36270433684</v>
      </c>
      <c r="Y19" s="293">
        <v>41360.369157124842</v>
      </c>
    </row>
    <row r="20" spans="1:25" x14ac:dyDescent="0.25">
      <c r="A20" s="169">
        <f t="shared" si="5"/>
        <v>38168</v>
      </c>
      <c r="B20" s="170">
        <v>49366380</v>
      </c>
      <c r="C20" s="230">
        <f>'Weather Analysis '!K13</f>
        <v>151.4</v>
      </c>
      <c r="D20" s="230">
        <f>+'Weather Analysis '!K33</f>
        <v>2.2000000000000002</v>
      </c>
      <c r="E20" s="171">
        <v>0</v>
      </c>
      <c r="F20" s="171">
        <v>30</v>
      </c>
      <c r="G20" s="296">
        <v>0</v>
      </c>
      <c r="H20" s="297">
        <v>32194</v>
      </c>
      <c r="I20" s="298">
        <v>128.85303193013166</v>
      </c>
      <c r="J20" s="301">
        <v>352.08</v>
      </c>
      <c r="K20" s="171">
        <v>176.9</v>
      </c>
      <c r="L20" s="300">
        <v>9.4</v>
      </c>
      <c r="M20" s="296">
        <f t="shared" si="6"/>
        <v>52472686.309758268</v>
      </c>
      <c r="N20" s="50">
        <f t="shared" si="1"/>
        <v>3106306.3097582683</v>
      </c>
      <c r="O20" s="103">
        <f t="shared" si="2"/>
        <v>6.2923518187038799E-2</v>
      </c>
      <c r="P20" s="13">
        <f t="shared" si="3"/>
        <v>6.2923518187038799E-2</v>
      </c>
      <c r="Q20" s="347"/>
      <c r="R20" s="13"/>
      <c r="S20" s="33" t="s">
        <v>5</v>
      </c>
      <c r="T20" s="293">
        <v>84271.358698521362</v>
      </c>
      <c r="U20" s="293">
        <v>14582.622019041599</v>
      </c>
      <c r="V20" s="348">
        <v>5.7788893237774435</v>
      </c>
      <c r="W20" s="33">
        <v>3.789338892856753E-8</v>
      </c>
      <c r="X20" s="293">
        <v>55473.478736360194</v>
      </c>
      <c r="Y20" s="293">
        <v>113069.23866068253</v>
      </c>
    </row>
    <row r="21" spans="1:25" x14ac:dyDescent="0.25">
      <c r="A21" s="169">
        <f t="shared" si="5"/>
        <v>38199</v>
      </c>
      <c r="B21" s="170">
        <v>51210208</v>
      </c>
      <c r="C21" s="230">
        <f>'Weather Analysis '!K14</f>
        <v>54.7</v>
      </c>
      <c r="D21" s="230">
        <f>+'Weather Analysis '!K34</f>
        <v>15.4</v>
      </c>
      <c r="E21" s="171">
        <v>0</v>
      </c>
      <c r="F21" s="171">
        <v>31</v>
      </c>
      <c r="G21" s="296">
        <v>0</v>
      </c>
      <c r="H21" s="297">
        <v>32195</v>
      </c>
      <c r="I21" s="298">
        <v>129.11844807878055</v>
      </c>
      <c r="J21" s="301">
        <v>336.28800000000001</v>
      </c>
      <c r="K21" s="171">
        <v>175.7</v>
      </c>
      <c r="L21" s="300">
        <v>8.9</v>
      </c>
      <c r="M21" s="296">
        <f t="shared" si="6"/>
        <v>51558646.67284102</v>
      </c>
      <c r="N21" s="50">
        <f t="shared" si="1"/>
        <v>348438.67284101993</v>
      </c>
      <c r="O21" s="103">
        <f t="shared" si="2"/>
        <v>6.8040862642272399E-3</v>
      </c>
      <c r="P21" s="13">
        <f t="shared" si="3"/>
        <v>6.8040862642272399E-3</v>
      </c>
      <c r="Q21" s="347"/>
      <c r="R21" s="13"/>
      <c r="S21" s="33" t="s">
        <v>22</v>
      </c>
      <c r="T21" s="293">
        <v>-2894992.4692334202</v>
      </c>
      <c r="U21" s="293">
        <v>391995.56300616142</v>
      </c>
      <c r="V21" s="348">
        <v>-7.3852684633267556</v>
      </c>
      <c r="W21" s="33">
        <v>7.7418540189495814E-12</v>
      </c>
      <c r="X21" s="293">
        <v>-3669108.4789887862</v>
      </c>
      <c r="Y21" s="293">
        <v>-2120876.4594780542</v>
      </c>
    </row>
    <row r="22" spans="1:25" x14ac:dyDescent="0.25">
      <c r="A22" s="169">
        <f t="shared" si="5"/>
        <v>38230</v>
      </c>
      <c r="B22" s="170">
        <v>50192756</v>
      </c>
      <c r="C22" s="230">
        <f>'Weather Analysis '!K15</f>
        <v>83</v>
      </c>
      <c r="D22" s="230">
        <f>+'Weather Analysis '!K35</f>
        <v>13.5</v>
      </c>
      <c r="E22" s="171">
        <v>0</v>
      </c>
      <c r="F22" s="171">
        <v>31</v>
      </c>
      <c r="G22" s="296">
        <v>0</v>
      </c>
      <c r="H22" s="297">
        <v>32205</v>
      </c>
      <c r="I22" s="298">
        <v>129.38441094123903</v>
      </c>
      <c r="J22" s="301">
        <v>336.28800000000001</v>
      </c>
      <c r="K22" s="171">
        <v>172.6</v>
      </c>
      <c r="L22" s="300">
        <v>9.8000000000000007</v>
      </c>
      <c r="M22" s="296">
        <f t="shared" si="6"/>
        <v>52534422.610944115</v>
      </c>
      <c r="N22" s="50">
        <f t="shared" si="1"/>
        <v>2341666.6109441146</v>
      </c>
      <c r="O22" s="103">
        <f t="shared" si="2"/>
        <v>4.6653477464838049E-2</v>
      </c>
      <c r="P22" s="13">
        <f t="shared" si="3"/>
        <v>4.6653477464838049E-2</v>
      </c>
      <c r="Q22" s="347"/>
      <c r="R22" s="13"/>
      <c r="S22" s="33" t="s">
        <v>6</v>
      </c>
      <c r="T22" s="293">
        <v>1815876.5056657675</v>
      </c>
      <c r="U22" s="293">
        <v>210619.83519123937</v>
      </c>
      <c r="V22" s="348">
        <v>8.6215835465685426</v>
      </c>
      <c r="W22" s="33">
        <v>5.911812343582763E-15</v>
      </c>
      <c r="X22" s="293">
        <v>1399942.7508466796</v>
      </c>
      <c r="Y22" s="293">
        <v>2231810.2604848556</v>
      </c>
    </row>
    <row r="23" spans="1:25" x14ac:dyDescent="0.25">
      <c r="A23" s="169">
        <f t="shared" si="5"/>
        <v>38260</v>
      </c>
      <c r="B23" s="170">
        <v>50272804</v>
      </c>
      <c r="C23" s="230">
        <f>'Weather Analysis '!K16</f>
        <v>84.1</v>
      </c>
      <c r="D23" s="230">
        <f>+'Weather Analysis '!K36</f>
        <v>24.3</v>
      </c>
      <c r="E23" s="171">
        <v>1</v>
      </c>
      <c r="F23" s="171">
        <v>30</v>
      </c>
      <c r="G23" s="296">
        <v>0</v>
      </c>
      <c r="H23" s="297">
        <v>32206</v>
      </c>
      <c r="I23" s="298">
        <v>129.65092164364802</v>
      </c>
      <c r="J23" s="301">
        <v>336.24</v>
      </c>
      <c r="K23" s="171">
        <v>168.7</v>
      </c>
      <c r="L23" s="300">
        <v>10.5</v>
      </c>
      <c r="M23" s="296">
        <f t="shared" si="6"/>
        <v>48734735.492935605</v>
      </c>
      <c r="N23" s="50">
        <f t="shared" si="1"/>
        <v>-1538068.5070643947</v>
      </c>
      <c r="O23" s="103">
        <f t="shared" si="2"/>
        <v>-3.0594444405058343E-2</v>
      </c>
      <c r="P23" s="13">
        <f t="shared" si="3"/>
        <v>3.0594444405058343E-2</v>
      </c>
      <c r="Q23" s="347"/>
      <c r="R23" s="13"/>
      <c r="S23" s="33" t="s">
        <v>114</v>
      </c>
      <c r="T23" s="348">
        <v>-3.6795594206276183</v>
      </c>
      <c r="U23" s="293">
        <v>0.55585713835404693</v>
      </c>
      <c r="V23" s="348">
        <v>-6.6196135063106167</v>
      </c>
      <c r="W23" s="33">
        <v>5.0996320928845613E-10</v>
      </c>
      <c r="X23" s="293">
        <v>-4.7772705953071846</v>
      </c>
      <c r="Y23" s="293">
        <v>-2.5818482459480521</v>
      </c>
    </row>
    <row r="24" spans="1:25" ht="13.8" thickBot="1" x14ac:dyDescent="0.3">
      <c r="A24" s="169">
        <f t="shared" si="5"/>
        <v>38291</v>
      </c>
      <c r="B24" s="170">
        <v>57641764</v>
      </c>
      <c r="C24" s="230">
        <f>'Weather Analysis '!K17</f>
        <v>307.3</v>
      </c>
      <c r="D24" s="230">
        <f>+'Weather Analysis '!K37</f>
        <v>0</v>
      </c>
      <c r="E24" s="171">
        <v>1</v>
      </c>
      <c r="F24" s="171">
        <v>31</v>
      </c>
      <c r="G24" s="296">
        <v>0</v>
      </c>
      <c r="H24" s="297">
        <v>32231</v>
      </c>
      <c r="I24" s="298">
        <v>129.91798131446814</v>
      </c>
      <c r="J24" s="301">
        <v>319.92</v>
      </c>
      <c r="K24" s="171">
        <v>168.5</v>
      </c>
      <c r="L24" s="300">
        <v>9.9</v>
      </c>
      <c r="M24" s="296">
        <f t="shared" si="6"/>
        <v>57353858.707749523</v>
      </c>
      <c r="N24" s="50">
        <f t="shared" si="1"/>
        <v>-287905.29225047678</v>
      </c>
      <c r="O24" s="103">
        <f t="shared" si="2"/>
        <v>-4.9947342390575826E-3</v>
      </c>
      <c r="P24" s="13">
        <f t="shared" si="3"/>
        <v>4.9947342390575826E-3</v>
      </c>
      <c r="Q24" s="347"/>
      <c r="R24" s="13"/>
      <c r="S24" s="34" t="s">
        <v>102</v>
      </c>
      <c r="T24" s="294">
        <v>2620.2112079091107</v>
      </c>
      <c r="U24" s="294">
        <v>846.07373372448887</v>
      </c>
      <c r="V24" s="349">
        <v>3.0969064556285386</v>
      </c>
      <c r="W24" s="34">
        <v>2.3075069986230302E-3</v>
      </c>
      <c r="X24" s="294">
        <v>949.37795233134079</v>
      </c>
      <c r="Y24" s="294">
        <v>4291.0444634868809</v>
      </c>
    </row>
    <row r="25" spans="1:25" x14ac:dyDescent="0.25">
      <c r="A25" s="169">
        <f t="shared" si="5"/>
        <v>38321</v>
      </c>
      <c r="B25" s="170">
        <v>64887008</v>
      </c>
      <c r="C25" s="230">
        <f>'Weather Analysis '!K18</f>
        <v>462.7</v>
      </c>
      <c r="D25" s="230">
        <f>+'Weather Analysis '!K38</f>
        <v>0</v>
      </c>
      <c r="E25" s="171">
        <v>1</v>
      </c>
      <c r="F25" s="171">
        <v>30</v>
      </c>
      <c r="G25" s="296">
        <v>0</v>
      </c>
      <c r="H25" s="297">
        <v>32250</v>
      </c>
      <c r="I25" s="298">
        <v>130.18559108448443</v>
      </c>
      <c r="J25" s="301">
        <v>352.08</v>
      </c>
      <c r="K25" s="171">
        <v>169.9</v>
      </c>
      <c r="L25" s="300">
        <v>10</v>
      </c>
      <c r="M25" s="296">
        <f t="shared" si="6"/>
        <v>61687404.98817233</v>
      </c>
      <c r="N25" s="50">
        <f t="shared" si="1"/>
        <v>-3199603.01182767</v>
      </c>
      <c r="O25" s="103">
        <f t="shared" si="2"/>
        <v>-4.9310379850272493E-2</v>
      </c>
      <c r="P25" s="13">
        <f t="shared" si="3"/>
        <v>4.9310379850272493E-2</v>
      </c>
      <c r="Q25" s="347"/>
      <c r="R25" s="13"/>
    </row>
    <row r="26" spans="1:25" x14ac:dyDescent="0.25">
      <c r="A26" s="169">
        <f t="shared" si="5"/>
        <v>38352</v>
      </c>
      <c r="B26" s="170">
        <v>83696492</v>
      </c>
      <c r="C26" s="230">
        <f>'Weather Analysis '!K19</f>
        <v>796.9</v>
      </c>
      <c r="D26" s="230">
        <f>+'Weather Analysis '!K39</f>
        <v>0</v>
      </c>
      <c r="E26" s="171">
        <v>0</v>
      </c>
      <c r="F26" s="171">
        <v>31</v>
      </c>
      <c r="G26" s="296">
        <v>0</v>
      </c>
      <c r="H26" s="297">
        <v>32296</v>
      </c>
      <c r="I26" s="298">
        <v>130.45375208681136</v>
      </c>
      <c r="J26" s="301">
        <v>336.28800000000001</v>
      </c>
      <c r="K26" s="171">
        <v>172.3</v>
      </c>
      <c r="L26" s="300">
        <v>9.5</v>
      </c>
      <c r="M26" s="296">
        <f t="shared" si="6"/>
        <v>79610031.136715651</v>
      </c>
      <c r="N26" s="50">
        <f t="shared" si="1"/>
        <v>-4086460.8632843494</v>
      </c>
      <c r="O26" s="103">
        <f t="shared" si="2"/>
        <v>-4.8824756756643391E-2</v>
      </c>
      <c r="P26" s="13">
        <f t="shared" si="3"/>
        <v>4.8824756756643391E-2</v>
      </c>
      <c r="Q26" s="347"/>
      <c r="R26" s="13"/>
    </row>
    <row r="27" spans="1:25" x14ac:dyDescent="0.25">
      <c r="A27" s="169">
        <f t="shared" si="5"/>
        <v>38383</v>
      </c>
      <c r="B27" s="170">
        <v>88287600</v>
      </c>
      <c r="C27" s="230">
        <f>'Weather Analysis '!L8</f>
        <v>925.1</v>
      </c>
      <c r="D27" s="230">
        <f>+'Weather Analysis '!L28</f>
        <v>0</v>
      </c>
      <c r="E27" s="171">
        <v>0</v>
      </c>
      <c r="F27" s="171">
        <v>31</v>
      </c>
      <c r="G27" s="296">
        <v>0</v>
      </c>
      <c r="H27" s="297">
        <v>32294</v>
      </c>
      <c r="I27" s="298">
        <v>130.74370215685079</v>
      </c>
      <c r="J27" s="301">
        <v>319.92</v>
      </c>
      <c r="K27" s="171">
        <v>173.3</v>
      </c>
      <c r="L27" s="300">
        <v>11.1</v>
      </c>
      <c r="M27" s="296">
        <f t="shared" si="6"/>
        <v>84630459.622237653</v>
      </c>
      <c r="N27" s="50">
        <f t="shared" si="1"/>
        <v>-3657140.3777623475</v>
      </c>
      <c r="O27" s="103">
        <f t="shared" si="2"/>
        <v>-4.1423035372604389E-2</v>
      </c>
      <c r="P27" s="13">
        <f t="shared" si="3"/>
        <v>4.1423035372604389E-2</v>
      </c>
      <c r="Q27" s="347"/>
      <c r="R27" s="13"/>
      <c r="S27" s="399" t="s">
        <v>23</v>
      </c>
      <c r="T27" s="399"/>
      <c r="U27" s="399"/>
      <c r="V27" s="399"/>
      <c r="W27" s="399"/>
      <c r="X27" s="399"/>
      <c r="Y27" s="399"/>
    </row>
    <row r="28" spans="1:25" ht="13.8" thickBot="1" x14ac:dyDescent="0.3">
      <c r="A28" s="169">
        <f t="shared" si="5"/>
        <v>38411</v>
      </c>
      <c r="B28" s="170">
        <v>71065788</v>
      </c>
      <c r="C28" s="230">
        <f>'Weather Analysis '!L9</f>
        <v>693.6</v>
      </c>
      <c r="D28" s="230">
        <f>+'Weather Analysis '!L29</f>
        <v>0</v>
      </c>
      <c r="E28" s="171">
        <v>0</v>
      </c>
      <c r="F28" s="171">
        <v>28</v>
      </c>
      <c r="G28" s="296">
        <v>0</v>
      </c>
      <c r="H28" s="297">
        <v>32296</v>
      </c>
      <c r="I28" s="298">
        <v>131.0342966778299</v>
      </c>
      <c r="J28" s="301">
        <v>319.87200000000001</v>
      </c>
      <c r="K28" s="171">
        <v>175.1</v>
      </c>
      <c r="L28" s="300">
        <v>11.9</v>
      </c>
      <c r="M28" s="296">
        <f t="shared" si="6"/>
        <v>70167263.163202763</v>
      </c>
      <c r="N28" s="50">
        <f t="shared" si="1"/>
        <v>-898524.8367972374</v>
      </c>
      <c r="O28" s="103">
        <f t="shared" si="2"/>
        <v>-1.2643563971980968E-2</v>
      </c>
      <c r="P28" s="13">
        <f t="shared" si="3"/>
        <v>1.2643563971980968E-2</v>
      </c>
      <c r="Q28" s="347"/>
      <c r="R28" s="13"/>
      <c r="S28" s="399"/>
      <c r="T28" s="399"/>
      <c r="U28" s="399"/>
      <c r="V28" s="399"/>
      <c r="W28" s="399"/>
      <c r="X28" s="399"/>
      <c r="Y28" s="399"/>
    </row>
    <row r="29" spans="1:25" x14ac:dyDescent="0.25">
      <c r="A29" s="169">
        <f t="shared" si="5"/>
        <v>38442</v>
      </c>
      <c r="B29" s="170">
        <v>73186104</v>
      </c>
      <c r="C29" s="230">
        <f>'Weather Analysis '!L10</f>
        <v>744.9</v>
      </c>
      <c r="D29" s="230">
        <f>+'Weather Analysis '!L30</f>
        <v>0</v>
      </c>
      <c r="E29" s="171">
        <v>1</v>
      </c>
      <c r="F29" s="171">
        <v>31</v>
      </c>
      <c r="G29" s="296">
        <v>0</v>
      </c>
      <c r="H29" s="297">
        <v>32283</v>
      </c>
      <c r="I29" s="298">
        <v>131.32553708212293</v>
      </c>
      <c r="J29" s="301">
        <v>351.91199999999998</v>
      </c>
      <c r="K29" s="171">
        <v>176.4</v>
      </c>
      <c r="L29" s="300">
        <v>14.8</v>
      </c>
      <c r="M29" s="296">
        <f t="shared" si="6"/>
        <v>74616808.540125251</v>
      </c>
      <c r="N29" s="50">
        <f t="shared" si="1"/>
        <v>1430704.5401252508</v>
      </c>
      <c r="O29" s="103">
        <f t="shared" si="2"/>
        <v>1.9548855068514795E-2</v>
      </c>
      <c r="P29" s="13">
        <f t="shared" si="3"/>
        <v>1.9548855068514795E-2</v>
      </c>
      <c r="Q29" s="347"/>
      <c r="R29" s="13"/>
      <c r="S29" s="400" t="s">
        <v>24</v>
      </c>
      <c r="T29" s="400"/>
      <c r="U29" s="399"/>
      <c r="V29" s="399"/>
      <c r="W29" s="399"/>
      <c r="X29" s="399"/>
      <c r="Y29" s="399"/>
    </row>
    <row r="30" spans="1:25" x14ac:dyDescent="0.25">
      <c r="A30" s="169">
        <f t="shared" si="5"/>
        <v>38472</v>
      </c>
      <c r="B30" s="170">
        <v>56446820</v>
      </c>
      <c r="C30" s="230">
        <f>'Weather Analysis '!L11</f>
        <v>369.1</v>
      </c>
      <c r="D30" s="230">
        <f>+'Weather Analysis '!L31</f>
        <v>0</v>
      </c>
      <c r="E30" s="171">
        <v>1</v>
      </c>
      <c r="F30" s="171">
        <v>30</v>
      </c>
      <c r="G30" s="296">
        <v>0</v>
      </c>
      <c r="H30" s="297">
        <v>32297</v>
      </c>
      <c r="I30" s="298">
        <v>131.61742480528775</v>
      </c>
      <c r="J30" s="301">
        <v>336.24</v>
      </c>
      <c r="K30" s="171">
        <v>178.3</v>
      </c>
      <c r="L30" s="300">
        <v>14.5</v>
      </c>
      <c r="M30" s="296">
        <f t="shared" si="6"/>
        <v>58119590.12650039</v>
      </c>
      <c r="N30" s="50">
        <f t="shared" si="1"/>
        <v>1672770.1265003905</v>
      </c>
      <c r="O30" s="103">
        <f t="shared" si="2"/>
        <v>2.9634444004115565E-2</v>
      </c>
      <c r="P30" s="13">
        <f t="shared" si="3"/>
        <v>2.9634444004115565E-2</v>
      </c>
      <c r="Q30" s="347"/>
      <c r="R30" s="13"/>
      <c r="S30" s="401" t="s">
        <v>25</v>
      </c>
      <c r="T30" s="402">
        <v>0.98146737825638308</v>
      </c>
      <c r="U30" s="399"/>
      <c r="V30" s="399"/>
      <c r="W30" s="399"/>
      <c r="X30" s="399"/>
      <c r="Y30" s="399"/>
    </row>
    <row r="31" spans="1:25" x14ac:dyDescent="0.25">
      <c r="A31" s="169">
        <f t="shared" si="5"/>
        <v>38503</v>
      </c>
      <c r="B31" s="170">
        <v>53664344</v>
      </c>
      <c r="C31" s="230">
        <f>'Weather Analysis '!L12</f>
        <v>259</v>
      </c>
      <c r="D31" s="230">
        <f>+'Weather Analysis '!L32</f>
        <v>0</v>
      </c>
      <c r="E31" s="171">
        <v>1</v>
      </c>
      <c r="F31" s="171">
        <v>31</v>
      </c>
      <c r="G31" s="296">
        <v>0</v>
      </c>
      <c r="H31" s="297">
        <v>32300</v>
      </c>
      <c r="I31" s="298">
        <v>131.90996128607298</v>
      </c>
      <c r="J31" s="301">
        <v>336.28800000000001</v>
      </c>
      <c r="K31" s="171">
        <v>178.7</v>
      </c>
      <c r="L31" s="300">
        <v>13.2</v>
      </c>
      <c r="M31" s="296">
        <f t="shared" si="6"/>
        <v>55608720.623780437</v>
      </c>
      <c r="N31" s="50">
        <f t="shared" si="1"/>
        <v>1944376.6237804368</v>
      </c>
      <c r="O31" s="103">
        <f t="shared" si="2"/>
        <v>3.6232188430001804E-2</v>
      </c>
      <c r="P31" s="13">
        <f t="shared" si="3"/>
        <v>3.6232188430001804E-2</v>
      </c>
      <c r="Q31" s="347"/>
      <c r="R31" s="13"/>
      <c r="S31" s="401" t="s">
        <v>26</v>
      </c>
      <c r="T31" s="402">
        <v>0.96327821458145813</v>
      </c>
      <c r="U31" s="399"/>
      <c r="V31" s="399"/>
      <c r="W31" s="399"/>
      <c r="X31" s="399"/>
      <c r="Y31" s="399"/>
    </row>
    <row r="32" spans="1:25" x14ac:dyDescent="0.25">
      <c r="A32" s="169">
        <f t="shared" si="5"/>
        <v>38533</v>
      </c>
      <c r="B32" s="170">
        <v>51111168</v>
      </c>
      <c r="C32" s="230">
        <f>'Weather Analysis '!L13</f>
        <v>31.7</v>
      </c>
      <c r="D32" s="230">
        <f>+'Weather Analysis '!L33</f>
        <v>41.8</v>
      </c>
      <c r="E32" s="171">
        <v>0</v>
      </c>
      <c r="F32" s="171">
        <v>30</v>
      </c>
      <c r="G32" s="296">
        <v>0</v>
      </c>
      <c r="H32" s="297">
        <v>32310</v>
      </c>
      <c r="I32" s="298">
        <v>132.20314796642501</v>
      </c>
      <c r="J32" s="301">
        <v>352.08</v>
      </c>
      <c r="K32" s="171">
        <v>178.3</v>
      </c>
      <c r="L32" s="300">
        <v>11.3</v>
      </c>
      <c r="M32" s="296">
        <f t="shared" si="6"/>
        <v>51257589.663957544</v>
      </c>
      <c r="N32" s="50">
        <f t="shared" si="1"/>
        <v>146421.66395754367</v>
      </c>
      <c r="O32" s="103">
        <f t="shared" si="2"/>
        <v>2.8647684975139616E-3</v>
      </c>
      <c r="P32" s="13">
        <f t="shared" si="3"/>
        <v>2.8647684975139616E-3</v>
      </c>
      <c r="Q32" s="347"/>
      <c r="R32" s="13"/>
      <c r="S32" s="401" t="s">
        <v>27</v>
      </c>
      <c r="T32" s="402">
        <v>0.96200462664786701</v>
      </c>
      <c r="U32" s="399"/>
      <c r="V32" s="399"/>
      <c r="W32" s="399"/>
      <c r="X32" s="399"/>
      <c r="Y32" s="399"/>
    </row>
    <row r="33" spans="1:44" x14ac:dyDescent="0.25">
      <c r="A33" s="169">
        <f t="shared" si="5"/>
        <v>38564</v>
      </c>
      <c r="B33" s="170">
        <v>53387012</v>
      </c>
      <c r="C33" s="230">
        <f>'Weather Analysis '!L14</f>
        <v>34.9</v>
      </c>
      <c r="D33" s="230">
        <f>+'Weather Analysis '!L34</f>
        <v>78.8</v>
      </c>
      <c r="E33" s="171">
        <v>0</v>
      </c>
      <c r="F33" s="171">
        <v>31</v>
      </c>
      <c r="G33" s="296">
        <v>0</v>
      </c>
      <c r="H33" s="297">
        <v>32356</v>
      </c>
      <c r="I33" s="298">
        <v>132.49698629149512</v>
      </c>
      <c r="J33" s="301">
        <v>319.92</v>
      </c>
      <c r="K33" s="171">
        <v>176.6</v>
      </c>
      <c r="L33" s="300">
        <v>11.3</v>
      </c>
      <c r="M33" s="296">
        <f t="shared" si="6"/>
        <v>56295460.577796645</v>
      </c>
      <c r="N33" s="50">
        <f t="shared" si="1"/>
        <v>2908448.5777966455</v>
      </c>
      <c r="O33" s="103">
        <f t="shared" si="2"/>
        <v>5.4478579505379425E-2</v>
      </c>
      <c r="P33" s="13">
        <f t="shared" si="3"/>
        <v>5.4478579505379425E-2</v>
      </c>
      <c r="Q33" s="347"/>
      <c r="R33" s="13"/>
      <c r="S33" s="401" t="s">
        <v>28</v>
      </c>
      <c r="T33" s="403">
        <v>2203780.3125988408</v>
      </c>
      <c r="U33" s="399"/>
      <c r="V33" s="399"/>
      <c r="W33" s="399"/>
      <c r="X33" s="399"/>
      <c r="Y33" s="399"/>
    </row>
    <row r="34" spans="1:44" ht="13.8" thickBot="1" x14ac:dyDescent="0.3">
      <c r="A34" s="169">
        <f t="shared" si="5"/>
        <v>38595</v>
      </c>
      <c r="B34" s="170">
        <v>52102684</v>
      </c>
      <c r="C34" s="230">
        <f>'Weather Analysis '!L15</f>
        <v>23.7</v>
      </c>
      <c r="D34" s="230">
        <f>+'Weather Analysis '!L35</f>
        <v>40.6</v>
      </c>
      <c r="E34" s="171">
        <v>0</v>
      </c>
      <c r="F34" s="171">
        <v>31</v>
      </c>
      <c r="G34" s="296">
        <v>0</v>
      </c>
      <c r="H34" s="297">
        <v>32376</v>
      </c>
      <c r="I34" s="298">
        <v>132.79147770964664</v>
      </c>
      <c r="J34" s="301">
        <v>351.91199999999998</v>
      </c>
      <c r="K34" s="171">
        <v>175.5</v>
      </c>
      <c r="L34" s="300">
        <v>12.8</v>
      </c>
      <c r="M34" s="296">
        <f t="shared" si="6"/>
        <v>52785738.211344026</v>
      </c>
      <c r="N34" s="50">
        <f t="shared" si="1"/>
        <v>683054.21134402603</v>
      </c>
      <c r="O34" s="103">
        <f t="shared" si="2"/>
        <v>1.3109770148194784E-2</v>
      </c>
      <c r="P34" s="13">
        <f t="shared" si="3"/>
        <v>1.3109770148194784E-2</v>
      </c>
      <c r="Q34" s="347"/>
      <c r="R34" s="13"/>
      <c r="S34" s="404" t="s">
        <v>29</v>
      </c>
      <c r="T34" s="404">
        <v>180</v>
      </c>
      <c r="U34" s="399"/>
      <c r="V34" s="399"/>
      <c r="W34" s="399"/>
      <c r="X34" s="399"/>
      <c r="Y34" s="399"/>
    </row>
    <row r="35" spans="1:44" x14ac:dyDescent="0.25">
      <c r="A35" s="169">
        <f t="shared" si="5"/>
        <v>38625</v>
      </c>
      <c r="B35" s="170">
        <v>49504120</v>
      </c>
      <c r="C35" s="230">
        <f>'Weather Analysis '!L16</f>
        <v>82.6</v>
      </c>
      <c r="D35" s="230">
        <f>+'Weather Analysis '!L36</f>
        <v>22.3</v>
      </c>
      <c r="E35" s="171">
        <v>1</v>
      </c>
      <c r="F35" s="171">
        <v>30</v>
      </c>
      <c r="G35" s="296">
        <v>0</v>
      </c>
      <c r="H35" s="297">
        <v>32360</v>
      </c>
      <c r="I35" s="298">
        <v>133.08662367246211</v>
      </c>
      <c r="J35" s="301">
        <v>336.24</v>
      </c>
      <c r="K35" s="171">
        <v>174.1</v>
      </c>
      <c r="L35" s="300">
        <v>11.7</v>
      </c>
      <c r="M35" s="296">
        <f t="shared" si="6"/>
        <v>48843132.780910291</v>
      </c>
      <c r="N35" s="50">
        <f t="shared" ref="N35:N66" si="7">M35-B35</f>
        <v>-660987.21908970922</v>
      </c>
      <c r="O35" s="103">
        <f t="shared" ref="O35:O66" si="8">N35/B35</f>
        <v>-1.3352165821545948E-2</v>
      </c>
      <c r="P35" s="13">
        <f t="shared" si="3"/>
        <v>1.3352165821545948E-2</v>
      </c>
      <c r="Q35" s="347"/>
      <c r="R35" s="13"/>
      <c r="S35" s="399"/>
      <c r="T35" s="399"/>
      <c r="U35" s="399"/>
      <c r="V35" s="399"/>
      <c r="W35" s="399"/>
      <c r="X35" s="399"/>
      <c r="Y35" s="399"/>
    </row>
    <row r="36" spans="1:44" ht="13.8" thickBot="1" x14ac:dyDescent="0.3">
      <c r="A36" s="169">
        <f t="shared" si="5"/>
        <v>38656</v>
      </c>
      <c r="B36" s="170">
        <v>55381484</v>
      </c>
      <c r="C36" s="230">
        <f>'Weather Analysis '!L17</f>
        <v>273.60000000000002</v>
      </c>
      <c r="D36" s="230">
        <f>+'Weather Analysis '!L37</f>
        <v>9.6</v>
      </c>
      <c r="E36" s="171">
        <v>1</v>
      </c>
      <c r="F36" s="171">
        <v>31</v>
      </c>
      <c r="G36" s="296">
        <v>0</v>
      </c>
      <c r="H36" s="297">
        <v>32400</v>
      </c>
      <c r="I36" s="298">
        <v>133.38242563475035</v>
      </c>
      <c r="J36" s="301">
        <v>319.92</v>
      </c>
      <c r="K36" s="171">
        <v>173.7</v>
      </c>
      <c r="L36" s="300">
        <v>11.2</v>
      </c>
      <c r="M36" s="296">
        <f t="shared" si="6"/>
        <v>57177860.593727522</v>
      </c>
      <c r="N36" s="50">
        <f t="shared" si="7"/>
        <v>1796376.5937275216</v>
      </c>
      <c r="O36" s="103">
        <f t="shared" si="8"/>
        <v>3.2436411305401668E-2</v>
      </c>
      <c r="P36" s="13">
        <f t="shared" si="3"/>
        <v>3.2436411305401668E-2</v>
      </c>
      <c r="Q36" s="347"/>
      <c r="R36" s="13"/>
      <c r="S36" s="399" t="s">
        <v>30</v>
      </c>
      <c r="T36" s="399"/>
      <c r="U36" s="399"/>
      <c r="V36" s="399"/>
      <c r="W36" s="399"/>
      <c r="X36" s="399"/>
      <c r="Y36" s="399"/>
    </row>
    <row r="37" spans="1:44" x14ac:dyDescent="0.25">
      <c r="A37" s="169">
        <f t="shared" si="5"/>
        <v>38686</v>
      </c>
      <c r="B37" s="170">
        <v>65851664</v>
      </c>
      <c r="C37" s="230">
        <f>'Weather Analysis '!L18</f>
        <v>497.6</v>
      </c>
      <c r="D37" s="230">
        <f>+'Weather Analysis '!L38</f>
        <v>0</v>
      </c>
      <c r="E37" s="171">
        <v>1</v>
      </c>
      <c r="F37" s="171">
        <v>30</v>
      </c>
      <c r="G37" s="296">
        <v>0</v>
      </c>
      <c r="H37" s="297">
        <v>32410</v>
      </c>
      <c r="I37" s="298">
        <v>133.67888505455369</v>
      </c>
      <c r="J37" s="301">
        <v>352.08</v>
      </c>
      <c r="K37" s="171">
        <v>173.7</v>
      </c>
      <c r="L37" s="300">
        <v>10.6</v>
      </c>
      <c r="M37" s="296">
        <f t="shared" si="6"/>
        <v>63398359.37891259</v>
      </c>
      <c r="N37" s="50">
        <f t="shared" si="7"/>
        <v>-2453304.6210874096</v>
      </c>
      <c r="O37" s="103">
        <f t="shared" si="8"/>
        <v>-3.725501334465002E-2</v>
      </c>
      <c r="P37" s="13">
        <f t="shared" si="3"/>
        <v>3.725501334465002E-2</v>
      </c>
      <c r="Q37" s="347"/>
      <c r="R37" s="13"/>
      <c r="S37" s="405"/>
      <c r="T37" s="405" t="s">
        <v>34</v>
      </c>
      <c r="U37" s="405" t="s">
        <v>35</v>
      </c>
      <c r="V37" s="405" t="s">
        <v>36</v>
      </c>
      <c r="W37" s="405" t="s">
        <v>37</v>
      </c>
      <c r="X37" s="405" t="s">
        <v>38</v>
      </c>
      <c r="Y37" s="399"/>
    </row>
    <row r="38" spans="1:44" x14ac:dyDescent="0.25">
      <c r="A38" s="169">
        <f t="shared" si="5"/>
        <v>38717</v>
      </c>
      <c r="B38" s="170">
        <v>79230244</v>
      </c>
      <c r="C38" s="230">
        <f>'Weather Analysis '!L19</f>
        <v>738.6</v>
      </c>
      <c r="D38" s="230">
        <f>+'Weather Analysis '!L39</f>
        <v>0</v>
      </c>
      <c r="E38" s="171">
        <v>0</v>
      </c>
      <c r="F38" s="171">
        <v>31</v>
      </c>
      <c r="G38" s="296">
        <v>0</v>
      </c>
      <c r="H38" s="297">
        <v>32415</v>
      </c>
      <c r="I38" s="298">
        <v>133.97600339315525</v>
      </c>
      <c r="J38" s="301">
        <v>319.92</v>
      </c>
      <c r="K38" s="171">
        <v>174.6</v>
      </c>
      <c r="L38" s="300">
        <v>11.3</v>
      </c>
      <c r="M38" s="296">
        <f t="shared" si="6"/>
        <v>77580159.22347793</v>
      </c>
      <c r="N38" s="50">
        <f t="shared" si="7"/>
        <v>-1650084.7765220702</v>
      </c>
      <c r="O38" s="103">
        <f t="shared" si="8"/>
        <v>-2.0826450774556117E-2</v>
      </c>
      <c r="P38" s="13">
        <f t="shared" si="3"/>
        <v>2.0826450774556117E-2</v>
      </c>
      <c r="Q38" s="347"/>
      <c r="R38" s="13"/>
      <c r="S38" s="401" t="s">
        <v>31</v>
      </c>
      <c r="T38" s="401">
        <v>6</v>
      </c>
      <c r="U38" s="401">
        <v>2.2039952339477152E+16</v>
      </c>
      <c r="V38" s="401">
        <v>3673325389912858.5</v>
      </c>
      <c r="W38" s="401">
        <v>756.34998508926549</v>
      </c>
      <c r="X38" s="401">
        <v>2.6406505469341786E-121</v>
      </c>
      <c r="Y38" s="399"/>
    </row>
    <row r="39" spans="1:44" x14ac:dyDescent="0.25">
      <c r="A39" s="169">
        <f>EOMONTH(A38,1)</f>
        <v>38748</v>
      </c>
      <c r="B39" s="172">
        <v>76234176</v>
      </c>
      <c r="C39" s="230">
        <f>'Weather Analysis '!M8</f>
        <v>689.8</v>
      </c>
      <c r="D39" s="230">
        <f>+'Weather Analysis '!M28</f>
        <v>0</v>
      </c>
      <c r="E39" s="171">
        <v>0</v>
      </c>
      <c r="F39" s="171">
        <v>31</v>
      </c>
      <c r="G39" s="296">
        <f>'CDM Activity'!H21</f>
        <v>20147.711936101357</v>
      </c>
      <c r="H39" s="297">
        <v>32395</v>
      </c>
      <c r="I39" s="298">
        <v>134.25197202423305</v>
      </c>
      <c r="J39" s="301">
        <v>336.28800000000001</v>
      </c>
      <c r="K39" s="171">
        <v>174.1</v>
      </c>
      <c r="L39" s="300">
        <v>12.5</v>
      </c>
      <c r="M39" s="296">
        <f t="shared" si="6"/>
        <v>75558247.172597587</v>
      </c>
      <c r="N39" s="50">
        <f t="shared" si="7"/>
        <v>-675928.82740241289</v>
      </c>
      <c r="O39" s="103">
        <f t="shared" si="8"/>
        <v>-8.8664804011577818E-3</v>
      </c>
      <c r="P39" s="13">
        <f t="shared" si="3"/>
        <v>8.8664804011577818E-3</v>
      </c>
      <c r="Q39" s="347"/>
      <c r="R39" s="13"/>
      <c r="S39" s="401" t="s">
        <v>32</v>
      </c>
      <c r="T39" s="401">
        <v>173</v>
      </c>
      <c r="U39" s="401">
        <v>840200046252296.37</v>
      </c>
      <c r="V39" s="401">
        <v>4856647666198.2451</v>
      </c>
      <c r="W39" s="401"/>
      <c r="X39" s="401"/>
      <c r="Y39" s="399"/>
    </row>
    <row r="40" spans="1:44" ht="13.8" thickBot="1" x14ac:dyDescent="0.3">
      <c r="A40" s="169">
        <f t="shared" si="5"/>
        <v>38776</v>
      </c>
      <c r="B40" s="172">
        <v>71202696</v>
      </c>
      <c r="C40" s="230">
        <f>'Weather Analysis '!M9</f>
        <v>734.6</v>
      </c>
      <c r="D40" s="230">
        <f>+'Weather Analysis '!M29</f>
        <v>0</v>
      </c>
      <c r="E40" s="171">
        <v>0</v>
      </c>
      <c r="F40" s="171">
        <v>28</v>
      </c>
      <c r="G40" s="296">
        <f>'CDM Activity'!H22</f>
        <v>40295.423872202715</v>
      </c>
      <c r="H40" s="297">
        <v>32399</v>
      </c>
      <c r="I40" s="298">
        <v>134.52850910550649</v>
      </c>
      <c r="J40" s="301">
        <v>319.87200000000001</v>
      </c>
      <c r="K40" s="171">
        <v>172.9</v>
      </c>
      <c r="L40" s="300">
        <v>12.6</v>
      </c>
      <c r="M40" s="296">
        <f t="shared" si="6"/>
        <v>71862397.202763021</v>
      </c>
      <c r="N40" s="50">
        <f t="shared" si="7"/>
        <v>659701.20276302099</v>
      </c>
      <c r="O40" s="103">
        <f t="shared" si="8"/>
        <v>9.2651155057811435E-3</v>
      </c>
      <c r="P40" s="13">
        <f t="shared" si="3"/>
        <v>9.2651155057811435E-3</v>
      </c>
      <c r="Q40" s="347"/>
      <c r="R40" s="13"/>
      <c r="S40" s="404" t="s">
        <v>12</v>
      </c>
      <c r="T40" s="404">
        <v>179</v>
      </c>
      <c r="U40" s="404">
        <v>2.2880152385729448E+16</v>
      </c>
      <c r="V40" s="404"/>
      <c r="W40" s="404"/>
      <c r="X40" s="404"/>
      <c r="Y40" s="399"/>
    </row>
    <row r="41" spans="1:44" ht="13.8" thickBot="1" x14ac:dyDescent="0.3">
      <c r="A41" s="169">
        <f t="shared" si="5"/>
        <v>38807</v>
      </c>
      <c r="B41" s="172">
        <v>70367240</v>
      </c>
      <c r="C41" s="230">
        <f>'Weather Analysis '!M10</f>
        <v>635.4</v>
      </c>
      <c r="D41" s="230">
        <f>+'Weather Analysis '!M30</f>
        <v>0</v>
      </c>
      <c r="E41" s="171">
        <v>1</v>
      </c>
      <c r="F41" s="171">
        <v>31</v>
      </c>
      <c r="G41" s="296">
        <f>'CDM Activity'!H23</f>
        <v>60443.135808304069</v>
      </c>
      <c r="H41" s="297">
        <v>32453</v>
      </c>
      <c r="I41" s="298">
        <v>134.80561580788986</v>
      </c>
      <c r="J41" s="301">
        <v>368.28</v>
      </c>
      <c r="K41" s="171">
        <v>172.6</v>
      </c>
      <c r="L41" s="300">
        <v>13.1</v>
      </c>
      <c r="M41" s="296">
        <f t="shared" si="6"/>
        <v>70490509.167777523</v>
      </c>
      <c r="N41" s="50">
        <f t="shared" si="7"/>
        <v>123269.1677775234</v>
      </c>
      <c r="O41" s="103">
        <f t="shared" si="8"/>
        <v>1.7517976799647592E-3</v>
      </c>
      <c r="P41" s="13">
        <f t="shared" si="3"/>
        <v>1.7517976799647592E-3</v>
      </c>
      <c r="Q41" s="347"/>
      <c r="R41" s="13"/>
      <c r="S41" s="399"/>
      <c r="T41" s="399"/>
      <c r="U41" s="399"/>
      <c r="V41" s="399"/>
      <c r="W41" s="399"/>
      <c r="X41" s="399"/>
      <c r="Y41" s="399"/>
    </row>
    <row r="42" spans="1:44" x14ac:dyDescent="0.25">
      <c r="A42" s="169">
        <f t="shared" si="5"/>
        <v>38837</v>
      </c>
      <c r="B42" s="172">
        <v>56652640</v>
      </c>
      <c r="C42" s="230">
        <f>'Weather Analysis '!M11</f>
        <v>360</v>
      </c>
      <c r="D42" s="230">
        <f>+'Weather Analysis '!M31</f>
        <v>0</v>
      </c>
      <c r="E42" s="171">
        <v>1</v>
      </c>
      <c r="F42" s="171">
        <v>30</v>
      </c>
      <c r="G42" s="296">
        <f>'CDM Activity'!H24</f>
        <v>80590.84774440543</v>
      </c>
      <c r="H42" s="297">
        <v>32445</v>
      </c>
      <c r="I42" s="298">
        <v>135.08329330470943</v>
      </c>
      <c r="J42" s="301">
        <v>303.83999999999997</v>
      </c>
      <c r="K42" s="171">
        <v>173.6</v>
      </c>
      <c r="L42" s="300">
        <v>11.8</v>
      </c>
      <c r="M42" s="296">
        <f t="shared" si="6"/>
        <v>57814888.736363798</v>
      </c>
      <c r="N42" s="50">
        <f t="shared" si="7"/>
        <v>1162248.7363637984</v>
      </c>
      <c r="O42" s="103">
        <f t="shared" si="8"/>
        <v>2.0515349970695072E-2</v>
      </c>
      <c r="P42" s="13">
        <f t="shared" si="3"/>
        <v>2.0515349970695072E-2</v>
      </c>
      <c r="Q42" s="347"/>
      <c r="R42" s="13"/>
      <c r="S42" s="405"/>
      <c r="T42" s="405" t="s">
        <v>39</v>
      </c>
      <c r="U42" s="405" t="s">
        <v>28</v>
      </c>
      <c r="V42" s="405" t="s">
        <v>40</v>
      </c>
      <c r="W42" s="405" t="s">
        <v>41</v>
      </c>
      <c r="X42" s="405" t="s">
        <v>42</v>
      </c>
      <c r="Y42" s="405" t="s">
        <v>43</v>
      </c>
    </row>
    <row r="43" spans="1:44" x14ac:dyDescent="0.25">
      <c r="A43" s="169">
        <f t="shared" si="5"/>
        <v>38868</v>
      </c>
      <c r="B43" s="172">
        <v>52446572</v>
      </c>
      <c r="C43" s="230">
        <f>'Weather Analysis '!M12</f>
        <v>185.1</v>
      </c>
      <c r="D43" s="230">
        <f>+'Weather Analysis '!M32</f>
        <v>8.4</v>
      </c>
      <c r="E43" s="171">
        <v>1</v>
      </c>
      <c r="F43" s="171">
        <v>31</v>
      </c>
      <c r="G43" s="296">
        <f>'CDM Activity'!H25</f>
        <v>100738.55968050679</v>
      </c>
      <c r="H43" s="297">
        <v>32425</v>
      </c>
      <c r="I43" s="298">
        <v>135.36154277170829</v>
      </c>
      <c r="J43" s="301">
        <v>351.91199999999998</v>
      </c>
      <c r="K43" s="171">
        <v>175.7</v>
      </c>
      <c r="L43" s="300">
        <v>11.5</v>
      </c>
      <c r="M43" s="296">
        <f t="shared" si="6"/>
        <v>53333237.290190145</v>
      </c>
      <c r="N43" s="50">
        <f t="shared" si="7"/>
        <v>886665.29019014537</v>
      </c>
      <c r="O43" s="103">
        <f t="shared" si="8"/>
        <v>1.6906067572731834E-2</v>
      </c>
      <c r="P43" s="13">
        <f t="shared" si="3"/>
        <v>1.6906067572731834E-2</v>
      </c>
      <c r="Q43" s="347"/>
      <c r="R43" s="13"/>
      <c r="S43" s="401" t="s">
        <v>33</v>
      </c>
      <c r="T43" s="403">
        <v>-76610788.511801451</v>
      </c>
      <c r="U43" s="403">
        <v>24281388.532292072</v>
      </c>
      <c r="V43" s="403">
        <v>-3.1551238682217848</v>
      </c>
      <c r="W43" s="403">
        <v>1.8923548052783776E-3</v>
      </c>
      <c r="X43" s="403">
        <v>-124536697.21666896</v>
      </c>
      <c r="Y43" s="403">
        <v>-28684879.806933932</v>
      </c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</row>
    <row r="44" spans="1:44" x14ac:dyDescent="0.25">
      <c r="A44" s="169">
        <f t="shared" si="5"/>
        <v>38898</v>
      </c>
      <c r="B44" s="172">
        <v>49917449</v>
      </c>
      <c r="C44" s="230">
        <f>'Weather Analysis '!M13</f>
        <v>81.2</v>
      </c>
      <c r="D44" s="230">
        <f>+'Weather Analysis '!M33</f>
        <v>12.9</v>
      </c>
      <c r="E44" s="171">
        <v>0</v>
      </c>
      <c r="F44" s="171">
        <v>30</v>
      </c>
      <c r="G44" s="296">
        <f>'CDM Activity'!H26</f>
        <v>120886.27161660815</v>
      </c>
      <c r="H44" s="297">
        <v>32422</v>
      </c>
      <c r="I44" s="298">
        <v>135.64036538705133</v>
      </c>
      <c r="J44" s="301">
        <v>352.08</v>
      </c>
      <c r="K44" s="171">
        <v>178.6</v>
      </c>
      <c r="L44" s="300">
        <v>11.2</v>
      </c>
      <c r="M44" s="296">
        <f t="shared" si="6"/>
        <v>50684200.651463553</v>
      </c>
      <c r="N44" s="50">
        <f t="shared" si="7"/>
        <v>766751.65146355331</v>
      </c>
      <c r="O44" s="103">
        <f t="shared" si="8"/>
        <v>1.5360393345893002E-2</v>
      </c>
      <c r="P44" s="13">
        <f t="shared" si="3"/>
        <v>1.5360393345893002E-2</v>
      </c>
      <c r="Q44" s="347"/>
      <c r="R44" s="13"/>
      <c r="S44" s="401" t="s">
        <v>4</v>
      </c>
      <c r="T44" s="403">
        <v>39194.359408069417</v>
      </c>
      <c r="U44" s="403">
        <v>766.21142001515216</v>
      </c>
      <c r="V44" s="403">
        <v>51.153452407814974</v>
      </c>
      <c r="W44" s="403">
        <v>2.2213586675077025E-106</v>
      </c>
      <c r="X44" s="403">
        <v>37682.033269247622</v>
      </c>
      <c r="Y44" s="403">
        <v>40706.685546891211</v>
      </c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</row>
    <row r="45" spans="1:44" x14ac:dyDescent="0.25">
      <c r="A45" s="169">
        <f t="shared" si="5"/>
        <v>38929</v>
      </c>
      <c r="B45" s="172">
        <v>53606640</v>
      </c>
      <c r="C45" s="230">
        <f>'Weather Analysis '!M14</f>
        <v>8.4</v>
      </c>
      <c r="D45" s="230">
        <f>+'Weather Analysis '!M34</f>
        <v>78.2</v>
      </c>
      <c r="E45" s="171">
        <v>0</v>
      </c>
      <c r="F45" s="171">
        <v>31</v>
      </c>
      <c r="G45" s="296">
        <f>'CDM Activity'!H27</f>
        <v>141033.98355270951</v>
      </c>
      <c r="H45" s="297">
        <v>32399</v>
      </c>
      <c r="I45" s="298">
        <v>135.9197623313303</v>
      </c>
      <c r="J45" s="301">
        <v>319.92</v>
      </c>
      <c r="K45" s="171">
        <v>180.2</v>
      </c>
      <c r="L45" s="300">
        <v>12.6</v>
      </c>
      <c r="M45" s="296">
        <f t="shared" si="6"/>
        <v>54835701.435768798</v>
      </c>
      <c r="N45" s="50">
        <f t="shared" si="7"/>
        <v>1229061.435768798</v>
      </c>
      <c r="O45" s="103">
        <f t="shared" si="8"/>
        <v>2.2927410406039215E-2</v>
      </c>
      <c r="P45" s="13">
        <f t="shared" si="3"/>
        <v>2.2927410406039215E-2</v>
      </c>
      <c r="Q45" s="347"/>
      <c r="R45" s="13"/>
      <c r="S45" s="401" t="s">
        <v>5</v>
      </c>
      <c r="T45" s="403">
        <v>81508.624267200837</v>
      </c>
      <c r="U45" s="403">
        <v>14380.531483238521</v>
      </c>
      <c r="V45" s="403">
        <v>5.6679841327286571</v>
      </c>
      <c r="W45" s="403">
        <v>5.9372432802022989E-8</v>
      </c>
      <c r="X45" s="403">
        <v>53124.743416376012</v>
      </c>
      <c r="Y45" s="403">
        <v>109892.50511802567</v>
      </c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</row>
    <row r="46" spans="1:44" x14ac:dyDescent="0.25">
      <c r="A46" s="169">
        <f t="shared" si="5"/>
        <v>38960</v>
      </c>
      <c r="B46" s="172">
        <v>51038392</v>
      </c>
      <c r="C46" s="230">
        <f>'Weather Analysis '!M15</f>
        <v>35</v>
      </c>
      <c r="D46" s="230">
        <f>+'Weather Analysis '!M35</f>
        <v>20.100000000000001</v>
      </c>
      <c r="E46" s="171">
        <v>0</v>
      </c>
      <c r="F46" s="171">
        <v>31</v>
      </c>
      <c r="G46" s="296">
        <f>'CDM Activity'!H28</f>
        <v>161181.69548881086</v>
      </c>
      <c r="H46" s="297">
        <v>32410</v>
      </c>
      <c r="I46" s="298">
        <v>136.19973478756879</v>
      </c>
      <c r="J46" s="301">
        <v>351.91199999999998</v>
      </c>
      <c r="K46" s="171">
        <v>180.4</v>
      </c>
      <c r="L46" s="300">
        <v>12.9</v>
      </c>
      <c r="M46" s="296">
        <f t="shared" si="6"/>
        <v>51099863.068516016</v>
      </c>
      <c r="N46" s="50">
        <f t="shared" si="7"/>
        <v>61471.068516016006</v>
      </c>
      <c r="O46" s="103">
        <f t="shared" si="8"/>
        <v>1.2044084091837378E-3</v>
      </c>
      <c r="P46" s="13">
        <f t="shared" si="3"/>
        <v>1.2044084091837378E-3</v>
      </c>
      <c r="Q46" s="347"/>
      <c r="R46" s="13"/>
      <c r="S46" s="401" t="s">
        <v>22</v>
      </c>
      <c r="T46" s="403">
        <v>-2927241.3685196331</v>
      </c>
      <c r="U46" s="403">
        <v>379245.24561215617</v>
      </c>
      <c r="V46" s="403">
        <v>-7.7185974046810948</v>
      </c>
      <c r="W46" s="403">
        <v>8.997158701724998E-13</v>
      </c>
      <c r="X46" s="403">
        <v>-3675784.7639597761</v>
      </c>
      <c r="Y46" s="403">
        <v>-2178697.97307949</v>
      </c>
      <c r="AB46" s="118"/>
      <c r="AC46" s="118"/>
      <c r="AD46" s="118"/>
      <c r="AE46" s="118"/>
      <c r="AF46" s="118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</row>
    <row r="47" spans="1:44" x14ac:dyDescent="0.25">
      <c r="A47" s="169">
        <f t="shared" si="5"/>
        <v>38990</v>
      </c>
      <c r="B47" s="172">
        <v>49455772</v>
      </c>
      <c r="C47" s="230">
        <f>'Weather Analysis '!M16</f>
        <v>151.9</v>
      </c>
      <c r="D47" s="230">
        <f>+'Weather Analysis '!M36</f>
        <v>5.2</v>
      </c>
      <c r="E47" s="171">
        <v>1</v>
      </c>
      <c r="F47" s="171">
        <v>30</v>
      </c>
      <c r="G47" s="296">
        <f>'CDM Activity'!H29</f>
        <v>181329.40742491221</v>
      </c>
      <c r="H47" s="297">
        <v>32415</v>
      </c>
      <c r="I47" s="298">
        <v>136.48028394122719</v>
      </c>
      <c r="J47" s="301">
        <v>319.68</v>
      </c>
      <c r="K47" s="171">
        <v>176.2</v>
      </c>
      <c r="L47" s="300">
        <v>13.7</v>
      </c>
      <c r="M47" s="296">
        <f t="shared" si="6"/>
        <v>49686344.501638129</v>
      </c>
      <c r="N47" s="50">
        <f t="shared" si="7"/>
        <v>230572.50163812935</v>
      </c>
      <c r="O47" s="103">
        <f t="shared" si="8"/>
        <v>4.6621959846897014E-3</v>
      </c>
      <c r="P47" s="13">
        <f t="shared" si="3"/>
        <v>4.6621959846897014E-3</v>
      </c>
      <c r="Q47" s="347"/>
      <c r="R47" s="13"/>
      <c r="S47" s="401" t="s">
        <v>6</v>
      </c>
      <c r="T47" s="403">
        <v>1797996.8822197667</v>
      </c>
      <c r="U47" s="403">
        <v>209613.10473888047</v>
      </c>
      <c r="V47" s="403">
        <v>8.5776931001502508</v>
      </c>
      <c r="W47" s="403">
        <v>5.3255009825640031E-15</v>
      </c>
      <c r="X47" s="403">
        <v>1384268.5442501621</v>
      </c>
      <c r="Y47" s="403">
        <v>2211725.2201893716</v>
      </c>
      <c r="AB47" s="33"/>
      <c r="AC47" s="33"/>
      <c r="AD47" s="33"/>
      <c r="AE47" s="33"/>
      <c r="AF47" s="33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</row>
    <row r="48" spans="1:44" x14ac:dyDescent="0.25">
      <c r="A48" s="169">
        <f t="shared" si="5"/>
        <v>39021</v>
      </c>
      <c r="B48" s="172">
        <v>58920568</v>
      </c>
      <c r="C48" s="230">
        <f>'Weather Analysis '!M17</f>
        <v>375.3</v>
      </c>
      <c r="D48" s="230">
        <f>+'Weather Analysis '!M37</f>
        <v>0</v>
      </c>
      <c r="E48" s="171">
        <v>1</v>
      </c>
      <c r="F48" s="171">
        <v>31</v>
      </c>
      <c r="G48" s="296">
        <f>'CDM Activity'!H30</f>
        <v>201477.11936101355</v>
      </c>
      <c r="H48" s="297">
        <v>32423</v>
      </c>
      <c r="I48" s="298">
        <v>136.76141098020776</v>
      </c>
      <c r="J48" s="301">
        <v>336.28800000000001</v>
      </c>
      <c r="K48" s="171">
        <v>174.8</v>
      </c>
      <c r="L48" s="300">
        <v>12.5</v>
      </c>
      <c r="M48" s="296">
        <f t="shared" si="6"/>
        <v>59767326.58595936</v>
      </c>
      <c r="N48" s="50">
        <f t="shared" si="7"/>
        <v>846758.58595936</v>
      </c>
      <c r="O48" s="103">
        <f t="shared" si="8"/>
        <v>1.4371188444065238E-2</v>
      </c>
      <c r="P48" s="13">
        <f t="shared" si="3"/>
        <v>1.4371188444065238E-2</v>
      </c>
      <c r="Q48" s="347"/>
      <c r="R48" s="13"/>
      <c r="S48" s="401" t="s">
        <v>114</v>
      </c>
      <c r="T48" s="403">
        <v>-3.2928506250304119</v>
      </c>
      <c r="U48" s="403">
        <v>0.39039485389244505</v>
      </c>
      <c r="V48" s="403">
        <v>-8.4346670869222109</v>
      </c>
      <c r="W48" s="403">
        <v>1.2701876457520298E-14</v>
      </c>
      <c r="X48" s="403">
        <v>-4.0634007977117133</v>
      </c>
      <c r="Y48" s="403">
        <v>-2.522300452349111</v>
      </c>
      <c r="AB48" s="102"/>
      <c r="AC48" s="102"/>
      <c r="AD48" s="102"/>
      <c r="AE48" s="102"/>
      <c r="AF48" s="102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</row>
    <row r="49" spans="1:44" ht="13.8" thickBot="1" x14ac:dyDescent="0.3">
      <c r="A49" s="169">
        <f t="shared" si="5"/>
        <v>39051</v>
      </c>
      <c r="B49" s="172">
        <v>63979576</v>
      </c>
      <c r="C49" s="230">
        <f>'Weather Analysis '!M18</f>
        <v>467.9</v>
      </c>
      <c r="D49" s="230">
        <f>+'Weather Analysis '!M38</f>
        <v>0</v>
      </c>
      <c r="E49" s="171">
        <v>1</v>
      </c>
      <c r="F49" s="171">
        <v>30</v>
      </c>
      <c r="G49" s="296">
        <f>'CDM Activity'!H31</f>
        <v>221624.8312971149</v>
      </c>
      <c r="H49" s="297">
        <v>32436</v>
      </c>
      <c r="I49" s="298">
        <v>137.04311709485967</v>
      </c>
      <c r="J49" s="301">
        <v>352.08</v>
      </c>
      <c r="K49" s="171">
        <v>173</v>
      </c>
      <c r="L49" s="300">
        <v>12.4</v>
      </c>
      <c r="M49" s="296">
        <f t="shared" si="6"/>
        <v>61560258.517936245</v>
      </c>
      <c r="N49" s="50">
        <f t="shared" si="7"/>
        <v>-2419317.4820637554</v>
      </c>
      <c r="O49" s="103">
        <f t="shared" si="8"/>
        <v>-3.7813903019047135E-2</v>
      </c>
      <c r="P49" s="13">
        <f t="shared" si="3"/>
        <v>3.7813903019047135E-2</v>
      </c>
      <c r="Q49" s="347"/>
      <c r="R49" s="13"/>
      <c r="S49" s="404" t="s">
        <v>102</v>
      </c>
      <c r="T49" s="406">
        <v>2144.195296241448</v>
      </c>
      <c r="U49" s="406">
        <v>722.54349481001361</v>
      </c>
      <c r="V49" s="406">
        <v>2.96756570593061</v>
      </c>
      <c r="W49" s="406">
        <v>3.4269754500553746E-3</v>
      </c>
      <c r="X49" s="406">
        <v>718.05965653090357</v>
      </c>
      <c r="Y49" s="406">
        <v>3570.3309359519926</v>
      </c>
      <c r="AB49" s="102"/>
      <c r="AC49" s="102"/>
      <c r="AD49" s="102"/>
      <c r="AE49" s="102"/>
      <c r="AF49" s="102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</row>
    <row r="50" spans="1:44" x14ac:dyDescent="0.25">
      <c r="A50" s="169">
        <f t="shared" si="5"/>
        <v>39082</v>
      </c>
      <c r="B50" s="172">
        <v>74271612</v>
      </c>
      <c r="C50" s="230">
        <f>'Weather Analysis '!M19</f>
        <v>624.29999999999995</v>
      </c>
      <c r="D50" s="230">
        <f>+'Weather Analysis '!M39</f>
        <v>0</v>
      </c>
      <c r="E50" s="171">
        <v>0</v>
      </c>
      <c r="F50" s="171">
        <v>31</v>
      </c>
      <c r="G50" s="296">
        <f>'CDM Activity'!H32</f>
        <v>241772.54323321625</v>
      </c>
      <c r="H50" s="297">
        <v>32453</v>
      </c>
      <c r="I50" s="298">
        <v>137.32540347798411</v>
      </c>
      <c r="J50" s="301">
        <v>304.29599999999999</v>
      </c>
      <c r="K50" s="171">
        <v>174.8</v>
      </c>
      <c r="L50" s="300">
        <v>11.3</v>
      </c>
      <c r="M50" s="296">
        <f t="shared" si="6"/>
        <v>72385602.494292066</v>
      </c>
      <c r="N50" s="50">
        <f t="shared" si="7"/>
        <v>-1886009.5057079345</v>
      </c>
      <c r="O50" s="103">
        <f t="shared" si="8"/>
        <v>-2.5393410145829801E-2</v>
      </c>
      <c r="P50" s="13">
        <f t="shared" si="3"/>
        <v>2.5393410145829801E-2</v>
      </c>
      <c r="Q50" s="347"/>
      <c r="R50" s="13"/>
      <c r="AB50" s="102"/>
      <c r="AC50" s="102"/>
      <c r="AD50" s="102"/>
      <c r="AE50" s="102"/>
      <c r="AF50" s="102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</row>
    <row r="51" spans="1:44" x14ac:dyDescent="0.25">
      <c r="A51" s="169">
        <f>EOMONTH(A50,1)</f>
        <v>39113</v>
      </c>
      <c r="B51" s="172">
        <v>78292016</v>
      </c>
      <c r="C51" s="230">
        <f>'Weather Analysis '!N8</f>
        <v>776.9</v>
      </c>
      <c r="D51" s="230">
        <f>+'Weather Analysis '!N28</f>
        <v>0</v>
      </c>
      <c r="E51" s="171">
        <v>0</v>
      </c>
      <c r="F51" s="171">
        <v>31</v>
      </c>
      <c r="G51" s="296">
        <f>'CDM Activity'!H33</f>
        <v>262929.37637663796</v>
      </c>
      <c r="H51" s="297">
        <v>32399</v>
      </c>
      <c r="I51" s="298">
        <v>137.552207546647</v>
      </c>
      <c r="J51" s="301">
        <v>351.91199999999998</v>
      </c>
      <c r="K51" s="171">
        <v>174.6</v>
      </c>
      <c r="L51" s="300">
        <v>12</v>
      </c>
      <c r="M51" s="296">
        <f t="shared" si="6"/>
        <v>78181208.902726442</v>
      </c>
      <c r="N51" s="50">
        <f t="shared" si="7"/>
        <v>-110807.09727355838</v>
      </c>
      <c r="O51" s="103">
        <f t="shared" si="8"/>
        <v>-1.4153051988539723E-3</v>
      </c>
      <c r="P51" s="13">
        <f t="shared" si="3"/>
        <v>1.4153051988539723E-3</v>
      </c>
      <c r="Q51" s="347"/>
      <c r="R51" s="13"/>
      <c r="AB51" s="102"/>
      <c r="AC51" s="102"/>
      <c r="AD51" s="102"/>
      <c r="AE51" s="102"/>
      <c r="AF51" s="102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</row>
    <row r="52" spans="1:44" x14ac:dyDescent="0.25">
      <c r="A52" s="169">
        <f t="shared" si="5"/>
        <v>39141</v>
      </c>
      <c r="B52" s="172">
        <v>75583244</v>
      </c>
      <c r="C52" s="230">
        <f>'Weather Analysis '!N9</f>
        <v>843.5</v>
      </c>
      <c r="D52" s="230">
        <f>+'Weather Analysis '!N29</f>
        <v>0</v>
      </c>
      <c r="E52" s="171">
        <v>0</v>
      </c>
      <c r="F52" s="171">
        <v>28</v>
      </c>
      <c r="G52" s="296">
        <f>'CDM Activity'!H34</f>
        <v>284086.2095200597</v>
      </c>
      <c r="H52" s="297">
        <v>32404</v>
      </c>
      <c r="I52" s="298">
        <v>137.77938620066888</v>
      </c>
      <c r="J52" s="301">
        <v>319.87200000000001</v>
      </c>
      <c r="K52" s="171">
        <v>174.3</v>
      </c>
      <c r="L52" s="300">
        <v>12</v>
      </c>
      <c r="M52" s="296">
        <f t="shared" si="6"/>
        <v>75338617.277885795</v>
      </c>
      <c r="N52" s="50">
        <f t="shared" si="7"/>
        <v>-244626.72211420536</v>
      </c>
      <c r="O52" s="103">
        <f t="shared" si="8"/>
        <v>-3.2365205456675737E-3</v>
      </c>
      <c r="P52" s="13">
        <f t="shared" si="3"/>
        <v>3.2365205456675737E-3</v>
      </c>
      <c r="Q52" s="347"/>
      <c r="R52" s="13"/>
      <c r="AE52" s="102"/>
      <c r="AF52" s="102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</row>
    <row r="53" spans="1:44" x14ac:dyDescent="0.25">
      <c r="A53" s="169">
        <f t="shared" si="5"/>
        <v>39172</v>
      </c>
      <c r="B53" s="172">
        <v>71668468</v>
      </c>
      <c r="C53" s="230">
        <f>'Weather Analysis '!N10</f>
        <v>654.6</v>
      </c>
      <c r="D53" s="230">
        <f>+'Weather Analysis '!N30</f>
        <v>0</v>
      </c>
      <c r="E53" s="171">
        <v>1</v>
      </c>
      <c r="F53" s="171">
        <v>31</v>
      </c>
      <c r="G53" s="296">
        <f>'CDM Activity'!H35</f>
        <v>305243.04266348144</v>
      </c>
      <c r="H53" s="297">
        <v>32410</v>
      </c>
      <c r="I53" s="298">
        <v>138.00694005870795</v>
      </c>
      <c r="J53" s="301">
        <v>351.91199999999998</v>
      </c>
      <c r="K53" s="171">
        <v>174.9</v>
      </c>
      <c r="L53" s="300">
        <v>12.4</v>
      </c>
      <c r="M53" s="296">
        <f t="shared" si="6"/>
        <v>70344750.944378614</v>
      </c>
      <c r="N53" s="50">
        <f t="shared" si="7"/>
        <v>-1323717.0556213856</v>
      </c>
      <c r="O53" s="103">
        <f t="shared" si="8"/>
        <v>-1.847000630209349E-2</v>
      </c>
      <c r="P53" s="13">
        <f t="shared" si="3"/>
        <v>1.847000630209349E-2</v>
      </c>
      <c r="Q53" s="347"/>
      <c r="R53" s="13"/>
      <c r="AE53" s="102"/>
      <c r="AF53" s="102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</row>
    <row r="54" spans="1:44" x14ac:dyDescent="0.25">
      <c r="A54" s="169">
        <f t="shared" si="5"/>
        <v>39202</v>
      </c>
      <c r="B54" s="172">
        <v>60506916</v>
      </c>
      <c r="C54" s="230">
        <f>'Weather Analysis '!N11</f>
        <v>459.1</v>
      </c>
      <c r="D54" s="230">
        <f>+'Weather Analysis '!N31</f>
        <v>0</v>
      </c>
      <c r="E54" s="171">
        <v>1</v>
      </c>
      <c r="F54" s="171">
        <v>30</v>
      </c>
      <c r="G54" s="296">
        <f>'CDM Activity'!H36</f>
        <v>326399.87580690318</v>
      </c>
      <c r="H54" s="297">
        <v>32393</v>
      </c>
      <c r="I54" s="298">
        <v>138.23486974044414</v>
      </c>
      <c r="J54" s="301">
        <v>319.68</v>
      </c>
      <c r="K54" s="171">
        <v>176.5</v>
      </c>
      <c r="L54" s="300">
        <v>12</v>
      </c>
      <c r="M54" s="296">
        <f t="shared" si="6"/>
        <v>60778139.1866052</v>
      </c>
      <c r="N54" s="50">
        <f t="shared" si="7"/>
        <v>271223.18660520017</v>
      </c>
      <c r="O54" s="103">
        <f t="shared" si="8"/>
        <v>4.4825154632769613E-3</v>
      </c>
      <c r="P54" s="13">
        <f t="shared" si="3"/>
        <v>4.4825154632769613E-3</v>
      </c>
      <c r="Q54" s="347"/>
      <c r="R54" s="13"/>
      <c r="AE54" s="102"/>
      <c r="AF54" s="102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</row>
    <row r="55" spans="1:44" x14ac:dyDescent="0.25">
      <c r="A55" s="169">
        <f t="shared" si="5"/>
        <v>39233</v>
      </c>
      <c r="B55" s="172">
        <v>51273936</v>
      </c>
      <c r="C55" s="230">
        <f>'Weather Analysis '!N12</f>
        <v>204.6</v>
      </c>
      <c r="D55" s="230">
        <f>+'Weather Analysis '!N32</f>
        <v>12.5</v>
      </c>
      <c r="E55" s="171">
        <v>1</v>
      </c>
      <c r="F55" s="171">
        <v>31</v>
      </c>
      <c r="G55" s="296">
        <f>'CDM Activity'!H37</f>
        <v>347556.70895032492</v>
      </c>
      <c r="H55" s="297">
        <v>32375</v>
      </c>
      <c r="I55" s="298">
        <v>138.46317586658083</v>
      </c>
      <c r="J55" s="301">
        <v>351.91199999999998</v>
      </c>
      <c r="K55" s="171">
        <v>180.9</v>
      </c>
      <c r="L55" s="300">
        <v>11.1</v>
      </c>
      <c r="M55" s="296">
        <f t="shared" si="6"/>
        <v>53511767.596238993</v>
      </c>
      <c r="N55" s="50">
        <f t="shared" si="7"/>
        <v>2237831.5962389931</v>
      </c>
      <c r="O55" s="103">
        <f t="shared" si="8"/>
        <v>4.3644622800929365E-2</v>
      </c>
      <c r="P55" s="13">
        <f t="shared" si="3"/>
        <v>4.3644622800929365E-2</v>
      </c>
      <c r="Q55" s="347"/>
      <c r="R55" s="13"/>
      <c r="AE55" s="102"/>
      <c r="AF55" s="102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</row>
    <row r="56" spans="1:44" x14ac:dyDescent="0.25">
      <c r="A56" s="169">
        <f t="shared" si="5"/>
        <v>39263</v>
      </c>
      <c r="B56" s="172">
        <v>50644216</v>
      </c>
      <c r="C56" s="230">
        <f>'Weather Analysis '!N13</f>
        <v>67.8</v>
      </c>
      <c r="D56" s="230">
        <f>+'Weather Analysis '!N33</f>
        <v>35.9</v>
      </c>
      <c r="E56" s="171">
        <v>0</v>
      </c>
      <c r="F56" s="171">
        <v>30</v>
      </c>
      <c r="G56" s="296">
        <f>'CDM Activity'!H38</f>
        <v>368713.54209374666</v>
      </c>
      <c r="H56" s="297">
        <v>32366</v>
      </c>
      <c r="I56" s="298">
        <v>138.69185905884657</v>
      </c>
      <c r="J56" s="301">
        <v>336.24</v>
      </c>
      <c r="K56" s="171">
        <v>182.1</v>
      </c>
      <c r="L56" s="300">
        <v>10.9</v>
      </c>
      <c r="M56" s="296">
        <f t="shared" si="6"/>
        <v>51097561.474461287</v>
      </c>
      <c r="N56" s="50">
        <f t="shared" si="7"/>
        <v>453345.47446128726</v>
      </c>
      <c r="O56" s="103">
        <f t="shared" si="8"/>
        <v>8.9515745383695403E-3</v>
      </c>
      <c r="P56" s="13">
        <f t="shared" si="3"/>
        <v>8.9515745383695403E-3</v>
      </c>
      <c r="Q56" s="347"/>
      <c r="R56" s="13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</row>
    <row r="57" spans="1:44" x14ac:dyDescent="0.25">
      <c r="A57" s="169">
        <f t="shared" si="5"/>
        <v>39294</v>
      </c>
      <c r="B57" s="172">
        <v>51622068</v>
      </c>
      <c r="C57" s="230">
        <f>'Weather Analysis '!N14</f>
        <v>38</v>
      </c>
      <c r="D57" s="230">
        <f>+'Weather Analysis '!N34</f>
        <v>41.7</v>
      </c>
      <c r="E57" s="171">
        <v>0</v>
      </c>
      <c r="F57" s="171">
        <v>31</v>
      </c>
      <c r="G57" s="296">
        <f>'CDM Activity'!H39</f>
        <v>389870.37523716839</v>
      </c>
      <c r="H57" s="297">
        <v>32389</v>
      </c>
      <c r="I57" s="298">
        <v>138.92091993999671</v>
      </c>
      <c r="J57" s="301">
        <v>336.28800000000001</v>
      </c>
      <c r="K57" s="171">
        <v>182.7</v>
      </c>
      <c r="L57" s="300">
        <v>11.7</v>
      </c>
      <c r="M57" s="296">
        <f t="shared" si="6"/>
        <v>52179966.667643934</v>
      </c>
      <c r="N57" s="50">
        <f t="shared" si="7"/>
        <v>557898.66764393449</v>
      </c>
      <c r="O57" s="103">
        <f t="shared" si="8"/>
        <v>1.0807367648346333E-2</v>
      </c>
      <c r="P57" s="13">
        <f t="shared" si="3"/>
        <v>1.0807367648346333E-2</v>
      </c>
      <c r="Q57" s="347"/>
      <c r="R57" s="13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</row>
    <row r="58" spans="1:44" x14ac:dyDescent="0.25">
      <c r="A58" s="169">
        <f t="shared" si="5"/>
        <v>39325</v>
      </c>
      <c r="B58" s="172">
        <v>51764316</v>
      </c>
      <c r="C58" s="230">
        <f>'Weather Analysis '!N15</f>
        <v>33.799999999999997</v>
      </c>
      <c r="D58" s="230">
        <f>+'Weather Analysis '!N35</f>
        <v>42.5</v>
      </c>
      <c r="E58" s="171">
        <v>0</v>
      </c>
      <c r="F58" s="171">
        <v>31</v>
      </c>
      <c r="G58" s="296">
        <f>'CDM Activity'!H40</f>
        <v>411027.20838059013</v>
      </c>
      <c r="H58" s="297">
        <v>32395</v>
      </c>
      <c r="I58" s="298">
        <v>139.15035913381516</v>
      </c>
      <c r="J58" s="301">
        <v>351.91199999999998</v>
      </c>
      <c r="K58" s="171">
        <v>180.2</v>
      </c>
      <c r="L58" s="300">
        <v>13.3</v>
      </c>
      <c r="M58" s="296">
        <f t="shared" si="6"/>
        <v>52023756.138081282</v>
      </c>
      <c r="N58" s="50">
        <f t="shared" si="7"/>
        <v>259440.13808128238</v>
      </c>
      <c r="O58" s="103">
        <f t="shared" si="8"/>
        <v>5.0119495074808368E-3</v>
      </c>
      <c r="P58" s="13">
        <f t="shared" si="3"/>
        <v>5.0119495074808368E-3</v>
      </c>
      <c r="Q58" s="347"/>
      <c r="R58" s="13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</row>
    <row r="59" spans="1:44" x14ac:dyDescent="0.25">
      <c r="A59" s="169">
        <f t="shared" si="5"/>
        <v>39355</v>
      </c>
      <c r="B59" s="172">
        <v>48836864</v>
      </c>
      <c r="C59" s="230">
        <f>'Weather Analysis '!N16</f>
        <v>127.6</v>
      </c>
      <c r="D59" s="230">
        <f>+'Weather Analysis '!N36</f>
        <v>17</v>
      </c>
      <c r="E59" s="171">
        <v>1</v>
      </c>
      <c r="F59" s="171">
        <v>30</v>
      </c>
      <c r="G59" s="296">
        <f>'CDM Activity'!H41</f>
        <v>432184.04152401187</v>
      </c>
      <c r="H59" s="297">
        <v>32450</v>
      </c>
      <c r="I59" s="298">
        <v>139.38017726511606</v>
      </c>
      <c r="J59" s="301">
        <v>303.83999999999997</v>
      </c>
      <c r="K59" s="171">
        <v>179</v>
      </c>
      <c r="L59" s="300">
        <v>13.5</v>
      </c>
      <c r="M59" s="296">
        <f t="shared" si="6"/>
        <v>48944743.33105848</v>
      </c>
      <c r="N59" s="50">
        <f t="shared" si="7"/>
        <v>107879.33105847985</v>
      </c>
      <c r="O59" s="103">
        <f t="shared" si="8"/>
        <v>2.2089733496909189E-3</v>
      </c>
      <c r="P59" s="13">
        <f t="shared" si="3"/>
        <v>2.2089733496909189E-3</v>
      </c>
      <c r="Q59" s="347"/>
      <c r="R59" s="13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</row>
    <row r="60" spans="1:44" x14ac:dyDescent="0.25">
      <c r="A60" s="169">
        <f t="shared" si="5"/>
        <v>39386</v>
      </c>
      <c r="B60" s="172">
        <v>54192940</v>
      </c>
      <c r="C60" s="230">
        <f>'Weather Analysis '!N17</f>
        <v>233.5</v>
      </c>
      <c r="D60" s="230">
        <f>+'Weather Analysis '!N37</f>
        <v>0.8</v>
      </c>
      <c r="E60" s="171">
        <v>1</v>
      </c>
      <c r="F60" s="171">
        <v>31</v>
      </c>
      <c r="G60" s="296">
        <f>'CDM Activity'!H42</f>
        <v>453340.87466743361</v>
      </c>
      <c r="H60" s="297">
        <v>32485</v>
      </c>
      <c r="I60" s="298">
        <v>139.61037495974546</v>
      </c>
      <c r="J60" s="301">
        <v>351.91199999999998</v>
      </c>
      <c r="K60" s="171">
        <v>179.1</v>
      </c>
      <c r="L60" s="300">
        <v>12.3</v>
      </c>
      <c r="M60" s="296">
        <f t="shared" si="6"/>
        <v>53578363.705592595</v>
      </c>
      <c r="N60" s="50">
        <f t="shared" si="7"/>
        <v>-614576.29440740496</v>
      </c>
      <c r="O60" s="103">
        <f t="shared" si="8"/>
        <v>-1.134052321958183E-2</v>
      </c>
      <c r="P60" s="13">
        <f t="shared" si="3"/>
        <v>1.134052321958183E-2</v>
      </c>
      <c r="Q60" s="347"/>
      <c r="R60" s="13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</row>
    <row r="61" spans="1:44" x14ac:dyDescent="0.25">
      <c r="A61" s="169">
        <f t="shared" si="5"/>
        <v>39416</v>
      </c>
      <c r="B61" s="172">
        <v>65729492</v>
      </c>
      <c r="C61" s="230">
        <f>'Weather Analysis '!N18</f>
        <v>541</v>
      </c>
      <c r="D61" s="230">
        <f>+'Weather Analysis '!N38</f>
        <v>0</v>
      </c>
      <c r="E61" s="171">
        <v>1</v>
      </c>
      <c r="F61" s="171">
        <v>30</v>
      </c>
      <c r="G61" s="296">
        <f>'CDM Activity'!H43</f>
        <v>474497.70781085535</v>
      </c>
      <c r="H61" s="297">
        <v>32507</v>
      </c>
      <c r="I61" s="298">
        <v>139.84095284458306</v>
      </c>
      <c r="J61" s="301">
        <v>352.08</v>
      </c>
      <c r="K61" s="171">
        <v>180.5</v>
      </c>
      <c r="L61" s="300">
        <v>10.3</v>
      </c>
      <c r="M61" s="296">
        <f t="shared" si="6"/>
        <v>63744931.447217748</v>
      </c>
      <c r="N61" s="50">
        <f t="shared" si="7"/>
        <v>-1984560.5527822524</v>
      </c>
      <c r="O61" s="103">
        <f t="shared" si="8"/>
        <v>-3.0192847873862352E-2</v>
      </c>
      <c r="P61" s="13">
        <f t="shared" si="3"/>
        <v>3.0192847873862352E-2</v>
      </c>
      <c r="Q61" s="347"/>
      <c r="R61" s="13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</row>
    <row r="62" spans="1:44" x14ac:dyDescent="0.25">
      <c r="A62" s="169">
        <f t="shared" si="5"/>
        <v>39447</v>
      </c>
      <c r="B62" s="172">
        <v>77979100</v>
      </c>
      <c r="C62" s="230">
        <f>'Weather Analysis '!N19</f>
        <v>711.6</v>
      </c>
      <c r="D62" s="230">
        <f>+'Weather Analysis '!N39</f>
        <v>0</v>
      </c>
      <c r="E62" s="171">
        <v>0</v>
      </c>
      <c r="F62" s="171">
        <v>31</v>
      </c>
      <c r="G62" s="296">
        <f>'CDM Activity'!H44</f>
        <v>495654.54095427709</v>
      </c>
      <c r="H62" s="297">
        <v>32536</v>
      </c>
      <c r="I62" s="298">
        <v>140.07191154754381</v>
      </c>
      <c r="J62" s="301">
        <v>304.29599999999999</v>
      </c>
      <c r="K62" s="171">
        <v>181.7</v>
      </c>
      <c r="L62" s="300">
        <v>10.6</v>
      </c>
      <c r="M62" s="296">
        <f t="shared" si="6"/>
        <v>75149242.785324812</v>
      </c>
      <c r="N62" s="50">
        <f t="shared" si="7"/>
        <v>-2829857.2146751881</v>
      </c>
      <c r="O62" s="103">
        <f t="shared" si="8"/>
        <v>-3.6289944545079236E-2</v>
      </c>
      <c r="P62" s="13">
        <f t="shared" si="3"/>
        <v>3.6289944545079236E-2</v>
      </c>
      <c r="Q62" s="347"/>
      <c r="R62" s="13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</row>
    <row r="63" spans="1:44" x14ac:dyDescent="0.25">
      <c r="A63" s="169">
        <f t="shared" si="5"/>
        <v>39478</v>
      </c>
      <c r="B63" s="173">
        <v>79006867</v>
      </c>
      <c r="C63" s="230">
        <f>+'Weather Analysis '!O8</f>
        <v>761.9</v>
      </c>
      <c r="D63" s="230">
        <f>+'Weather Analysis '!O28</f>
        <v>0</v>
      </c>
      <c r="E63" s="171">
        <v>0</v>
      </c>
      <c r="F63" s="171">
        <v>31</v>
      </c>
      <c r="G63" s="296">
        <f>'CDM Activity'!H45</f>
        <v>504346.77588558081</v>
      </c>
      <c r="H63" s="297">
        <v>32538</v>
      </c>
      <c r="I63" s="298">
        <v>139.96642175819056</v>
      </c>
      <c r="J63" s="301">
        <v>352</v>
      </c>
      <c r="K63" s="171">
        <v>181</v>
      </c>
      <c r="L63" s="300">
        <v>10.8</v>
      </c>
      <c r="M63" s="296">
        <f t="shared" si="6"/>
        <v>77096385.222916722</v>
      </c>
      <c r="N63" s="50">
        <f t="shared" si="7"/>
        <v>-1910481.7770832777</v>
      </c>
      <c r="O63" s="103">
        <f t="shared" si="8"/>
        <v>-2.4181211705094921E-2</v>
      </c>
      <c r="P63" s="13">
        <f t="shared" si="3"/>
        <v>2.4181211705094921E-2</v>
      </c>
      <c r="Q63" s="347"/>
      <c r="R63" s="13"/>
    </row>
    <row r="64" spans="1:44" x14ac:dyDescent="0.25">
      <c r="A64" s="169">
        <f t="shared" si="5"/>
        <v>39507</v>
      </c>
      <c r="B64" s="173">
        <v>75126905</v>
      </c>
      <c r="C64" s="230">
        <f>+'Weather Analysis '!O9</f>
        <v>831.3</v>
      </c>
      <c r="D64" s="230">
        <f>+'Weather Analysis '!O29</f>
        <v>0</v>
      </c>
      <c r="E64" s="171">
        <v>0</v>
      </c>
      <c r="F64" s="171">
        <v>29</v>
      </c>
      <c r="G64" s="296">
        <f>'CDM Activity'!H46</f>
        <v>513039.01081688452</v>
      </c>
      <c r="H64" s="297">
        <v>32549</v>
      </c>
      <c r="I64" s="298">
        <v>139.86101141442734</v>
      </c>
      <c r="J64" s="301">
        <v>320</v>
      </c>
      <c r="K64" s="171">
        <v>180.7</v>
      </c>
      <c r="L64" s="300">
        <v>12.3</v>
      </c>
      <c r="M64" s="296">
        <f t="shared" si="6"/>
        <v>76215443.918429404</v>
      </c>
      <c r="N64" s="50">
        <f t="shared" si="7"/>
        <v>1088538.9184294045</v>
      </c>
      <c r="O64" s="103">
        <f t="shared" si="8"/>
        <v>1.4489335324400819E-2</v>
      </c>
      <c r="P64" s="13">
        <f t="shared" si="3"/>
        <v>1.4489335324400819E-2</v>
      </c>
      <c r="Q64" s="347"/>
      <c r="R64" s="13"/>
    </row>
    <row r="65" spans="1:50" x14ac:dyDescent="0.25">
      <c r="A65" s="169">
        <f t="shared" si="5"/>
        <v>39538</v>
      </c>
      <c r="B65" s="173">
        <v>74573962</v>
      </c>
      <c r="C65" s="230">
        <f>+'Weather Analysis '!O10</f>
        <v>795.5</v>
      </c>
      <c r="D65" s="230">
        <f>+'Weather Analysis '!O30</f>
        <v>0</v>
      </c>
      <c r="E65" s="171">
        <v>1</v>
      </c>
      <c r="F65" s="171">
        <v>31</v>
      </c>
      <c r="G65" s="296">
        <f>'CDM Activity'!H47</f>
        <v>521731.24574818823</v>
      </c>
      <c r="H65" s="297">
        <v>32544</v>
      </c>
      <c r="I65" s="298">
        <v>139.75568045642274</v>
      </c>
      <c r="J65" s="301">
        <v>304</v>
      </c>
      <c r="K65" s="171">
        <v>179.4</v>
      </c>
      <c r="L65" s="300">
        <v>13.5</v>
      </c>
      <c r="M65" s="296">
        <f t="shared" si="6"/>
        <v>75441695.039832771</v>
      </c>
      <c r="N65" s="50">
        <f t="shared" si="7"/>
        <v>867733.03983277082</v>
      </c>
      <c r="O65" s="103">
        <f t="shared" si="8"/>
        <v>1.1635871510122672E-2</v>
      </c>
      <c r="P65" s="13">
        <f t="shared" si="3"/>
        <v>1.1635871510122672E-2</v>
      </c>
      <c r="Q65" s="347"/>
      <c r="R65" s="13"/>
    </row>
    <row r="66" spans="1:50" x14ac:dyDescent="0.25">
      <c r="A66" s="169">
        <f t="shared" si="5"/>
        <v>39568</v>
      </c>
      <c r="B66" s="173">
        <v>58751936</v>
      </c>
      <c r="C66" s="230">
        <f>+'Weather Analysis '!O11</f>
        <v>391.8</v>
      </c>
      <c r="D66" s="230">
        <f>+'Weather Analysis '!O31</f>
        <v>0</v>
      </c>
      <c r="E66" s="171">
        <v>1</v>
      </c>
      <c r="F66" s="171">
        <v>30</v>
      </c>
      <c r="G66" s="296">
        <f>'CDM Activity'!H48</f>
        <v>530423.48067949188</v>
      </c>
      <c r="H66" s="297">
        <v>32526</v>
      </c>
      <c r="I66" s="298">
        <v>139.65042882439042</v>
      </c>
      <c r="J66" s="301">
        <v>352</v>
      </c>
      <c r="K66" s="171">
        <v>178.9</v>
      </c>
      <c r="L66" s="300">
        <v>15.5</v>
      </c>
      <c r="M66" s="296">
        <f t="shared" si="6"/>
        <v>57753717.518016577</v>
      </c>
      <c r="N66" s="50">
        <f t="shared" si="7"/>
        <v>-998218.48198342323</v>
      </c>
      <c r="O66" s="103">
        <f t="shared" si="8"/>
        <v>-1.699039299715031E-2</v>
      </c>
      <c r="P66" s="13">
        <f t="shared" si="3"/>
        <v>1.699039299715031E-2</v>
      </c>
      <c r="Q66" s="347"/>
      <c r="R66" s="13"/>
    </row>
    <row r="67" spans="1:50" x14ac:dyDescent="0.25">
      <c r="A67" s="169">
        <f t="shared" si="5"/>
        <v>39599</v>
      </c>
      <c r="B67" s="173">
        <v>53931566</v>
      </c>
      <c r="C67" s="230">
        <f>+'Weather Analysis '!O12</f>
        <v>320</v>
      </c>
      <c r="D67" s="230">
        <f>+'Weather Analysis '!O32</f>
        <v>0</v>
      </c>
      <c r="E67" s="171">
        <v>1</v>
      </c>
      <c r="F67" s="171">
        <v>31</v>
      </c>
      <c r="G67" s="296">
        <f>'CDM Activity'!H49</f>
        <v>539115.71561079554</v>
      </c>
      <c r="H67" s="297">
        <v>32565</v>
      </c>
      <c r="I67" s="298">
        <v>139.54525645858905</v>
      </c>
      <c r="J67" s="301">
        <v>336</v>
      </c>
      <c r="K67" s="171">
        <v>181.6</v>
      </c>
      <c r="L67" s="300">
        <v>15.5</v>
      </c>
      <c r="M67" s="296">
        <f t="shared" si="6"/>
        <v>56792560.78006392</v>
      </c>
      <c r="N67" s="50">
        <f t="shared" ref="N67:N98" si="9">M67-B67</f>
        <v>2860994.7800639197</v>
      </c>
      <c r="O67" s="103">
        <f t="shared" ref="O67:O98" si="10">N67/B67</f>
        <v>5.3048613126937934E-2</v>
      </c>
      <c r="P67" s="13">
        <f t="shared" ref="P67:P130" si="11">ABS(O67)</f>
        <v>5.3048613126937934E-2</v>
      </c>
      <c r="Q67" s="347"/>
      <c r="R67" s="13"/>
    </row>
    <row r="68" spans="1:50" x14ac:dyDescent="0.25">
      <c r="A68" s="169">
        <f t="shared" si="5"/>
        <v>39629</v>
      </c>
      <c r="B68" s="173">
        <v>48466638</v>
      </c>
      <c r="C68" s="230">
        <f>+'Weather Analysis '!O13</f>
        <v>99.8</v>
      </c>
      <c r="D68" s="230">
        <f>+'Weather Analysis '!O33</f>
        <v>7.8</v>
      </c>
      <c r="E68" s="171">
        <v>0</v>
      </c>
      <c r="F68" s="171">
        <v>30</v>
      </c>
      <c r="G68" s="296">
        <f>'CDM Activity'!H50</f>
        <v>547807.95054209919</v>
      </c>
      <c r="H68" s="297">
        <v>32555</v>
      </c>
      <c r="I68" s="298">
        <v>139.44016329932234</v>
      </c>
      <c r="J68" s="301">
        <v>336</v>
      </c>
      <c r="K68" s="171">
        <v>186.6</v>
      </c>
      <c r="L68" s="300">
        <v>13.8</v>
      </c>
      <c r="M68" s="296">
        <f t="shared" si="6"/>
        <v>49876910.409802213</v>
      </c>
      <c r="N68" s="50">
        <f t="shared" si="9"/>
        <v>1410272.4098022133</v>
      </c>
      <c r="O68" s="103">
        <f t="shared" si="10"/>
        <v>2.9097797330242162E-2</v>
      </c>
      <c r="P68" s="13">
        <f t="shared" si="11"/>
        <v>2.9097797330242162E-2</v>
      </c>
      <c r="Q68" s="347"/>
      <c r="R68" s="13"/>
    </row>
    <row r="69" spans="1:50" x14ac:dyDescent="0.25">
      <c r="A69" s="169">
        <f t="shared" si="5"/>
        <v>39660</v>
      </c>
      <c r="B69" s="173">
        <v>50725082</v>
      </c>
      <c r="C69" s="230">
        <f>+'Weather Analysis '!O14</f>
        <v>34.799999999999997</v>
      </c>
      <c r="D69" s="230">
        <f>+'Weather Analysis '!O34</f>
        <v>18.7</v>
      </c>
      <c r="E69" s="171">
        <v>0</v>
      </c>
      <c r="F69" s="171">
        <v>31</v>
      </c>
      <c r="G69" s="296">
        <f>'CDM Activity'!H51</f>
        <v>556500.18547340285</v>
      </c>
      <c r="H69" s="297">
        <v>32552</v>
      </c>
      <c r="I69" s="298">
        <v>139.3351492869389</v>
      </c>
      <c r="J69" s="301">
        <v>352</v>
      </c>
      <c r="K69" s="171">
        <v>189.4</v>
      </c>
      <c r="L69" s="300">
        <v>12.7</v>
      </c>
      <c r="M69" s="296">
        <f t="shared" si="6"/>
        <v>49980663.117894769</v>
      </c>
      <c r="N69" s="50">
        <f t="shared" si="9"/>
        <v>-744418.88210523129</v>
      </c>
      <c r="O69" s="103">
        <f t="shared" si="10"/>
        <v>-1.46755579834298E-2</v>
      </c>
      <c r="P69" s="13">
        <f t="shared" si="11"/>
        <v>1.46755579834298E-2</v>
      </c>
      <c r="Q69" s="347"/>
      <c r="R69" s="13"/>
    </row>
    <row r="70" spans="1:50" x14ac:dyDescent="0.25">
      <c r="A70" s="169">
        <f t="shared" si="5"/>
        <v>39691</v>
      </c>
      <c r="B70" s="173">
        <v>50225177</v>
      </c>
      <c r="C70" s="230">
        <f>+'Weather Analysis '!O15</f>
        <v>29</v>
      </c>
      <c r="D70" s="230">
        <f>+'Weather Analysis '!O35</f>
        <v>24</v>
      </c>
      <c r="E70" s="171">
        <v>0</v>
      </c>
      <c r="F70" s="171">
        <v>31</v>
      </c>
      <c r="G70" s="296">
        <f>'CDM Activity'!H52</f>
        <v>565192.4204047065</v>
      </c>
      <c r="H70" s="297">
        <v>32581</v>
      </c>
      <c r="I70" s="298">
        <v>139.23021436183228</v>
      </c>
      <c r="J70" s="301">
        <v>320</v>
      </c>
      <c r="K70" s="171">
        <v>189.1</v>
      </c>
      <c r="L70" s="300">
        <v>12.9</v>
      </c>
      <c r="M70" s="296">
        <f t="shared" si="6"/>
        <v>50218890.974308662</v>
      </c>
      <c r="N70" s="50">
        <f t="shared" si="9"/>
        <v>-6286.0256913378835</v>
      </c>
      <c r="O70" s="103">
        <f t="shared" si="10"/>
        <v>-1.2515686487949825E-4</v>
      </c>
      <c r="P70" s="13">
        <f t="shared" si="11"/>
        <v>1.2515686487949825E-4</v>
      </c>
      <c r="Q70" s="347"/>
      <c r="R70" s="13"/>
    </row>
    <row r="71" spans="1:50" x14ac:dyDescent="0.25">
      <c r="A71" s="169">
        <f t="shared" si="5"/>
        <v>39721</v>
      </c>
      <c r="B71" s="173">
        <v>48690797</v>
      </c>
      <c r="C71" s="230">
        <f>+'Weather Analysis '!O16</f>
        <v>140.1</v>
      </c>
      <c r="D71" s="230">
        <f>+'Weather Analysis '!O36</f>
        <v>9.8000000000000007</v>
      </c>
      <c r="E71" s="171">
        <v>1</v>
      </c>
      <c r="F71" s="171">
        <v>30</v>
      </c>
      <c r="G71" s="296">
        <f>'CDM Activity'!H53</f>
        <v>573884.65533601015</v>
      </c>
      <c r="H71" s="297">
        <v>32677</v>
      </c>
      <c r="I71" s="298">
        <v>139.12535846444095</v>
      </c>
      <c r="J71" s="301">
        <v>336</v>
      </c>
      <c r="K71" s="171">
        <v>186.4</v>
      </c>
      <c r="L71" s="300">
        <v>14.8</v>
      </c>
      <c r="M71" s="296">
        <f t="shared" si="6"/>
        <v>48867944.106424257</v>
      </c>
      <c r="N71" s="50">
        <f t="shared" si="9"/>
        <v>177147.10642425716</v>
      </c>
      <c r="O71" s="103">
        <f t="shared" si="10"/>
        <v>3.6382051093609572E-3</v>
      </c>
      <c r="P71" s="13">
        <f t="shared" si="11"/>
        <v>3.6382051093609572E-3</v>
      </c>
      <c r="Q71" s="347"/>
      <c r="R71" s="13"/>
    </row>
    <row r="72" spans="1:50" x14ac:dyDescent="0.25">
      <c r="A72" s="169">
        <f t="shared" si="5"/>
        <v>39752</v>
      </c>
      <c r="B72" s="173">
        <v>56073867</v>
      </c>
      <c r="C72" s="230">
        <f>+'Weather Analysis '!O17</f>
        <v>334.5</v>
      </c>
      <c r="D72" s="230">
        <f>+'Weather Analysis '!O37</f>
        <v>1.3</v>
      </c>
      <c r="E72" s="171">
        <v>1</v>
      </c>
      <c r="F72" s="171">
        <v>31</v>
      </c>
      <c r="G72" s="296">
        <f>'CDM Activity'!H54</f>
        <v>582576.89026731381</v>
      </c>
      <c r="H72" s="297">
        <v>32716</v>
      </c>
      <c r="I72" s="298">
        <v>139.02058153524823</v>
      </c>
      <c r="J72" s="301">
        <v>352</v>
      </c>
      <c r="K72" s="171">
        <v>187.3</v>
      </c>
      <c r="L72" s="300">
        <v>15.2</v>
      </c>
      <c r="M72" s="296">
        <f t="shared" si="6"/>
        <v>57647502.536628477</v>
      </c>
      <c r="N72" s="50">
        <f t="shared" si="9"/>
        <v>1573635.5366284773</v>
      </c>
      <c r="O72" s="103">
        <f t="shared" si="10"/>
        <v>2.8063617168198465E-2</v>
      </c>
      <c r="P72" s="13">
        <f t="shared" si="11"/>
        <v>2.8063617168198465E-2</v>
      </c>
      <c r="Q72" s="347"/>
      <c r="R72" s="13"/>
    </row>
    <row r="73" spans="1:50" x14ac:dyDescent="0.25">
      <c r="A73" s="169">
        <f t="shared" si="5"/>
        <v>39782</v>
      </c>
      <c r="B73" s="173">
        <v>63785625</v>
      </c>
      <c r="C73" s="230">
        <f>+'Weather Analysis '!O18</f>
        <v>496.8</v>
      </c>
      <c r="D73" s="230">
        <f>+'Weather Analysis '!O38</f>
        <v>0</v>
      </c>
      <c r="E73" s="171">
        <v>1</v>
      </c>
      <c r="F73" s="171">
        <v>30</v>
      </c>
      <c r="G73" s="296">
        <f>'CDM Activity'!H55</f>
        <v>591269.12519861746</v>
      </c>
      <c r="H73" s="297">
        <v>32770</v>
      </c>
      <c r="I73" s="298">
        <v>138.91588351478222</v>
      </c>
      <c r="J73" s="301">
        <v>304</v>
      </c>
      <c r="K73" s="171">
        <v>185.3</v>
      </c>
      <c r="L73" s="300">
        <v>15.8</v>
      </c>
      <c r="M73" s="296">
        <f t="shared" si="6"/>
        <v>62191953.289561607</v>
      </c>
      <c r="N73" s="50">
        <f t="shared" si="9"/>
        <v>-1593671.7104383931</v>
      </c>
      <c r="O73" s="103">
        <f t="shared" si="10"/>
        <v>-2.498480982883515E-2</v>
      </c>
      <c r="P73" s="13">
        <f t="shared" si="11"/>
        <v>2.498480982883515E-2</v>
      </c>
      <c r="Q73" s="347"/>
      <c r="R73" s="13"/>
    </row>
    <row r="74" spans="1:50" x14ac:dyDescent="0.25">
      <c r="A74" s="169">
        <f t="shared" si="5"/>
        <v>39813</v>
      </c>
      <c r="B74" s="173">
        <v>81608064</v>
      </c>
      <c r="C74" s="230">
        <f>+'Weather Analysis '!O19</f>
        <v>814.7</v>
      </c>
      <c r="D74" s="230">
        <f>+'Weather Analysis '!O39</f>
        <v>0</v>
      </c>
      <c r="E74" s="171">
        <v>0</v>
      </c>
      <c r="F74" s="171">
        <v>31</v>
      </c>
      <c r="G74" s="296">
        <f>'CDM Activity'!H56</f>
        <v>599961.36012992112</v>
      </c>
      <c r="H74" s="297">
        <v>32782</v>
      </c>
      <c r="I74" s="298">
        <v>138.8112643436159</v>
      </c>
      <c r="J74" s="301">
        <v>336</v>
      </c>
      <c r="K74" s="171">
        <v>184.3</v>
      </c>
      <c r="L74" s="300">
        <v>14.7</v>
      </c>
      <c r="M74" s="296">
        <f t="shared" si="6"/>
        <v>79374186.508454725</v>
      </c>
      <c r="N74" s="50">
        <f t="shared" si="9"/>
        <v>-2233877.4915452749</v>
      </c>
      <c r="O74" s="103">
        <f t="shared" si="10"/>
        <v>-2.7373244530654161E-2</v>
      </c>
      <c r="P74" s="13">
        <f t="shared" si="11"/>
        <v>2.7373244530654161E-2</v>
      </c>
      <c r="Q74" s="347"/>
      <c r="R74" s="13"/>
    </row>
    <row r="75" spans="1:50" s="14" customFormat="1" x14ac:dyDescent="0.25">
      <c r="A75" s="169">
        <f t="shared" si="5"/>
        <v>39844</v>
      </c>
      <c r="B75" s="172">
        <v>85774977</v>
      </c>
      <c r="C75" s="230">
        <f>'Weather Analysis '!P8</f>
        <v>970.4</v>
      </c>
      <c r="D75" s="230">
        <f>+'Weather Analysis '!P28</f>
        <v>0</v>
      </c>
      <c r="E75" s="171">
        <v>0</v>
      </c>
      <c r="F75" s="171">
        <v>31</v>
      </c>
      <c r="G75" s="296">
        <f>'CDM Activity'!H57</f>
        <v>613781.96710080863</v>
      </c>
      <c r="H75" s="297">
        <v>32783</v>
      </c>
      <c r="I75" s="298">
        <v>138.43555825854429</v>
      </c>
      <c r="J75" s="301">
        <v>336</v>
      </c>
      <c r="K75" s="171">
        <v>179.9</v>
      </c>
      <c r="L75" s="300">
        <v>15.6</v>
      </c>
      <c r="M75" s="296">
        <f t="shared" si="6"/>
        <v>85433383.269284979</v>
      </c>
      <c r="N75" s="50">
        <f t="shared" si="9"/>
        <v>-341593.73071502149</v>
      </c>
      <c r="O75" s="103">
        <f t="shared" si="10"/>
        <v>-3.9824403650381797E-3</v>
      </c>
      <c r="P75" s="13">
        <f t="shared" si="11"/>
        <v>3.9824403650381797E-3</v>
      </c>
      <c r="Q75" s="347"/>
      <c r="R75" s="13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</row>
    <row r="76" spans="1:50" x14ac:dyDescent="0.25">
      <c r="A76" s="169">
        <f t="shared" ref="A76:A132" si="12">EOMONTH(A75,1)</f>
        <v>39872</v>
      </c>
      <c r="B76" s="172">
        <v>71566146</v>
      </c>
      <c r="C76" s="230">
        <f>'Weather Analysis '!P9</f>
        <v>747.8</v>
      </c>
      <c r="D76" s="230">
        <f>+'Weather Analysis '!P29</f>
        <v>0</v>
      </c>
      <c r="E76" s="171">
        <v>0</v>
      </c>
      <c r="F76" s="171">
        <v>28</v>
      </c>
      <c r="G76" s="296">
        <f>'CDM Activity'!H58</f>
        <v>627602.57407169614</v>
      </c>
      <c r="H76" s="297">
        <v>32787</v>
      </c>
      <c r="I76" s="298">
        <v>138.06086905825526</v>
      </c>
      <c r="J76" s="301">
        <v>304</v>
      </c>
      <c r="K76" s="171">
        <v>176.6</v>
      </c>
      <c r="L76" s="300">
        <v>16</v>
      </c>
      <c r="M76" s="296">
        <f t="shared" si="6"/>
        <v>71277795.805271998</v>
      </c>
      <c r="N76" s="50">
        <f t="shared" si="9"/>
        <v>-288350.19472800195</v>
      </c>
      <c r="O76" s="103">
        <f t="shared" si="10"/>
        <v>-4.0291424206076705E-3</v>
      </c>
      <c r="P76" s="13">
        <f t="shared" si="11"/>
        <v>4.0291424206076705E-3</v>
      </c>
      <c r="Q76" s="347"/>
      <c r="R76" s="13"/>
    </row>
    <row r="77" spans="1:50" x14ac:dyDescent="0.25">
      <c r="A77" s="169">
        <f t="shared" si="12"/>
        <v>39903</v>
      </c>
      <c r="B77" s="172">
        <v>72767317</v>
      </c>
      <c r="C77" s="230">
        <f>'Weather Analysis '!P10</f>
        <v>680.7</v>
      </c>
      <c r="D77" s="230">
        <f>+'Weather Analysis '!P30</f>
        <v>0</v>
      </c>
      <c r="E77" s="171">
        <v>1</v>
      </c>
      <c r="F77" s="171">
        <v>31</v>
      </c>
      <c r="G77" s="296">
        <f>'CDM Activity'!H59</f>
        <v>641423.18104258366</v>
      </c>
      <c r="H77" s="297">
        <v>32784</v>
      </c>
      <c r="I77" s="298">
        <v>137.68719399045199</v>
      </c>
      <c r="J77" s="301">
        <v>352</v>
      </c>
      <c r="K77" s="171">
        <v>174.1</v>
      </c>
      <c r="L77" s="300">
        <v>16.899999999999999</v>
      </c>
      <c r="M77" s="296">
        <f t="shared" si="6"/>
        <v>71062661.786939099</v>
      </c>
      <c r="N77" s="50">
        <f t="shared" si="9"/>
        <v>-1704655.2130609006</v>
      </c>
      <c r="O77" s="103">
        <f t="shared" si="10"/>
        <v>-2.3426110558135607E-2</v>
      </c>
      <c r="P77" s="13">
        <f t="shared" si="11"/>
        <v>2.3426110558135607E-2</v>
      </c>
      <c r="Q77" s="347"/>
      <c r="R77" s="13"/>
    </row>
    <row r="78" spans="1:50" x14ac:dyDescent="0.25">
      <c r="A78" s="169">
        <f t="shared" si="12"/>
        <v>39933</v>
      </c>
      <c r="B78" s="172">
        <v>59966273</v>
      </c>
      <c r="C78" s="230">
        <f>'Weather Analysis '!P11</f>
        <v>425.5</v>
      </c>
      <c r="D78" s="230">
        <f>+'Weather Analysis '!P31</f>
        <v>0</v>
      </c>
      <c r="E78" s="171">
        <v>1</v>
      </c>
      <c r="F78" s="171">
        <v>30</v>
      </c>
      <c r="G78" s="296">
        <f>'CDM Activity'!H60</f>
        <v>655243.78801347117</v>
      </c>
      <c r="H78" s="297">
        <v>32749</v>
      </c>
      <c r="I78" s="298">
        <v>137.31453031028698</v>
      </c>
      <c r="J78" s="301">
        <v>320</v>
      </c>
      <c r="K78" s="171">
        <v>174.4</v>
      </c>
      <c r="L78" s="300">
        <v>15</v>
      </c>
      <c r="M78" s="296">
        <f t="shared" si="6"/>
        <v>59141708.354109183</v>
      </c>
      <c r="N78" s="50">
        <f t="shared" si="9"/>
        <v>-824564.64589081705</v>
      </c>
      <c r="O78" s="103">
        <f t="shared" si="10"/>
        <v>-1.3750473468491481E-2</v>
      </c>
      <c r="P78" s="13">
        <f t="shared" si="11"/>
        <v>1.3750473468491481E-2</v>
      </c>
      <c r="Q78" s="347"/>
      <c r="R78" s="13"/>
    </row>
    <row r="79" spans="1:50" x14ac:dyDescent="0.25">
      <c r="A79" s="169">
        <f t="shared" si="12"/>
        <v>39964</v>
      </c>
      <c r="B79" s="172">
        <v>52676063</v>
      </c>
      <c r="C79" s="230">
        <f>'Weather Analysis '!P12</f>
        <v>298.89999999999998</v>
      </c>
      <c r="D79" s="230">
        <f>+'Weather Analysis '!P32</f>
        <v>0</v>
      </c>
      <c r="E79" s="171">
        <v>1</v>
      </c>
      <c r="F79" s="171">
        <v>31</v>
      </c>
      <c r="G79" s="296">
        <f>'CDM Activity'!H61</f>
        <v>669064.39498435869</v>
      </c>
      <c r="H79" s="297">
        <v>32756</v>
      </c>
      <c r="I79" s="298">
        <v>136.94287528034204</v>
      </c>
      <c r="J79" s="301">
        <v>320</v>
      </c>
      <c r="K79" s="171">
        <v>176.9</v>
      </c>
      <c r="L79" s="300">
        <v>15.1</v>
      </c>
      <c r="M79" s="296">
        <f t="shared" si="6"/>
        <v>55947199.508038662</v>
      </c>
      <c r="N79" s="50">
        <f t="shared" si="9"/>
        <v>3271136.5080386624</v>
      </c>
      <c r="O79" s="103">
        <f t="shared" si="10"/>
        <v>6.2099107673226496E-2</v>
      </c>
      <c r="P79" s="13">
        <f t="shared" si="11"/>
        <v>6.2099107673226496E-2</v>
      </c>
      <c r="Q79" s="347"/>
      <c r="R79" s="13"/>
    </row>
    <row r="80" spans="1:50" x14ac:dyDescent="0.25">
      <c r="A80" s="169">
        <f t="shared" si="12"/>
        <v>39994</v>
      </c>
      <c r="B80" s="172">
        <v>49196438</v>
      </c>
      <c r="C80" s="230">
        <f>'Weather Analysis '!P13</f>
        <v>126.1</v>
      </c>
      <c r="D80" s="230">
        <f>+'Weather Analysis '!P33</f>
        <v>19.2</v>
      </c>
      <c r="E80" s="171">
        <v>0</v>
      </c>
      <c r="F80" s="171">
        <v>30</v>
      </c>
      <c r="G80" s="296">
        <f>'CDM Activity'!H62</f>
        <v>682885.0019552462</v>
      </c>
      <c r="H80" s="297">
        <v>32739</v>
      </c>
      <c r="I80" s="298">
        <v>136.57222617060793</v>
      </c>
      <c r="J80" s="301">
        <v>352</v>
      </c>
      <c r="K80" s="171">
        <v>178.9</v>
      </c>
      <c r="L80" s="300">
        <v>16</v>
      </c>
      <c r="M80" s="296">
        <f t="shared" ref="M80:M143" si="13">+$T$43+C80*$T$44+D80*$T$45+E80*$T$46+F80*$T$47+G80*$T$48+ H80*$T$49</f>
        <v>51786663.760215908</v>
      </c>
      <c r="N80" s="50">
        <f t="shared" si="9"/>
        <v>2590225.7602159083</v>
      </c>
      <c r="O80" s="103">
        <f t="shared" si="10"/>
        <v>5.2650676868433201E-2</v>
      </c>
      <c r="P80" s="13">
        <f t="shared" si="11"/>
        <v>5.2650676868433201E-2</v>
      </c>
      <c r="Q80" s="347"/>
      <c r="R80" s="13"/>
    </row>
    <row r="81" spans="1:36" x14ac:dyDescent="0.25">
      <c r="A81" s="169">
        <f t="shared" si="12"/>
        <v>40025</v>
      </c>
      <c r="B81" s="172">
        <v>48238905</v>
      </c>
      <c r="C81" s="230">
        <f>'Weather Analysis '!P14</f>
        <v>87.7</v>
      </c>
      <c r="D81" s="230">
        <f>+'Weather Analysis '!P34</f>
        <v>8</v>
      </c>
      <c r="E81" s="171">
        <v>0</v>
      </c>
      <c r="F81" s="171">
        <v>31</v>
      </c>
      <c r="G81" s="296">
        <f>'CDM Activity'!H63</f>
        <v>696705.60892613372</v>
      </c>
      <c r="H81" s="297">
        <v>32752</v>
      </c>
      <c r="I81" s="298">
        <v>136.20258025846454</v>
      </c>
      <c r="J81" s="301">
        <v>352</v>
      </c>
      <c r="K81" s="171">
        <v>180.2</v>
      </c>
      <c r="L81" s="300">
        <v>19</v>
      </c>
      <c r="M81" s="296">
        <f t="shared" si="13"/>
        <v>51149065.993921883</v>
      </c>
      <c r="N81" s="50">
        <f t="shared" si="9"/>
        <v>2910160.9939218834</v>
      </c>
      <c r="O81" s="103">
        <f t="shared" si="10"/>
        <v>6.0328089825461076E-2</v>
      </c>
      <c r="P81" s="13">
        <f t="shared" si="11"/>
        <v>6.0328089825461076E-2</v>
      </c>
      <c r="Q81" s="347"/>
      <c r="R81" s="13"/>
    </row>
    <row r="82" spans="1:36" x14ac:dyDescent="0.25">
      <c r="A82" s="169">
        <f t="shared" si="12"/>
        <v>40056</v>
      </c>
      <c r="B82" s="172">
        <v>49652791</v>
      </c>
      <c r="C82" s="230">
        <f>'Weather Analysis '!P15</f>
        <v>69.3</v>
      </c>
      <c r="D82" s="230">
        <f>+'Weather Analysis '!P35</f>
        <v>25.2</v>
      </c>
      <c r="E82" s="171">
        <v>0</v>
      </c>
      <c r="F82" s="171">
        <v>31</v>
      </c>
      <c r="G82" s="296">
        <f>'CDM Activity'!H64</f>
        <v>710526.21589702123</v>
      </c>
      <c r="H82" s="297">
        <v>32766</v>
      </c>
      <c r="I82" s="298">
        <v>135.83393482866074</v>
      </c>
      <c r="J82" s="301">
        <v>320</v>
      </c>
      <c r="K82" s="171">
        <v>181.6</v>
      </c>
      <c r="L82" s="300">
        <v>20.2</v>
      </c>
      <c r="M82" s="296">
        <f t="shared" si="13"/>
        <v>51814347.658054262</v>
      </c>
      <c r="N82" s="50">
        <f t="shared" si="9"/>
        <v>2161556.6580542624</v>
      </c>
      <c r="O82" s="103">
        <f t="shared" si="10"/>
        <v>4.3533437184916E-2</v>
      </c>
      <c r="P82" s="13">
        <f t="shared" si="11"/>
        <v>4.3533437184916E-2</v>
      </c>
      <c r="Q82" s="347"/>
      <c r="R82" s="13"/>
    </row>
    <row r="83" spans="1:36" x14ac:dyDescent="0.25">
      <c r="A83" s="169">
        <f t="shared" si="12"/>
        <v>40086</v>
      </c>
      <c r="B83" s="172">
        <v>48812970</v>
      </c>
      <c r="C83" s="230">
        <f>'Weather Analysis '!P16</f>
        <v>93.1</v>
      </c>
      <c r="D83" s="230">
        <f>+'Weather Analysis '!P36</f>
        <v>5</v>
      </c>
      <c r="E83" s="171">
        <v>1</v>
      </c>
      <c r="F83" s="171">
        <v>30</v>
      </c>
      <c r="G83" s="296">
        <f>'CDM Activity'!H65</f>
        <v>724346.82286790875</v>
      </c>
      <c r="H83" s="297">
        <v>32815</v>
      </c>
      <c r="I83" s="298">
        <v>135.46628717329455</v>
      </c>
      <c r="J83" s="301">
        <v>336</v>
      </c>
      <c r="K83" s="171">
        <v>182.3</v>
      </c>
      <c r="L83" s="300">
        <v>19.399999999999999</v>
      </c>
      <c r="M83" s="296">
        <f t="shared" si="13"/>
        <v>46435017.326242924</v>
      </c>
      <c r="N83" s="50">
        <f t="shared" si="9"/>
        <v>-2377952.6737570763</v>
      </c>
      <c r="O83" s="103">
        <f t="shared" si="10"/>
        <v>-4.871559083081968E-2</v>
      </c>
      <c r="P83" s="13">
        <f t="shared" si="11"/>
        <v>4.871559083081968E-2</v>
      </c>
      <c r="Q83" s="347"/>
      <c r="R83" s="13"/>
    </row>
    <row r="84" spans="1:36" x14ac:dyDescent="0.25">
      <c r="A84" s="169">
        <f t="shared" si="12"/>
        <v>40117</v>
      </c>
      <c r="B84" s="172">
        <v>57724020</v>
      </c>
      <c r="C84" s="230">
        <f>'Weather Analysis '!P17</f>
        <v>381.1</v>
      </c>
      <c r="D84" s="230">
        <f>+'Weather Analysis '!P37</f>
        <v>0</v>
      </c>
      <c r="E84" s="171">
        <v>1</v>
      </c>
      <c r="F84" s="171">
        <v>31</v>
      </c>
      <c r="G84" s="296">
        <f>'CDM Activity'!H66</f>
        <v>738167.42983879626</v>
      </c>
      <c r="H84" s="297">
        <v>32815</v>
      </c>
      <c r="I84" s="298">
        <v>135.09963459179312</v>
      </c>
      <c r="J84" s="301">
        <v>336</v>
      </c>
      <c r="K84" s="171">
        <v>181.1</v>
      </c>
      <c r="L84" s="300">
        <v>18.5</v>
      </c>
      <c r="M84" s="296">
        <f t="shared" si="13"/>
        <v>59067937.40234828</v>
      </c>
      <c r="N84" s="50">
        <f t="shared" si="9"/>
        <v>1343917.40234828</v>
      </c>
      <c r="O84" s="103">
        <f t="shared" si="10"/>
        <v>2.3281770783605854E-2</v>
      </c>
      <c r="P84" s="13">
        <f t="shared" si="11"/>
        <v>2.3281770783605854E-2</v>
      </c>
      <c r="Q84" s="347"/>
      <c r="R84" s="13"/>
    </row>
    <row r="85" spans="1:36" x14ac:dyDescent="0.25">
      <c r="A85" s="169">
        <f t="shared" si="12"/>
        <v>40147</v>
      </c>
      <c r="B85" s="172">
        <v>59532749</v>
      </c>
      <c r="C85" s="230">
        <f>'Weather Analysis '!P18</f>
        <v>416.7</v>
      </c>
      <c r="D85" s="230">
        <f>+'Weather Analysis '!P38</f>
        <v>0</v>
      </c>
      <c r="E85" s="171">
        <v>1</v>
      </c>
      <c r="F85" s="171">
        <v>30</v>
      </c>
      <c r="G85" s="296">
        <f>'CDM Activity'!H67</f>
        <v>751988.03680968378</v>
      </c>
      <c r="H85" s="297">
        <v>32883</v>
      </c>
      <c r="I85" s="298">
        <v>134.733974390893</v>
      </c>
      <c r="J85" s="301">
        <v>320</v>
      </c>
      <c r="K85" s="171">
        <v>178.1</v>
      </c>
      <c r="L85" s="300">
        <v>17.899999999999999</v>
      </c>
      <c r="M85" s="296">
        <f t="shared" si="13"/>
        <v>58765555.800897814</v>
      </c>
      <c r="N85" s="50">
        <f t="shared" si="9"/>
        <v>-767193.19910218567</v>
      </c>
      <c r="O85" s="103">
        <f t="shared" si="10"/>
        <v>-1.288691034748262E-2</v>
      </c>
      <c r="P85" s="13">
        <f t="shared" si="11"/>
        <v>1.288691034748262E-2</v>
      </c>
      <c r="Q85" s="347"/>
      <c r="R85" s="13"/>
    </row>
    <row r="86" spans="1:36" s="32" customFormat="1" x14ac:dyDescent="0.25">
      <c r="A86" s="169">
        <f t="shared" si="12"/>
        <v>40178</v>
      </c>
      <c r="B86" s="172">
        <v>76961335</v>
      </c>
      <c r="C86" s="230">
        <f>'Weather Analysis '!P19</f>
        <v>748.5</v>
      </c>
      <c r="D86" s="230">
        <f>+'Weather Analysis '!P39</f>
        <v>0</v>
      </c>
      <c r="E86" s="171">
        <v>0</v>
      </c>
      <c r="F86" s="171">
        <v>31</v>
      </c>
      <c r="G86" s="296">
        <f>'CDM Activity'!H68</f>
        <v>765808.64378057129</v>
      </c>
      <c r="H86" s="297">
        <v>32923</v>
      </c>
      <c r="I86" s="298">
        <v>134.36930388462019</v>
      </c>
      <c r="J86" s="301">
        <v>352</v>
      </c>
      <c r="K86" s="171">
        <v>176.9</v>
      </c>
      <c r="L86" s="300">
        <v>18.2</v>
      </c>
      <c r="M86" s="296">
        <f t="shared" si="13"/>
        <v>76535741.120781913</v>
      </c>
      <c r="N86" s="50">
        <f t="shared" si="9"/>
        <v>-425593.8792180866</v>
      </c>
      <c r="O86" s="103">
        <f t="shared" si="10"/>
        <v>-5.5299700715701798E-3</v>
      </c>
      <c r="P86" s="13">
        <f t="shared" si="11"/>
        <v>5.5299700715701798E-3</v>
      </c>
      <c r="Q86" s="347"/>
      <c r="R86" s="13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x14ac:dyDescent="0.25">
      <c r="A87" s="169">
        <f>EOMONTH(A86,1)</f>
        <v>40209</v>
      </c>
      <c r="B87" s="172">
        <v>79854695</v>
      </c>
      <c r="C87" s="230">
        <f>'Weather Analysis '!Q8</f>
        <v>810.7</v>
      </c>
      <c r="D87" s="230">
        <f>+'Weather Analysis '!Q28</f>
        <v>0</v>
      </c>
      <c r="E87" s="171">
        <v>0</v>
      </c>
      <c r="F87" s="171">
        <v>31</v>
      </c>
      <c r="G87" s="296">
        <f>'CDM Activity'!H69</f>
        <v>738136.30876040738</v>
      </c>
      <c r="H87" s="297">
        <v>32936</v>
      </c>
      <c r="I87" s="298">
        <v>134.73334561620703</v>
      </c>
      <c r="J87" s="301">
        <v>320</v>
      </c>
      <c r="K87" s="171">
        <v>176.5</v>
      </c>
      <c r="L87" s="300">
        <v>20</v>
      </c>
      <c r="M87" s="296">
        <f t="shared" si="13"/>
        <v>79092625.680482179</v>
      </c>
      <c r="N87" s="50">
        <f t="shared" si="9"/>
        <v>-762069.31951782107</v>
      </c>
      <c r="O87" s="103">
        <f t="shared" si="10"/>
        <v>-9.5431999272907013E-3</v>
      </c>
      <c r="P87" s="13">
        <f t="shared" si="11"/>
        <v>9.5431999272907013E-3</v>
      </c>
      <c r="Q87" s="347"/>
      <c r="R87" s="13"/>
    </row>
    <row r="88" spans="1:36" x14ac:dyDescent="0.25">
      <c r="A88" s="169">
        <f t="shared" si="12"/>
        <v>40237</v>
      </c>
      <c r="B88" s="172">
        <v>68437902</v>
      </c>
      <c r="C88" s="230">
        <f>'Weather Analysis '!Q9</f>
        <v>691.1</v>
      </c>
      <c r="D88" s="230">
        <f>+'Weather Analysis '!Q29</f>
        <v>0</v>
      </c>
      <c r="E88" s="171">
        <v>0</v>
      </c>
      <c r="F88" s="171">
        <v>28</v>
      </c>
      <c r="G88" s="296">
        <f>'CDM Activity'!H70</f>
        <v>710463.97374024347</v>
      </c>
      <c r="H88" s="297">
        <v>32950</v>
      </c>
      <c r="I88" s="298">
        <v>135.09837363244745</v>
      </c>
      <c r="J88" s="301">
        <v>304</v>
      </c>
      <c r="K88" s="171">
        <v>178.7</v>
      </c>
      <c r="L88" s="300">
        <v>20.6</v>
      </c>
      <c r="M88" s="296">
        <f t="shared" si="13"/>
        <v>69132129.248432353</v>
      </c>
      <c r="N88" s="50">
        <f t="shared" si="9"/>
        <v>694227.24843235314</v>
      </c>
      <c r="O88" s="103">
        <f t="shared" si="10"/>
        <v>1.0143900209453428E-2</v>
      </c>
      <c r="P88" s="13">
        <f t="shared" si="11"/>
        <v>1.0143900209453428E-2</v>
      </c>
      <c r="Q88" s="347"/>
      <c r="R88" s="13"/>
    </row>
    <row r="89" spans="1:36" x14ac:dyDescent="0.25">
      <c r="A89" s="169">
        <f t="shared" si="12"/>
        <v>40268</v>
      </c>
      <c r="B89" s="172">
        <v>63113132</v>
      </c>
      <c r="C89" s="230">
        <f>'Weather Analysis '!Q10</f>
        <v>510.8</v>
      </c>
      <c r="D89" s="230">
        <f>+'Weather Analysis '!Q30</f>
        <v>0</v>
      </c>
      <c r="E89" s="171">
        <v>1</v>
      </c>
      <c r="F89" s="171">
        <v>31</v>
      </c>
      <c r="G89" s="296">
        <f>'CDM Activity'!H71</f>
        <v>682791.63872007956</v>
      </c>
      <c r="H89" s="297">
        <v>32936</v>
      </c>
      <c r="I89" s="298">
        <v>135.46439060544563</v>
      </c>
      <c r="J89" s="301">
        <v>368</v>
      </c>
      <c r="K89" s="171">
        <v>179.9</v>
      </c>
      <c r="L89" s="300">
        <v>21.6</v>
      </c>
      <c r="M89" s="296">
        <f t="shared" si="13"/>
        <v>64593237.656816915</v>
      </c>
      <c r="N89" s="50">
        <f t="shared" si="9"/>
        <v>1480105.6568169147</v>
      </c>
      <c r="O89" s="103">
        <f t="shared" si="10"/>
        <v>2.3451627417522467E-2</v>
      </c>
      <c r="P89" s="13">
        <f t="shared" si="11"/>
        <v>2.3451627417522467E-2</v>
      </c>
      <c r="Q89" s="347"/>
      <c r="R89" s="13"/>
    </row>
    <row r="90" spans="1:36" x14ac:dyDescent="0.25">
      <c r="A90" s="169">
        <f t="shared" si="12"/>
        <v>40298</v>
      </c>
      <c r="B90" s="172">
        <v>53091250</v>
      </c>
      <c r="C90" s="230">
        <f>'Weather Analysis '!Q11</f>
        <v>327.8</v>
      </c>
      <c r="D90" s="230">
        <f>+'Weather Analysis '!Q31</f>
        <v>0.2</v>
      </c>
      <c r="E90" s="171">
        <v>1</v>
      </c>
      <c r="F90" s="171">
        <v>30</v>
      </c>
      <c r="G90" s="296">
        <f>'CDM Activity'!H72</f>
        <v>655119.30369991565</v>
      </c>
      <c r="H90" s="297">
        <v>32921</v>
      </c>
      <c r="I90" s="298">
        <v>135.83139921454512</v>
      </c>
      <c r="J90" s="301">
        <v>320</v>
      </c>
      <c r="K90" s="171">
        <v>183.3</v>
      </c>
      <c r="L90" s="300">
        <v>19.8</v>
      </c>
      <c r="M90" s="296">
        <f t="shared" si="13"/>
        <v>55697932.663997479</v>
      </c>
      <c r="N90" s="50">
        <f t="shared" si="9"/>
        <v>2606682.6639974788</v>
      </c>
      <c r="O90" s="103">
        <f t="shared" si="10"/>
        <v>4.9098159564852563E-2</v>
      </c>
      <c r="P90" s="13">
        <f t="shared" si="11"/>
        <v>4.9098159564852563E-2</v>
      </c>
      <c r="Q90" s="347"/>
      <c r="R90" s="13"/>
    </row>
    <row r="91" spans="1:36" x14ac:dyDescent="0.25">
      <c r="A91" s="169">
        <f t="shared" si="12"/>
        <v>40329</v>
      </c>
      <c r="B91" s="172">
        <v>51133107</v>
      </c>
      <c r="C91" s="230">
        <f>'Weather Analysis '!Q12</f>
        <v>168</v>
      </c>
      <c r="D91" s="230">
        <f>+'Weather Analysis '!Q32</f>
        <v>19</v>
      </c>
      <c r="E91" s="171">
        <v>1</v>
      </c>
      <c r="F91" s="171">
        <v>31</v>
      </c>
      <c r="G91" s="296">
        <f>'CDM Activity'!H73</f>
        <v>627446.96867975174</v>
      </c>
      <c r="H91" s="297">
        <v>32906</v>
      </c>
      <c r="I91" s="298">
        <v>136.19940214634852</v>
      </c>
      <c r="J91" s="301">
        <v>320</v>
      </c>
      <c r="K91" s="171">
        <v>186.1</v>
      </c>
      <c r="L91" s="300">
        <v>19.8</v>
      </c>
      <c r="M91" s="296">
        <f t="shared" si="13"/>
        <v>52823990.985254683</v>
      </c>
      <c r="N91" s="50">
        <f t="shared" si="9"/>
        <v>1690883.9852546826</v>
      </c>
      <c r="O91" s="103">
        <f t="shared" si="10"/>
        <v>3.3068281676188437E-2</v>
      </c>
      <c r="P91" s="13">
        <f t="shared" si="11"/>
        <v>3.3068281676188437E-2</v>
      </c>
      <c r="Q91" s="347"/>
      <c r="R91" s="13"/>
    </row>
    <row r="92" spans="1:36" x14ac:dyDescent="0.25">
      <c r="A92" s="169">
        <f t="shared" si="12"/>
        <v>40359</v>
      </c>
      <c r="B92" s="172">
        <v>47900766</v>
      </c>
      <c r="C92" s="230">
        <f>'Weather Analysis '!Q13</f>
        <v>87.8</v>
      </c>
      <c r="D92" s="230">
        <f>+'Weather Analysis '!Q33</f>
        <v>5.3</v>
      </c>
      <c r="E92" s="171">
        <v>0</v>
      </c>
      <c r="F92" s="171">
        <v>30</v>
      </c>
      <c r="G92" s="296">
        <f>'CDM Activity'!H74</f>
        <v>599774.63365958782</v>
      </c>
      <c r="H92" s="297">
        <v>32935</v>
      </c>
      <c r="I92" s="298">
        <v>136.56840209473719</v>
      </c>
      <c r="J92" s="301">
        <v>352</v>
      </c>
      <c r="K92" s="171">
        <v>189.4</v>
      </c>
      <c r="L92" s="300">
        <v>20</v>
      </c>
      <c r="M92" s="296">
        <f t="shared" si="13"/>
        <v>49846482.223824933</v>
      </c>
      <c r="N92" s="50">
        <f t="shared" si="9"/>
        <v>1945716.2238249332</v>
      </c>
      <c r="O92" s="103">
        <f t="shared" si="10"/>
        <v>4.0619730879145714E-2</v>
      </c>
      <c r="P92" s="13">
        <f t="shared" si="11"/>
        <v>4.0619730879145714E-2</v>
      </c>
      <c r="Q92" s="347"/>
      <c r="R92" s="13"/>
    </row>
    <row r="93" spans="1:36" x14ac:dyDescent="0.25">
      <c r="A93" s="169">
        <f t="shared" si="12"/>
        <v>40390</v>
      </c>
      <c r="B93" s="172">
        <v>53067071</v>
      </c>
      <c r="C93" s="230">
        <f>'Weather Analysis '!Q14</f>
        <v>6.7</v>
      </c>
      <c r="D93" s="230">
        <f>+'Weather Analysis '!Q34</f>
        <v>58.5</v>
      </c>
      <c r="E93" s="171">
        <v>0</v>
      </c>
      <c r="F93" s="171">
        <v>31</v>
      </c>
      <c r="G93" s="296">
        <f>'CDM Activity'!H75</f>
        <v>572102.29863942391</v>
      </c>
      <c r="H93" s="297">
        <v>32948</v>
      </c>
      <c r="I93" s="298">
        <v>136.93840176089088</v>
      </c>
      <c r="J93" s="301">
        <v>336</v>
      </c>
      <c r="K93" s="171">
        <v>191.6</v>
      </c>
      <c r="L93" s="300">
        <v>22.1</v>
      </c>
      <c r="M93" s="296">
        <f t="shared" si="13"/>
        <v>52921070.773583695</v>
      </c>
      <c r="N93" s="50">
        <f t="shared" si="9"/>
        <v>-146000.22641630471</v>
      </c>
      <c r="O93" s="103">
        <f t="shared" si="10"/>
        <v>-2.7512395853975945E-3</v>
      </c>
      <c r="P93" s="13">
        <f t="shared" si="11"/>
        <v>2.7512395853975945E-3</v>
      </c>
      <c r="Q93" s="347"/>
      <c r="R93" s="13"/>
    </row>
    <row r="94" spans="1:36" x14ac:dyDescent="0.25">
      <c r="A94" s="169">
        <f t="shared" si="12"/>
        <v>40421</v>
      </c>
      <c r="B94" s="172">
        <v>53169361</v>
      </c>
      <c r="C94" s="230">
        <f>'Weather Analysis '!Q15</f>
        <v>32.700000000000003</v>
      </c>
      <c r="D94" s="230">
        <f>+'Weather Analysis '!Q35</f>
        <v>78.599999999999994</v>
      </c>
      <c r="E94" s="171">
        <v>0</v>
      </c>
      <c r="F94" s="171">
        <v>31</v>
      </c>
      <c r="G94" s="296">
        <f>'CDM Activity'!H76</f>
        <v>544429.96361926</v>
      </c>
      <c r="H94" s="297">
        <v>32962</v>
      </c>
      <c r="I94" s="298">
        <v>137.30940385330757</v>
      </c>
      <c r="J94" s="301">
        <v>336</v>
      </c>
      <c r="K94" s="171">
        <v>192.4</v>
      </c>
      <c r="L94" s="300">
        <v>23.1</v>
      </c>
      <c r="M94" s="296">
        <f t="shared" si="13"/>
        <v>55699587.065778814</v>
      </c>
      <c r="N94" s="50">
        <f t="shared" si="9"/>
        <v>2530226.0657788143</v>
      </c>
      <c r="O94" s="103">
        <f t="shared" si="10"/>
        <v>4.7588047292477606E-2</v>
      </c>
      <c r="P94" s="13">
        <f t="shared" si="11"/>
        <v>4.7588047292477606E-2</v>
      </c>
      <c r="Q94" s="347"/>
      <c r="R94" s="13"/>
    </row>
    <row r="95" spans="1:36" x14ac:dyDescent="0.25">
      <c r="A95" s="169">
        <f t="shared" si="12"/>
        <v>40451</v>
      </c>
      <c r="B95" s="172">
        <v>48479950</v>
      </c>
      <c r="C95" s="230">
        <f>'Weather Analysis '!Q16</f>
        <v>171.8</v>
      </c>
      <c r="D95" s="230">
        <f>+'Weather Analysis '!Q36</f>
        <v>0</v>
      </c>
      <c r="E95" s="171">
        <v>1</v>
      </c>
      <c r="F95" s="171">
        <v>30</v>
      </c>
      <c r="G95" s="296">
        <f>'CDM Activity'!H77</f>
        <v>516757.62859909603</v>
      </c>
      <c r="H95" s="297">
        <v>32989</v>
      </c>
      <c r="I95" s="298">
        <v>137.68141108782325</v>
      </c>
      <c r="J95" s="301">
        <v>336</v>
      </c>
      <c r="K95" s="171">
        <v>192.5</v>
      </c>
      <c r="L95" s="300">
        <v>23.5</v>
      </c>
      <c r="M95" s="296">
        <f t="shared" si="13"/>
        <v>50168720.479965605</v>
      </c>
      <c r="N95" s="50">
        <f t="shared" si="9"/>
        <v>1688770.4799656048</v>
      </c>
      <c r="O95" s="103">
        <f t="shared" si="10"/>
        <v>3.4834410513327772E-2</v>
      </c>
      <c r="P95" s="13">
        <f t="shared" si="11"/>
        <v>3.4834410513327772E-2</v>
      </c>
      <c r="Q95" s="347"/>
      <c r="R95" s="13"/>
    </row>
    <row r="96" spans="1:36" x14ac:dyDescent="0.25">
      <c r="A96" s="169">
        <f t="shared" si="12"/>
        <v>40482</v>
      </c>
      <c r="B96" s="172">
        <v>54414298</v>
      </c>
      <c r="C96" s="230">
        <f>'Weather Analysis '!Q17</f>
        <v>315.5</v>
      </c>
      <c r="D96" s="230">
        <f>+'Weather Analysis '!Q37</f>
        <v>0</v>
      </c>
      <c r="E96" s="171">
        <v>1</v>
      </c>
      <c r="F96" s="171">
        <v>31</v>
      </c>
      <c r="G96" s="296">
        <f>'CDM Activity'!H78</f>
        <v>489085.29357893206</v>
      </c>
      <c r="H96" s="297">
        <v>33019</v>
      </c>
      <c r="I96" s="298">
        <v>138.0544261876318</v>
      </c>
      <c r="J96" s="301">
        <v>320</v>
      </c>
      <c r="K96" s="171">
        <v>192.2</v>
      </c>
      <c r="L96" s="300">
        <v>22.1</v>
      </c>
      <c r="M96" s="296">
        <f t="shared" si="13"/>
        <v>57754393.533679396</v>
      </c>
      <c r="N96" s="50">
        <f t="shared" si="9"/>
        <v>3340095.5336793959</v>
      </c>
      <c r="O96" s="103">
        <f t="shared" si="10"/>
        <v>6.1382681692951288E-2</v>
      </c>
      <c r="P96" s="13">
        <f t="shared" si="11"/>
        <v>6.1382681692951288E-2</v>
      </c>
      <c r="Q96" s="347"/>
      <c r="R96" s="13"/>
      <c r="Z96" s="59"/>
    </row>
    <row r="97" spans="1:26" x14ac:dyDescent="0.25">
      <c r="A97" s="169">
        <f t="shared" si="12"/>
        <v>40512</v>
      </c>
      <c r="B97" s="172">
        <v>63109939</v>
      </c>
      <c r="C97" s="230">
        <f>'Weather Analysis '!Q18</f>
        <v>476</v>
      </c>
      <c r="D97" s="230">
        <f>+'Weather Analysis '!Q38</f>
        <v>0</v>
      </c>
      <c r="E97" s="171">
        <v>1</v>
      </c>
      <c r="F97" s="171">
        <v>30</v>
      </c>
      <c r="G97" s="296">
        <f>'CDM Activity'!H79</f>
        <v>461412.95855876809</v>
      </c>
      <c r="H97" s="297">
        <v>33077</v>
      </c>
      <c r="I97" s="298">
        <v>138.42845188330503</v>
      </c>
      <c r="J97" s="301">
        <v>336</v>
      </c>
      <c r="K97" s="171">
        <v>192.2</v>
      </c>
      <c r="L97" s="300">
        <v>20.399999999999999</v>
      </c>
      <c r="M97" s="296">
        <f t="shared" si="13"/>
        <v>62462575.529303961</v>
      </c>
      <c r="N97" s="50">
        <f t="shared" si="9"/>
        <v>-647363.4706960395</v>
      </c>
      <c r="O97" s="103">
        <f t="shared" si="10"/>
        <v>-1.0257710290229238E-2</v>
      </c>
      <c r="P97" s="13">
        <f t="shared" si="11"/>
        <v>1.0257710290229238E-2</v>
      </c>
      <c r="Q97" s="347"/>
      <c r="R97" s="13"/>
      <c r="Z97" s="59"/>
    </row>
    <row r="98" spans="1:26" x14ac:dyDescent="0.25">
      <c r="A98" s="169">
        <f t="shared" si="12"/>
        <v>40543</v>
      </c>
      <c r="B98" s="172">
        <v>78427591</v>
      </c>
      <c r="C98" s="230">
        <f>'Weather Analysis '!Q19</f>
        <v>770.2</v>
      </c>
      <c r="D98" s="230">
        <f>+'Weather Analysis '!Q39</f>
        <v>0</v>
      </c>
      <c r="E98" s="171">
        <v>0</v>
      </c>
      <c r="F98" s="171">
        <v>31</v>
      </c>
      <c r="G98" s="296">
        <f>'CDM Activity'!H80</f>
        <v>433740.62353860412</v>
      </c>
      <c r="H98" s="297">
        <v>33118</v>
      </c>
      <c r="I98" s="298">
        <v>138.80349091281266</v>
      </c>
      <c r="J98" s="301">
        <v>368</v>
      </c>
      <c r="K98" s="171">
        <v>191</v>
      </c>
      <c r="L98" s="300">
        <v>18.3</v>
      </c>
      <c r="M98" s="296">
        <f t="shared" si="13"/>
        <v>78897827.19071047</v>
      </c>
      <c r="N98" s="50">
        <f t="shared" si="9"/>
        <v>470236.19071047008</v>
      </c>
      <c r="O98" s="103">
        <f t="shared" si="10"/>
        <v>5.9958005175814984E-3</v>
      </c>
      <c r="P98" s="13">
        <f t="shared" si="11"/>
        <v>5.9958005175814984E-3</v>
      </c>
      <c r="Q98" s="347"/>
      <c r="R98" s="13"/>
      <c r="Z98" s="59"/>
    </row>
    <row r="99" spans="1:26" x14ac:dyDescent="0.25">
      <c r="A99" s="169">
        <f>EOMONTH(A98,1)</f>
        <v>40574</v>
      </c>
      <c r="B99" s="172">
        <v>83643833</v>
      </c>
      <c r="C99" s="230">
        <f>'Weather Analysis '!R8</f>
        <v>935</v>
      </c>
      <c r="D99" s="230">
        <f>+'Weather Analysis '!R28</f>
        <v>0</v>
      </c>
      <c r="E99" s="171">
        <v>0</v>
      </c>
      <c r="F99" s="171">
        <v>31</v>
      </c>
      <c r="G99" s="296">
        <f>'CDM Activity'!H81</f>
        <v>481551.78829860594</v>
      </c>
      <c r="H99" s="297">
        <v>33040</v>
      </c>
      <c r="I99" s="298">
        <v>139.10070640604135</v>
      </c>
      <c r="J99" s="301">
        <v>336</v>
      </c>
      <c r="K99" s="171">
        <v>189.3</v>
      </c>
      <c r="L99" s="300">
        <v>17.399999999999999</v>
      </c>
      <c r="M99" s="296">
        <f t="shared" si="13"/>
        <v>85032375.364290088</v>
      </c>
      <c r="N99" s="50">
        <f t="shared" ref="N99:N130" si="14">M99-B99</f>
        <v>1388542.3642900884</v>
      </c>
      <c r="O99" s="103">
        <f t="shared" ref="O99:O130" si="15">N99/B99</f>
        <v>1.6600654399590804E-2</v>
      </c>
      <c r="P99" s="13">
        <f t="shared" si="11"/>
        <v>1.6600654399590804E-2</v>
      </c>
      <c r="Q99" s="347"/>
      <c r="R99" s="13"/>
      <c r="Z99" s="59"/>
    </row>
    <row r="100" spans="1:26" x14ac:dyDescent="0.25">
      <c r="A100" s="169">
        <f t="shared" si="12"/>
        <v>40602</v>
      </c>
      <c r="B100" s="172">
        <v>72687185</v>
      </c>
      <c r="C100" s="230">
        <f>'Weather Analysis '!R9</f>
        <v>732.3</v>
      </c>
      <c r="D100" s="230">
        <f>+'Weather Analysis '!R29</f>
        <v>0</v>
      </c>
      <c r="E100" s="171">
        <v>0</v>
      </c>
      <c r="F100" s="171">
        <v>28</v>
      </c>
      <c r="G100" s="296">
        <f>'CDM Activity'!H82</f>
        <v>529362.95305860776</v>
      </c>
      <c r="H100" s="297">
        <v>33045</v>
      </c>
      <c r="I100" s="298">
        <v>139.39855831733732</v>
      </c>
      <c r="J100" s="301">
        <v>304</v>
      </c>
      <c r="K100" s="171">
        <v>185.4</v>
      </c>
      <c r="L100" s="300">
        <v>17.600000000000001</v>
      </c>
      <c r="M100" s="296">
        <f t="shared" si="13"/>
        <v>71546974.018332914</v>
      </c>
      <c r="N100" s="50">
        <f t="shared" si="14"/>
        <v>-1140210.9816670865</v>
      </c>
      <c r="O100" s="103">
        <f t="shared" si="15"/>
        <v>-1.5686547520956912E-2</v>
      </c>
      <c r="P100" s="13">
        <f t="shared" si="11"/>
        <v>1.5686547520956912E-2</v>
      </c>
      <c r="Q100" s="347"/>
      <c r="R100" s="13"/>
      <c r="Z100" s="59"/>
    </row>
    <row r="101" spans="1:26" x14ac:dyDescent="0.25">
      <c r="A101" s="169">
        <f t="shared" si="12"/>
        <v>40633</v>
      </c>
      <c r="B101" s="172">
        <v>72688244</v>
      </c>
      <c r="C101" s="230">
        <f>'Weather Analysis '!R10</f>
        <v>699.2</v>
      </c>
      <c r="D101" s="230">
        <f>+'Weather Analysis '!R30</f>
        <v>0</v>
      </c>
      <c r="E101" s="171">
        <v>1</v>
      </c>
      <c r="F101" s="171">
        <v>31</v>
      </c>
      <c r="G101" s="296">
        <f>'CDM Activity'!H83</f>
        <v>577174.11781860958</v>
      </c>
      <c r="H101" s="297">
        <v>33047</v>
      </c>
      <c r="I101" s="298">
        <v>139.69704800944226</v>
      </c>
      <c r="J101" s="301">
        <v>368</v>
      </c>
      <c r="K101" s="171">
        <v>182.9</v>
      </c>
      <c r="L101" s="300">
        <v>18.399999999999999</v>
      </c>
      <c r="M101" s="296">
        <f t="shared" si="13"/>
        <v>72563243.366894558</v>
      </c>
      <c r="N101" s="50">
        <f t="shared" si="14"/>
        <v>-125000.63310544193</v>
      </c>
      <c r="O101" s="103">
        <f t="shared" si="15"/>
        <v>-1.7196815637125851E-3</v>
      </c>
      <c r="P101" s="13">
        <f t="shared" si="11"/>
        <v>1.7196815637125851E-3</v>
      </c>
      <c r="Q101" s="347"/>
      <c r="R101" s="13"/>
      <c r="Z101" s="59"/>
    </row>
    <row r="102" spans="1:26" x14ac:dyDescent="0.25">
      <c r="A102" s="169">
        <f t="shared" si="12"/>
        <v>40663</v>
      </c>
      <c r="B102" s="172">
        <v>60902854</v>
      </c>
      <c r="C102" s="230">
        <f>'Weather Analysis '!R11</f>
        <v>444.6</v>
      </c>
      <c r="D102" s="230">
        <f>+'Weather Analysis '!R31</f>
        <v>0</v>
      </c>
      <c r="E102" s="171">
        <v>1</v>
      </c>
      <c r="F102" s="171">
        <v>30</v>
      </c>
      <c r="G102" s="296">
        <f>'CDM Activity'!H84</f>
        <v>624985.2825786114</v>
      </c>
      <c r="H102" s="297">
        <v>33047</v>
      </c>
      <c r="I102" s="298">
        <v>139.99617684801592</v>
      </c>
      <c r="J102" s="301">
        <v>320</v>
      </c>
      <c r="K102" s="171">
        <v>182.2</v>
      </c>
      <c r="L102" s="300">
        <v>19.899999999999999</v>
      </c>
      <c r="M102" s="296">
        <f t="shared" si="13"/>
        <v>60628927.555616923</v>
      </c>
      <c r="N102" s="50">
        <f t="shared" si="14"/>
        <v>-273926.44438307732</v>
      </c>
      <c r="O102" s="103">
        <f t="shared" si="15"/>
        <v>-4.4977603903928265E-3</v>
      </c>
      <c r="P102" s="13">
        <f t="shared" si="11"/>
        <v>4.4977603903928265E-3</v>
      </c>
      <c r="Q102" s="347"/>
      <c r="R102" s="13"/>
      <c r="Z102" s="59"/>
    </row>
    <row r="103" spans="1:26" x14ac:dyDescent="0.25">
      <c r="A103" s="169">
        <f t="shared" si="12"/>
        <v>40694</v>
      </c>
      <c r="B103" s="172">
        <v>52597908</v>
      </c>
      <c r="C103" s="230">
        <f>'Weather Analysis '!R12</f>
        <v>221.9</v>
      </c>
      <c r="D103" s="230">
        <f>+'Weather Analysis '!R32</f>
        <v>3.2</v>
      </c>
      <c r="E103" s="171">
        <v>1</v>
      </c>
      <c r="F103" s="171">
        <v>31</v>
      </c>
      <c r="G103" s="296">
        <f>'CDM Activity'!H85</f>
        <v>672796.44733861322</v>
      </c>
      <c r="H103" s="297">
        <v>33046</v>
      </c>
      <c r="I103" s="298">
        <v>140.29594620164227</v>
      </c>
      <c r="J103" s="301">
        <v>336</v>
      </c>
      <c r="K103" s="171">
        <v>186.5</v>
      </c>
      <c r="L103" s="300">
        <v>20.2</v>
      </c>
      <c r="M103" s="296">
        <f t="shared" si="13"/>
        <v>53799588.976255015</v>
      </c>
      <c r="N103" s="50">
        <f t="shared" si="14"/>
        <v>1201680.9762550145</v>
      </c>
      <c r="O103" s="103">
        <f t="shared" si="15"/>
        <v>2.2846554586448849E-2</v>
      </c>
      <c r="P103" s="13">
        <f t="shared" si="11"/>
        <v>2.2846554586448849E-2</v>
      </c>
      <c r="Q103" s="347"/>
      <c r="R103" s="13"/>
      <c r="Z103" s="59"/>
    </row>
    <row r="104" spans="1:26" x14ac:dyDescent="0.25">
      <c r="A104" s="169">
        <f t="shared" si="12"/>
        <v>40724</v>
      </c>
      <c r="B104" s="172">
        <v>48777799</v>
      </c>
      <c r="C104" s="230">
        <f>'Weather Analysis '!R13</f>
        <v>99.4</v>
      </c>
      <c r="D104" s="230">
        <f>+'Weather Analysis '!R33</f>
        <v>2.7</v>
      </c>
      <c r="E104" s="171">
        <v>0</v>
      </c>
      <c r="F104" s="171">
        <v>30</v>
      </c>
      <c r="G104" s="296">
        <f>'CDM Activity'!H86</f>
        <v>720607.61209861503</v>
      </c>
      <c r="H104" s="297">
        <v>33056</v>
      </c>
      <c r="I104" s="298">
        <v>140.59635744183578</v>
      </c>
      <c r="J104" s="301">
        <v>352</v>
      </c>
      <c r="K104" s="171">
        <v>193</v>
      </c>
      <c r="L104" s="300">
        <v>19.3</v>
      </c>
      <c r="M104" s="296">
        <f t="shared" si="13"/>
        <v>49950777.052131802</v>
      </c>
      <c r="N104" s="50">
        <f t="shared" si="14"/>
        <v>1172978.0521318018</v>
      </c>
      <c r="O104" s="103">
        <f t="shared" si="15"/>
        <v>2.4047375572067157E-2</v>
      </c>
      <c r="P104" s="13">
        <f t="shared" si="11"/>
        <v>2.4047375572067157E-2</v>
      </c>
      <c r="Q104" s="347"/>
      <c r="R104" s="13"/>
      <c r="Z104" s="59"/>
    </row>
    <row r="105" spans="1:26" x14ac:dyDescent="0.25">
      <c r="A105" s="169">
        <f t="shared" si="12"/>
        <v>40755</v>
      </c>
      <c r="B105" s="172">
        <v>54638457</v>
      </c>
      <c r="C105" s="230">
        <f>'Weather Analysis '!R14</f>
        <v>14</v>
      </c>
      <c r="D105" s="230">
        <f>+'Weather Analysis '!R34</f>
        <v>73.599999999999994</v>
      </c>
      <c r="E105" s="171">
        <v>0</v>
      </c>
      <c r="F105" s="171">
        <v>31</v>
      </c>
      <c r="G105" s="296">
        <f>'CDM Activity'!H87</f>
        <v>768418.77685861685</v>
      </c>
      <c r="H105" s="297">
        <v>33071</v>
      </c>
      <c r="I105" s="298">
        <v>140.89741194304773</v>
      </c>
      <c r="J105" s="301">
        <v>320</v>
      </c>
      <c r="K105" s="171">
        <v>198.4</v>
      </c>
      <c r="L105" s="300">
        <v>17.8</v>
      </c>
      <c r="M105" s="296">
        <f t="shared" si="13"/>
        <v>54055265.007127196</v>
      </c>
      <c r="N105" s="50">
        <f t="shared" si="14"/>
        <v>-583191.9928728044</v>
      </c>
      <c r="O105" s="103">
        <f t="shared" si="15"/>
        <v>-1.0673654142041463E-2</v>
      </c>
      <c r="P105" s="13">
        <f t="shared" si="11"/>
        <v>1.0673654142041463E-2</v>
      </c>
      <c r="Q105" s="347"/>
      <c r="R105" s="13"/>
      <c r="Z105" s="59"/>
    </row>
    <row r="106" spans="1:26" x14ac:dyDescent="0.25">
      <c r="A106" s="169">
        <f t="shared" si="12"/>
        <v>40786</v>
      </c>
      <c r="B106" s="172">
        <v>54146196</v>
      </c>
      <c r="C106" s="230">
        <f>'Weather Analysis '!R15</f>
        <v>24.2</v>
      </c>
      <c r="D106" s="230">
        <f>+'Weather Analysis '!R35</f>
        <v>35.4</v>
      </c>
      <c r="E106" s="171">
        <v>0</v>
      </c>
      <c r="F106" s="171">
        <v>31</v>
      </c>
      <c r="G106" s="296">
        <f>'CDM Activity'!H88</f>
        <v>816229.94161861867</v>
      </c>
      <c r="H106" s="297">
        <v>33098</v>
      </c>
      <c r="I106" s="298">
        <v>141.19911108267243</v>
      </c>
      <c r="J106" s="301">
        <v>352</v>
      </c>
      <c r="K106" s="171">
        <v>200.6</v>
      </c>
      <c r="L106" s="300">
        <v>16.899999999999999</v>
      </c>
      <c r="M106" s="296">
        <f t="shared" si="13"/>
        <v>51241876.27531755</v>
      </c>
      <c r="N106" s="50">
        <f t="shared" si="14"/>
        <v>-2904319.7246824503</v>
      </c>
      <c r="O106" s="103">
        <f t="shared" si="15"/>
        <v>-5.3638481356704175E-2</v>
      </c>
      <c r="P106" s="13">
        <f t="shared" si="11"/>
        <v>5.3638481356704175E-2</v>
      </c>
      <c r="Q106" s="347"/>
      <c r="R106" s="13"/>
      <c r="Z106" s="59"/>
    </row>
    <row r="107" spans="1:26" x14ac:dyDescent="0.25">
      <c r="A107" s="169">
        <f t="shared" si="12"/>
        <v>40816</v>
      </c>
      <c r="B107" s="172">
        <v>52585712</v>
      </c>
      <c r="C107" s="230">
        <f>'Weather Analysis '!R16</f>
        <v>129.6</v>
      </c>
      <c r="D107" s="230">
        <f>+'Weather Analysis '!R36</f>
        <v>11</v>
      </c>
      <c r="E107" s="171">
        <v>1</v>
      </c>
      <c r="F107" s="171">
        <v>30</v>
      </c>
      <c r="G107" s="296">
        <f>'CDM Activity'!H89</f>
        <v>864041.10637862049</v>
      </c>
      <c r="H107" s="297">
        <v>33126</v>
      </c>
      <c r="I107" s="298">
        <v>141.50145624105357</v>
      </c>
      <c r="J107" s="301">
        <v>336</v>
      </c>
      <c r="K107" s="171">
        <v>200.6</v>
      </c>
      <c r="L107" s="300">
        <v>16.399999999999999</v>
      </c>
      <c r="M107" s="296">
        <f t="shared" si="13"/>
        <v>48561515.518600315</v>
      </c>
      <c r="N107" s="50">
        <f t="shared" si="14"/>
        <v>-4024196.4813996851</v>
      </c>
      <c r="O107" s="103">
        <f t="shared" si="15"/>
        <v>-7.6526423782180317E-2</v>
      </c>
      <c r="P107" s="13">
        <f t="shared" si="11"/>
        <v>7.6526423782180317E-2</v>
      </c>
      <c r="Q107" s="347"/>
      <c r="R107" s="13"/>
      <c r="Z107" s="59"/>
    </row>
    <row r="108" spans="1:26" x14ac:dyDescent="0.25">
      <c r="A108" s="169">
        <f t="shared" si="12"/>
        <v>40847</v>
      </c>
      <c r="B108" s="172">
        <v>56921149</v>
      </c>
      <c r="C108" s="230">
        <f>'Weather Analysis '!R17</f>
        <v>269.5</v>
      </c>
      <c r="D108" s="230">
        <f>+'Weather Analysis '!R37</f>
        <v>1.5</v>
      </c>
      <c r="E108" s="171">
        <v>1</v>
      </c>
      <c r="F108" s="171">
        <v>31</v>
      </c>
      <c r="G108" s="296">
        <f>'CDM Activity'!H90</f>
        <v>911852.27113862231</v>
      </c>
      <c r="H108" s="297">
        <v>33143</v>
      </c>
      <c r="I108" s="298">
        <v>141.80444880149057</v>
      </c>
      <c r="J108" s="301">
        <v>320</v>
      </c>
      <c r="K108" s="171">
        <v>200.2</v>
      </c>
      <c r="L108" s="300">
        <v>15.5</v>
      </c>
      <c r="M108" s="296">
        <f t="shared" si="13"/>
        <v>54947487.647743285</v>
      </c>
      <c r="N108" s="50">
        <f t="shared" si="14"/>
        <v>-1973661.3522567153</v>
      </c>
      <c r="O108" s="103">
        <f t="shared" si="15"/>
        <v>-3.4673603518732825E-2</v>
      </c>
      <c r="P108" s="13">
        <f t="shared" si="11"/>
        <v>3.4673603518732825E-2</v>
      </c>
      <c r="Q108" s="347"/>
      <c r="R108" s="13"/>
      <c r="Z108" s="59"/>
    </row>
    <row r="109" spans="1:26" x14ac:dyDescent="0.25">
      <c r="A109" s="169">
        <f t="shared" si="12"/>
        <v>40877</v>
      </c>
      <c r="B109" s="172">
        <v>61640573</v>
      </c>
      <c r="C109" s="230">
        <f>'Weather Analysis '!R18</f>
        <v>428.9</v>
      </c>
      <c r="D109" s="230">
        <f>+'Weather Analysis '!R38</f>
        <v>0</v>
      </c>
      <c r="E109" s="171">
        <v>1</v>
      </c>
      <c r="F109" s="171">
        <v>30</v>
      </c>
      <c r="G109" s="296">
        <f>'CDM Activity'!H91</f>
        <v>959663.43589862413</v>
      </c>
      <c r="H109" s="297">
        <v>33199</v>
      </c>
      <c r="I109" s="298">
        <v>142.10809015024478</v>
      </c>
      <c r="J109" s="301">
        <v>352</v>
      </c>
      <c r="K109" s="171">
        <v>198</v>
      </c>
      <c r="L109" s="300">
        <v>14.6</v>
      </c>
      <c r="M109" s="296">
        <f t="shared" si="13"/>
        <v>59237448.631595105</v>
      </c>
      <c r="N109" s="50">
        <f t="shared" si="14"/>
        <v>-2403124.3684048951</v>
      </c>
      <c r="O109" s="103">
        <f t="shared" si="15"/>
        <v>-3.8986080943875963E-2</v>
      </c>
      <c r="P109" s="13">
        <f t="shared" si="11"/>
        <v>3.8986080943875963E-2</v>
      </c>
      <c r="Q109" s="347"/>
      <c r="R109" s="13"/>
      <c r="Z109" s="59"/>
    </row>
    <row r="110" spans="1:26" x14ac:dyDescent="0.25">
      <c r="A110" s="169">
        <f t="shared" si="12"/>
        <v>40908</v>
      </c>
      <c r="B110" s="172">
        <v>73819284</v>
      </c>
      <c r="C110" s="230">
        <f>'Weather Analysis '!R19</f>
        <v>650.4</v>
      </c>
      <c r="D110" s="230">
        <f>+'Weather Analysis '!R39</f>
        <v>0</v>
      </c>
      <c r="E110" s="171">
        <v>0</v>
      </c>
      <c r="F110" s="171">
        <v>31</v>
      </c>
      <c r="G110" s="296">
        <f>'CDM Activity'!H92</f>
        <v>1007474.6006586259</v>
      </c>
      <c r="H110" s="297">
        <v>33248</v>
      </c>
      <c r="I110" s="298">
        <v>142.41238167654581</v>
      </c>
      <c r="J110" s="301">
        <v>336</v>
      </c>
      <c r="K110" s="171">
        <v>197.3</v>
      </c>
      <c r="L110" s="300">
        <v>14.1</v>
      </c>
      <c r="M110" s="296">
        <f t="shared" si="13"/>
        <v>72591868.036974296</v>
      </c>
      <c r="N110" s="50">
        <f t="shared" si="14"/>
        <v>-1227415.963025704</v>
      </c>
      <c r="O110" s="103">
        <f t="shared" si="15"/>
        <v>-1.6627307886455577E-2</v>
      </c>
      <c r="P110" s="13">
        <f t="shared" si="11"/>
        <v>1.6627307886455577E-2</v>
      </c>
      <c r="Q110" s="347"/>
      <c r="R110" s="13"/>
      <c r="Z110" s="59"/>
    </row>
    <row r="111" spans="1:26" x14ac:dyDescent="0.25">
      <c r="A111" s="169">
        <f t="shared" si="12"/>
        <v>40939</v>
      </c>
      <c r="B111" s="172">
        <v>73790226</v>
      </c>
      <c r="C111" s="230">
        <f>+'Weather Analysis '!S8</f>
        <v>756.8</v>
      </c>
      <c r="D111" s="230">
        <f>+'Weather Analysis '!S28</f>
        <v>0</v>
      </c>
      <c r="E111" s="171">
        <v>0</v>
      </c>
      <c r="F111" s="171">
        <v>31</v>
      </c>
      <c r="G111" s="296">
        <f>'CDM Activity'!H93</f>
        <v>1011767.0909852902</v>
      </c>
      <c r="H111" s="297">
        <f>33198+5</f>
        <v>33203</v>
      </c>
      <c r="I111" s="298">
        <v>142.61257743956915</v>
      </c>
      <c r="J111" s="301">
        <v>336</v>
      </c>
      <c r="K111" s="171">
        <v>196.5</v>
      </c>
      <c r="L111" s="300">
        <v>15</v>
      </c>
      <c r="M111" s="296">
        <f t="shared" si="13"/>
        <v>76651524.560206935</v>
      </c>
      <c r="N111" s="50">
        <f t="shared" si="14"/>
        <v>2861298.5602069348</v>
      </c>
      <c r="O111" s="103">
        <f t="shared" si="15"/>
        <v>3.8776118671962526E-2</v>
      </c>
      <c r="P111" s="13">
        <f t="shared" si="11"/>
        <v>3.8776118671962526E-2</v>
      </c>
      <c r="Q111" s="347"/>
      <c r="R111" s="13"/>
      <c r="Z111" s="59"/>
    </row>
    <row r="112" spans="1:26" x14ac:dyDescent="0.25">
      <c r="A112" s="169">
        <f t="shared" si="12"/>
        <v>40968</v>
      </c>
      <c r="B112" s="172">
        <v>68046427</v>
      </c>
      <c r="C112" s="230">
        <f>+'Weather Analysis '!S9</f>
        <v>622.6</v>
      </c>
      <c r="D112" s="230">
        <f>+'Weather Analysis '!S29</f>
        <v>0</v>
      </c>
      <c r="E112" s="171">
        <v>0</v>
      </c>
      <c r="F112" s="171">
        <v>29</v>
      </c>
      <c r="G112" s="296">
        <f>'CDM Activity'!H94</f>
        <v>1016059.5813119545</v>
      </c>
      <c r="H112" s="297">
        <f>33198+5</f>
        <v>33203</v>
      </c>
      <c r="I112" s="298">
        <v>142.81305462716429</v>
      </c>
      <c r="J112" s="301">
        <v>320</v>
      </c>
      <c r="K112" s="171">
        <v>198.1</v>
      </c>
      <c r="L112" s="300">
        <v>15.7</v>
      </c>
      <c r="M112" s="296">
        <f t="shared" si="13"/>
        <v>67781513.233749405</v>
      </c>
      <c r="N112" s="50">
        <f t="shared" si="14"/>
        <v>-264913.76625059545</v>
      </c>
      <c r="O112" s="103">
        <f t="shared" si="15"/>
        <v>-3.8931326438432314E-3</v>
      </c>
      <c r="P112" s="13">
        <f t="shared" si="11"/>
        <v>3.8931326438432314E-3</v>
      </c>
      <c r="Q112" s="347"/>
      <c r="R112" s="13"/>
      <c r="Z112" s="59"/>
    </row>
    <row r="113" spans="1:26" x14ac:dyDescent="0.25">
      <c r="A113" s="169">
        <f t="shared" si="12"/>
        <v>40999</v>
      </c>
      <c r="B113" s="172">
        <v>64860708</v>
      </c>
      <c r="C113" s="230">
        <f>+'Weather Analysis '!S10</f>
        <v>479.7</v>
      </c>
      <c r="D113" s="230">
        <f>+'Weather Analysis '!S30</f>
        <v>0</v>
      </c>
      <c r="E113" s="171">
        <v>1</v>
      </c>
      <c r="F113" s="171">
        <v>31</v>
      </c>
      <c r="G113" s="296">
        <f>'CDM Activity'!H95</f>
        <v>1020352.0716386188</v>
      </c>
      <c r="H113" s="297">
        <f>33198+5</f>
        <v>33203</v>
      </c>
      <c r="I113" s="298">
        <v>143.01381363494295</v>
      </c>
      <c r="J113" s="301">
        <v>352</v>
      </c>
      <c r="K113" s="171">
        <v>195.9</v>
      </c>
      <c r="L113" s="300">
        <v>17.899999999999999</v>
      </c>
      <c r="M113" s="296">
        <f t="shared" si="13"/>
        <v>62835257.14080108</v>
      </c>
      <c r="N113" s="50">
        <f t="shared" si="14"/>
        <v>-2025450.8591989204</v>
      </c>
      <c r="O113" s="103">
        <f t="shared" si="15"/>
        <v>-3.1227701973264313E-2</v>
      </c>
      <c r="P113" s="13">
        <f t="shared" si="11"/>
        <v>3.1227701973264313E-2</v>
      </c>
      <c r="Q113" s="347"/>
      <c r="R113" s="13"/>
      <c r="Z113" s="59"/>
    </row>
    <row r="114" spans="1:26" x14ac:dyDescent="0.25">
      <c r="A114" s="169">
        <f t="shared" si="12"/>
        <v>41029</v>
      </c>
      <c r="B114" s="172">
        <v>55490558</v>
      </c>
      <c r="C114" s="230">
        <f>+'Weather Analysis '!S11</f>
        <v>437.5</v>
      </c>
      <c r="D114" s="230">
        <f>+'Weather Analysis '!S31</f>
        <v>0</v>
      </c>
      <c r="E114" s="171">
        <v>1</v>
      </c>
      <c r="F114" s="171">
        <v>30</v>
      </c>
      <c r="G114" s="296">
        <f>'CDM Activity'!H96</f>
        <v>1024644.5619652831</v>
      </c>
      <c r="H114" s="297">
        <f>33205+5</f>
        <v>33210</v>
      </c>
      <c r="I114" s="298">
        <v>143.21485485907297</v>
      </c>
      <c r="J114" s="301">
        <v>320</v>
      </c>
      <c r="K114" s="171">
        <v>194.4</v>
      </c>
      <c r="L114" s="300">
        <v>17.600000000000001</v>
      </c>
      <c r="M114" s="296">
        <f t="shared" si="13"/>
        <v>59384133.129179373</v>
      </c>
      <c r="N114" s="50">
        <f t="shared" si="14"/>
        <v>3893575.1291793734</v>
      </c>
      <c r="O114" s="103">
        <f t="shared" si="15"/>
        <v>7.0166443977358689E-2</v>
      </c>
      <c r="P114" s="13">
        <f t="shared" si="11"/>
        <v>7.0166443977358689E-2</v>
      </c>
      <c r="Q114" s="347"/>
      <c r="R114" s="13"/>
      <c r="Z114" s="59"/>
    </row>
    <row r="115" spans="1:26" x14ac:dyDescent="0.25">
      <c r="A115" s="169">
        <f t="shared" si="12"/>
        <v>41060</v>
      </c>
      <c r="B115" s="172">
        <v>50211578</v>
      </c>
      <c r="C115" s="230">
        <f>+'Weather Analysis '!S12</f>
        <v>94.4</v>
      </c>
      <c r="D115" s="230">
        <f>+'Weather Analysis '!S32</f>
        <v>8.4</v>
      </c>
      <c r="E115" s="171">
        <v>1</v>
      </c>
      <c r="F115" s="171">
        <v>31</v>
      </c>
      <c r="G115" s="296">
        <f>'CDM Activity'!H97</f>
        <v>1028937.0522919474</v>
      </c>
      <c r="H115" s="297">
        <f>33205+5</f>
        <v>33210</v>
      </c>
      <c r="I115" s="298">
        <v>143.41617869627913</v>
      </c>
      <c r="J115" s="301">
        <v>352</v>
      </c>
      <c r="K115" s="171">
        <v>192.8</v>
      </c>
      <c r="L115" s="300">
        <v>18.2</v>
      </c>
      <c r="M115" s="296">
        <f t="shared" si="13"/>
        <v>48405083.212879919</v>
      </c>
      <c r="N115" s="50">
        <f t="shared" si="14"/>
        <v>-1806494.7871200815</v>
      </c>
      <c r="O115" s="103">
        <f t="shared" si="15"/>
        <v>-3.5977654140247922E-2</v>
      </c>
      <c r="P115" s="13">
        <f t="shared" si="11"/>
        <v>3.5977654140247922E-2</v>
      </c>
      <c r="Q115" s="347"/>
      <c r="R115" s="13"/>
      <c r="Z115" s="59"/>
    </row>
    <row r="116" spans="1:26" x14ac:dyDescent="0.25">
      <c r="A116" s="169">
        <f t="shared" si="12"/>
        <v>41090</v>
      </c>
      <c r="B116" s="172">
        <v>50441593</v>
      </c>
      <c r="C116" s="230">
        <f>+'Weather Analysis '!S13</f>
        <v>38.5</v>
      </c>
      <c r="D116" s="230">
        <f>+'Weather Analysis '!S33</f>
        <v>23.5</v>
      </c>
      <c r="E116" s="171">
        <v>0</v>
      </c>
      <c r="F116" s="171">
        <v>30</v>
      </c>
      <c r="G116" s="296">
        <f>'CDM Activity'!H98</f>
        <v>1033229.5426186117</v>
      </c>
      <c r="H116" s="297">
        <f>33205+5</f>
        <v>33210</v>
      </c>
      <c r="I116" s="298">
        <v>143.61778554384387</v>
      </c>
      <c r="J116" s="301">
        <v>336</v>
      </c>
      <c r="K116" s="171">
        <v>193.4</v>
      </c>
      <c r="L116" s="300">
        <v>17.399999999999999</v>
      </c>
      <c r="M116" s="296">
        <f t="shared" si="13"/>
        <v>48560008.705248348</v>
      </c>
      <c r="N116" s="50">
        <f t="shared" si="14"/>
        <v>-1881584.2947516516</v>
      </c>
      <c r="O116" s="103">
        <f t="shared" si="15"/>
        <v>-3.7302237753507342E-2</v>
      </c>
      <c r="P116" s="13">
        <f t="shared" si="11"/>
        <v>3.7302237753507342E-2</v>
      </c>
      <c r="Q116" s="347"/>
      <c r="R116" s="13"/>
      <c r="Z116" s="59"/>
    </row>
    <row r="117" spans="1:26" x14ac:dyDescent="0.25">
      <c r="A117" s="169">
        <f t="shared" si="12"/>
        <v>41121</v>
      </c>
      <c r="B117" s="172">
        <v>52218431</v>
      </c>
      <c r="C117" s="230">
        <f>+'Weather Analysis '!S14</f>
        <v>9.5</v>
      </c>
      <c r="D117" s="230">
        <f>+'Weather Analysis '!S34</f>
        <v>59.6</v>
      </c>
      <c r="E117" s="171">
        <v>0</v>
      </c>
      <c r="F117" s="171">
        <v>31</v>
      </c>
      <c r="G117" s="296">
        <f>'CDM Activity'!H99</f>
        <v>1037522.032945276</v>
      </c>
      <c r="H117" s="297">
        <f>33207+5</f>
        <v>33212</v>
      </c>
      <c r="I117" s="298">
        <v>143.81967579960809</v>
      </c>
      <c r="J117" s="301">
        <v>336</v>
      </c>
      <c r="K117" s="171">
        <v>194.2</v>
      </c>
      <c r="L117" s="300">
        <v>18.7</v>
      </c>
      <c r="M117" s="296">
        <f t="shared" si="13"/>
        <v>52153984.361817449</v>
      </c>
      <c r="N117" s="50">
        <f t="shared" si="14"/>
        <v>-64446.638182550669</v>
      </c>
      <c r="O117" s="103">
        <f t="shared" si="15"/>
        <v>-1.2341741593605267E-3</v>
      </c>
      <c r="P117" s="13">
        <f t="shared" si="11"/>
        <v>1.2341741593605267E-3</v>
      </c>
      <c r="Q117" s="347"/>
      <c r="R117" s="13"/>
      <c r="Z117" s="59"/>
    </row>
    <row r="118" spans="1:26" x14ac:dyDescent="0.25">
      <c r="A118" s="169">
        <f t="shared" si="12"/>
        <v>41152</v>
      </c>
      <c r="B118" s="172">
        <v>51797361</v>
      </c>
      <c r="C118" s="230">
        <f>+'Weather Analysis '!S15</f>
        <v>34.299999999999997</v>
      </c>
      <c r="D118" s="230">
        <f>+'Weather Analysis '!S35</f>
        <v>37.700000000000003</v>
      </c>
      <c r="E118" s="171">
        <v>0</v>
      </c>
      <c r="F118" s="171">
        <v>31</v>
      </c>
      <c r="G118" s="296">
        <f>'CDM Activity'!H100</f>
        <v>1041814.5232719403</v>
      </c>
      <c r="H118" s="297">
        <f>33207+5</f>
        <v>33212</v>
      </c>
      <c r="I118" s="298">
        <v>144.02184986197204</v>
      </c>
      <c r="J118" s="301">
        <v>352</v>
      </c>
      <c r="K118" s="171">
        <v>192.2</v>
      </c>
      <c r="L118" s="300">
        <v>19.899999999999999</v>
      </c>
      <c r="M118" s="296">
        <f t="shared" si="13"/>
        <v>51326831.074230775</v>
      </c>
      <c r="N118" s="50">
        <f t="shared" si="14"/>
        <v>-470529.92576922476</v>
      </c>
      <c r="O118" s="103">
        <f t="shared" si="15"/>
        <v>-9.0840520961912481E-3</v>
      </c>
      <c r="P118" s="13">
        <f t="shared" si="11"/>
        <v>9.0840520961912481E-3</v>
      </c>
      <c r="Q118" s="347"/>
      <c r="R118" s="13"/>
      <c r="Z118" s="59"/>
    </row>
    <row r="119" spans="1:26" x14ac:dyDescent="0.25">
      <c r="A119" s="169">
        <f t="shared" si="12"/>
        <v>41182</v>
      </c>
      <c r="B119" s="172">
        <v>49181637</v>
      </c>
      <c r="C119" s="230">
        <f>+'Weather Analysis '!S16</f>
        <v>181.9</v>
      </c>
      <c r="D119" s="230">
        <f>+'Weather Analysis '!S36</f>
        <v>5.3</v>
      </c>
      <c r="E119" s="171">
        <v>1</v>
      </c>
      <c r="F119" s="171">
        <v>30</v>
      </c>
      <c r="G119" s="296">
        <f>'CDM Activity'!H101</f>
        <v>1046107.0135986046</v>
      </c>
      <c r="H119" s="297">
        <f>33207+5</f>
        <v>33212</v>
      </c>
      <c r="I119" s="298">
        <v>144.22430812989595</v>
      </c>
      <c r="J119" s="301">
        <v>304</v>
      </c>
      <c r="K119" s="171">
        <v>190.9</v>
      </c>
      <c r="L119" s="300">
        <v>19.899999999999999</v>
      </c>
      <c r="M119" s="296">
        <f t="shared" si="13"/>
        <v>49731666.31641002</v>
      </c>
      <c r="N119" s="50">
        <f t="shared" si="14"/>
        <v>550029.31641001999</v>
      </c>
      <c r="O119" s="103">
        <f t="shared" si="15"/>
        <v>1.118363173657721E-2</v>
      </c>
      <c r="P119" s="13">
        <f t="shared" si="11"/>
        <v>1.118363173657721E-2</v>
      </c>
      <c r="Q119" s="347"/>
      <c r="R119" s="13"/>
      <c r="Z119" s="59"/>
    </row>
    <row r="120" spans="1:26" x14ac:dyDescent="0.25">
      <c r="A120" s="169">
        <f t="shared" si="12"/>
        <v>41213</v>
      </c>
      <c r="B120" s="172">
        <v>55200719</v>
      </c>
      <c r="C120" s="230">
        <f>+'Weather Analysis '!S17</f>
        <v>299.60000000000002</v>
      </c>
      <c r="D120" s="230">
        <f>+'Weather Analysis '!S37</f>
        <v>0</v>
      </c>
      <c r="E120" s="171">
        <v>1</v>
      </c>
      <c r="F120" s="171">
        <v>31</v>
      </c>
      <c r="G120" s="296">
        <f>'CDM Activity'!H102</f>
        <v>1050399.5039252688</v>
      </c>
      <c r="H120" s="297">
        <f>33050+5</f>
        <v>33055</v>
      </c>
      <c r="I120" s="298">
        <v>144.42705100290087</v>
      </c>
      <c r="J120" s="301">
        <v>352</v>
      </c>
      <c r="K120" s="171">
        <v>190.6</v>
      </c>
      <c r="L120" s="300">
        <v>19</v>
      </c>
      <c r="M120" s="296">
        <f t="shared" si="13"/>
        <v>55360070.401378378</v>
      </c>
      <c r="N120" s="50">
        <f t="shared" si="14"/>
        <v>159351.40137837827</v>
      </c>
      <c r="O120" s="103">
        <f t="shared" si="15"/>
        <v>2.8867631484723647E-3</v>
      </c>
      <c r="P120" s="13">
        <f t="shared" si="11"/>
        <v>2.8867631484723647E-3</v>
      </c>
      <c r="Q120" s="347"/>
      <c r="R120" s="13"/>
    </row>
    <row r="121" spans="1:26" x14ac:dyDescent="0.25">
      <c r="A121" s="169">
        <f t="shared" si="12"/>
        <v>41243</v>
      </c>
      <c r="B121" s="172">
        <v>63048824</v>
      </c>
      <c r="C121" s="230">
        <f>+'Weather Analysis '!S18</f>
        <v>426.4</v>
      </c>
      <c r="D121" s="230">
        <f>+'Weather Analysis '!S38</f>
        <v>0</v>
      </c>
      <c r="E121" s="171">
        <v>1</v>
      </c>
      <c r="F121" s="171">
        <v>30</v>
      </c>
      <c r="G121" s="296">
        <f>'CDM Activity'!H103</f>
        <v>1054691.9942519329</v>
      </c>
      <c r="H121" s="297">
        <f>33050+5</f>
        <v>33055</v>
      </c>
      <c r="I121" s="298">
        <v>144.63007888106955</v>
      </c>
      <c r="J121" s="301">
        <v>352</v>
      </c>
      <c r="K121" s="171">
        <v>193.1</v>
      </c>
      <c r="L121" s="300">
        <v>18</v>
      </c>
      <c r="M121" s="296">
        <f t="shared" si="13"/>
        <v>58517783.76264672</v>
      </c>
      <c r="N121" s="50">
        <f t="shared" si="14"/>
        <v>-4531040.2373532802</v>
      </c>
      <c r="O121" s="103">
        <f t="shared" si="15"/>
        <v>-7.1865578925838169E-2</v>
      </c>
      <c r="P121" s="13">
        <f t="shared" si="11"/>
        <v>7.1865578925838169E-2</v>
      </c>
      <c r="Q121" s="347"/>
      <c r="R121" s="13"/>
    </row>
    <row r="122" spans="1:26" x14ac:dyDescent="0.25">
      <c r="A122" s="169">
        <f t="shared" si="12"/>
        <v>41274</v>
      </c>
      <c r="B122" s="172">
        <v>72665451</v>
      </c>
      <c r="C122" s="230">
        <f>+'Weather Analysis '!S19</f>
        <v>445.9</v>
      </c>
      <c r="D122" s="230">
        <f>+'Weather Analysis '!S39</f>
        <v>0</v>
      </c>
      <c r="E122" s="171">
        <v>0</v>
      </c>
      <c r="F122" s="171">
        <v>31</v>
      </c>
      <c r="G122" s="296">
        <f>'CDM Activity'!H104</f>
        <v>1058984.4845785971</v>
      </c>
      <c r="H122" s="297">
        <f>33050+5</f>
        <v>33055</v>
      </c>
      <c r="I122" s="298">
        <v>144.83339216504706</v>
      </c>
      <c r="J122" s="301">
        <v>304</v>
      </c>
      <c r="K122" s="171">
        <v>194.2</v>
      </c>
      <c r="L122" s="300">
        <v>18.7</v>
      </c>
      <c r="M122" s="296">
        <f t="shared" si="13"/>
        <v>63993177.492388383</v>
      </c>
      <c r="N122" s="50">
        <f t="shared" si="14"/>
        <v>-8672273.5076116174</v>
      </c>
      <c r="O122" s="103">
        <f t="shared" si="15"/>
        <v>-0.11934520997621852</v>
      </c>
      <c r="P122" s="13">
        <f t="shared" si="11"/>
        <v>0.11934520997621852</v>
      </c>
      <c r="Q122" s="347"/>
      <c r="R122" s="13"/>
    </row>
    <row r="123" spans="1:26" x14ac:dyDescent="0.25">
      <c r="A123" s="169">
        <f t="shared" si="12"/>
        <v>41305</v>
      </c>
      <c r="B123" s="172">
        <v>77430385</v>
      </c>
      <c r="C123" s="230">
        <f>'Weather Analysis '!T8</f>
        <v>598.5</v>
      </c>
      <c r="D123" s="230">
        <f>+'Weather Analysis '!T28</f>
        <v>0</v>
      </c>
      <c r="E123" s="171">
        <v>0</v>
      </c>
      <c r="F123" s="171">
        <v>31</v>
      </c>
      <c r="G123" s="296">
        <f>'CDM Activity'!H105</f>
        <v>1077122.6928958963</v>
      </c>
      <c r="H123" s="297">
        <f>33301+5</f>
        <v>33306</v>
      </c>
      <c r="I123" s="298">
        <v>144.98936781896037</v>
      </c>
      <c r="J123" s="171">
        <v>352</v>
      </c>
      <c r="K123" s="171">
        <v>193.9</v>
      </c>
      <c r="L123" s="300">
        <v>19.3</v>
      </c>
      <c r="M123" s="296">
        <f t="shared" si="13"/>
        <v>70452703.346821845</v>
      </c>
      <c r="N123" s="50">
        <f t="shared" si="14"/>
        <v>-6977681.6531781554</v>
      </c>
      <c r="O123" s="103">
        <f t="shared" si="15"/>
        <v>-9.0115548995115494E-2</v>
      </c>
      <c r="P123" s="13">
        <f t="shared" si="11"/>
        <v>9.0115548995115494E-2</v>
      </c>
      <c r="Q123" s="347"/>
      <c r="R123" s="13"/>
    </row>
    <row r="124" spans="1:26" x14ac:dyDescent="0.25">
      <c r="A124" s="169">
        <f t="shared" si="12"/>
        <v>41333</v>
      </c>
      <c r="B124" s="172">
        <v>69794850</v>
      </c>
      <c r="C124" s="230">
        <f>'Weather Analysis '!T9</f>
        <v>618.9</v>
      </c>
      <c r="D124" s="230">
        <f>+'Weather Analysis '!T29</f>
        <v>0</v>
      </c>
      <c r="E124" s="171">
        <v>0</v>
      </c>
      <c r="F124" s="171">
        <v>28</v>
      </c>
      <c r="G124" s="296">
        <f>'CDM Activity'!H106</f>
        <v>1095260.9012131954</v>
      </c>
      <c r="H124" s="297">
        <f>33301+5</f>
        <v>33306</v>
      </c>
      <c r="I124" s="298">
        <v>145.14551144798114</v>
      </c>
      <c r="J124" s="171">
        <v>304</v>
      </c>
      <c r="K124" s="171">
        <v>193.3</v>
      </c>
      <c r="L124" s="300">
        <v>19.2</v>
      </c>
      <c r="M124" s="296">
        <f t="shared" si="13"/>
        <v>65798551.221492603</v>
      </c>
      <c r="N124" s="50">
        <f t="shared" si="14"/>
        <v>-3996298.7785073966</v>
      </c>
      <c r="O124" s="103">
        <f t="shared" si="15"/>
        <v>-5.7257788769621204E-2</v>
      </c>
      <c r="P124" s="13">
        <f t="shared" si="11"/>
        <v>5.7257788769621204E-2</v>
      </c>
      <c r="Q124" s="347"/>
      <c r="R124" s="13"/>
    </row>
    <row r="125" spans="1:26" x14ac:dyDescent="0.25">
      <c r="A125" s="169">
        <f t="shared" si="12"/>
        <v>41364</v>
      </c>
      <c r="B125" s="172">
        <v>69264159</v>
      </c>
      <c r="C125" s="230">
        <f>'Weather Analysis '!T10</f>
        <v>651.4</v>
      </c>
      <c r="D125" s="230">
        <f>+'Weather Analysis '!T30</f>
        <v>0</v>
      </c>
      <c r="E125" s="171">
        <v>1</v>
      </c>
      <c r="F125" s="171">
        <v>31</v>
      </c>
      <c r="G125" s="296">
        <f>'CDM Activity'!H107</f>
        <v>1113399.1095304945</v>
      </c>
      <c r="H125" s="297">
        <f>33301+5</f>
        <v>33306</v>
      </c>
      <c r="I125" s="298">
        <v>145.30182323300707</v>
      </c>
      <c r="J125" s="171">
        <v>320</v>
      </c>
      <c r="K125" s="171">
        <v>193.6</v>
      </c>
      <c r="L125" s="300">
        <v>18.399999999999999</v>
      </c>
      <c r="M125" s="296">
        <f t="shared" si="13"/>
        <v>69479390.769799978</v>
      </c>
      <c r="N125" s="50">
        <f t="shared" si="14"/>
        <v>215231.76979997754</v>
      </c>
      <c r="O125" s="103">
        <f t="shared" si="15"/>
        <v>3.1074046506502379E-3</v>
      </c>
      <c r="P125" s="13">
        <f t="shared" si="11"/>
        <v>3.1074046506502379E-3</v>
      </c>
      <c r="Q125" s="347"/>
      <c r="R125" s="13"/>
    </row>
    <row r="126" spans="1:26" x14ac:dyDescent="0.25">
      <c r="A126" s="169">
        <f t="shared" si="12"/>
        <v>41394</v>
      </c>
      <c r="B126" s="172">
        <v>62490524</v>
      </c>
      <c r="C126" s="230">
        <f>'Weather Analysis '!T11</f>
        <v>367.2</v>
      </c>
      <c r="D126" s="230">
        <f>+'Weather Analysis '!T31</f>
        <v>0</v>
      </c>
      <c r="E126" s="171">
        <v>1</v>
      </c>
      <c r="F126" s="171">
        <v>30</v>
      </c>
      <c r="G126" s="296">
        <f>'CDM Activity'!H108</f>
        <v>1131537.3178477937</v>
      </c>
      <c r="H126" s="297">
        <f>33289+5</f>
        <v>33294</v>
      </c>
      <c r="I126" s="298">
        <v>145.45830335513068</v>
      </c>
      <c r="J126" s="171">
        <v>352</v>
      </c>
      <c r="K126" s="171">
        <v>193.6</v>
      </c>
      <c r="L126" s="300">
        <v>17.399999999999999</v>
      </c>
      <c r="M126" s="296">
        <f t="shared" si="13"/>
        <v>56456900.189657435</v>
      </c>
      <c r="N126" s="50">
        <f t="shared" si="14"/>
        <v>-6033623.8103425652</v>
      </c>
      <c r="O126" s="103">
        <f t="shared" si="15"/>
        <v>-9.6552619887497901E-2</v>
      </c>
      <c r="P126" s="13">
        <f t="shared" si="11"/>
        <v>9.6552619887497901E-2</v>
      </c>
      <c r="Q126" s="347"/>
      <c r="R126" s="13"/>
    </row>
    <row r="127" spans="1:26" x14ac:dyDescent="0.25">
      <c r="A127" s="169">
        <f t="shared" si="12"/>
        <v>41425</v>
      </c>
      <c r="B127" s="172">
        <v>51260742</v>
      </c>
      <c r="C127" s="230">
        <f>'Weather Analysis '!T12</f>
        <v>193</v>
      </c>
      <c r="D127" s="230">
        <f>+'Weather Analysis '!T32</f>
        <v>3</v>
      </c>
      <c r="E127" s="171">
        <v>1</v>
      </c>
      <c r="F127" s="171">
        <v>31</v>
      </c>
      <c r="G127" s="296">
        <f>'CDM Activity'!H109</f>
        <v>1149675.5261650928</v>
      </c>
      <c r="H127" s="297">
        <f>33289+5</f>
        <v>33294</v>
      </c>
      <c r="I127" s="298">
        <v>145.6149519956395</v>
      </c>
      <c r="J127" s="171">
        <v>352</v>
      </c>
      <c r="K127" s="171">
        <v>195.9</v>
      </c>
      <c r="L127" s="300">
        <v>15.8</v>
      </c>
      <c r="M127" s="296">
        <f t="shared" si="13"/>
        <v>51612039.125198543</v>
      </c>
      <c r="N127" s="50">
        <f t="shared" si="14"/>
        <v>351297.12519854307</v>
      </c>
      <c r="O127" s="103">
        <f t="shared" si="15"/>
        <v>6.8531416341679778E-3</v>
      </c>
      <c r="P127" s="13">
        <f t="shared" si="11"/>
        <v>6.8531416341679778E-3</v>
      </c>
      <c r="Q127" s="347"/>
      <c r="R127" s="13"/>
    </row>
    <row r="128" spans="1:26" x14ac:dyDescent="0.25">
      <c r="A128" s="169">
        <f t="shared" si="12"/>
        <v>41455</v>
      </c>
      <c r="B128" s="172">
        <v>48246051</v>
      </c>
      <c r="C128" s="230">
        <f>'Weather Analysis '!T13</f>
        <v>106.2</v>
      </c>
      <c r="D128" s="230">
        <f>+'Weather Analysis '!T33</f>
        <v>12.4</v>
      </c>
      <c r="E128" s="171">
        <v>0</v>
      </c>
      <c r="F128" s="171">
        <v>30</v>
      </c>
      <c r="G128" s="296">
        <f>'CDM Activity'!H110</f>
        <v>1167813.734482392</v>
      </c>
      <c r="H128" s="297">
        <f>33289+5</f>
        <v>33294</v>
      </c>
      <c r="I128" s="298">
        <v>145.77176933601632</v>
      </c>
      <c r="J128" s="171">
        <v>320</v>
      </c>
      <c r="K128" s="171">
        <v>199</v>
      </c>
      <c r="L128" s="300">
        <v>14.9</v>
      </c>
      <c r="M128" s="296">
        <f t="shared" si="13"/>
        <v>50045667.872395135</v>
      </c>
      <c r="N128" s="50">
        <f t="shared" si="14"/>
        <v>1799616.8723951355</v>
      </c>
      <c r="O128" s="103">
        <f t="shared" si="15"/>
        <v>3.7300811881891341E-2</v>
      </c>
      <c r="P128" s="13">
        <f t="shared" si="11"/>
        <v>3.7300811881891341E-2</v>
      </c>
      <c r="Q128" s="347"/>
      <c r="R128" s="13"/>
    </row>
    <row r="129" spans="1:20" x14ac:dyDescent="0.25">
      <c r="A129" s="169">
        <f t="shared" si="12"/>
        <v>41486</v>
      </c>
      <c r="B129" s="172">
        <v>52370705</v>
      </c>
      <c r="C129" s="230">
        <f>'Weather Analysis '!T14</f>
        <v>45</v>
      </c>
      <c r="D129" s="230">
        <f>+'Weather Analysis '!T34</f>
        <v>48.8</v>
      </c>
      <c r="E129" s="171">
        <v>0</v>
      </c>
      <c r="F129" s="171">
        <v>31</v>
      </c>
      <c r="G129" s="296">
        <f>'CDM Activity'!H111</f>
        <v>1185951.9427996911</v>
      </c>
      <c r="H129" s="297">
        <f>33510+5</f>
        <v>33515</v>
      </c>
      <c r="I129" s="298">
        <v>145.92875555793933</v>
      </c>
      <c r="J129" s="171">
        <v>352</v>
      </c>
      <c r="K129" s="171">
        <v>203.9</v>
      </c>
      <c r="L129" s="300">
        <v>14</v>
      </c>
      <c r="M129" s="296">
        <f t="shared" si="13"/>
        <v>52826024.632041968</v>
      </c>
      <c r="N129" s="50">
        <f t="shared" si="14"/>
        <v>455319.63204196841</v>
      </c>
      <c r="O129" s="103">
        <f t="shared" si="15"/>
        <v>8.6941665582307599E-3</v>
      </c>
      <c r="P129" s="13">
        <f t="shared" si="11"/>
        <v>8.6941665582307599E-3</v>
      </c>
      <c r="Q129" s="347"/>
      <c r="R129" s="13"/>
      <c r="S129" s="6"/>
      <c r="T129" s="57"/>
    </row>
    <row r="130" spans="1:20" x14ac:dyDescent="0.25">
      <c r="A130" s="169">
        <f t="shared" si="12"/>
        <v>41517</v>
      </c>
      <c r="B130" s="172">
        <v>51254455</v>
      </c>
      <c r="C130" s="230">
        <f>'Weather Analysis '!T15</f>
        <v>57.3</v>
      </c>
      <c r="D130" s="230">
        <f>+'Weather Analysis '!T35</f>
        <v>27.1</v>
      </c>
      <c r="E130" s="171">
        <v>0</v>
      </c>
      <c r="F130" s="171">
        <v>31</v>
      </c>
      <c r="G130" s="296">
        <f>'CDM Activity'!H112</f>
        <v>1204090.1511169903</v>
      </c>
      <c r="H130" s="297">
        <f>33510+5</f>
        <v>33515</v>
      </c>
      <c r="I130" s="298">
        <v>146.08591084328242</v>
      </c>
      <c r="J130" s="171">
        <v>336</v>
      </c>
      <c r="K130" s="171">
        <v>205</v>
      </c>
      <c r="L130" s="300">
        <v>14.4</v>
      </c>
      <c r="M130" s="296">
        <f t="shared" si="13"/>
        <v>51479651.695568427</v>
      </c>
      <c r="N130" s="50">
        <f t="shared" si="14"/>
        <v>225196.69556842744</v>
      </c>
      <c r="O130" s="103">
        <f t="shared" si="15"/>
        <v>4.3936999343457545E-3</v>
      </c>
      <c r="P130" s="13">
        <f t="shared" si="11"/>
        <v>4.3936999343457545E-3</v>
      </c>
      <c r="Q130" s="347"/>
      <c r="R130" s="13"/>
      <c r="S130" s="6"/>
      <c r="T130" s="57"/>
    </row>
    <row r="131" spans="1:20" x14ac:dyDescent="0.25">
      <c r="A131" s="169">
        <f t="shared" si="12"/>
        <v>41547</v>
      </c>
      <c r="B131" s="172">
        <v>48184318</v>
      </c>
      <c r="C131" s="230">
        <f>'Weather Analysis '!T16</f>
        <v>165.6</v>
      </c>
      <c r="D131" s="230">
        <f>+'Weather Analysis '!T36</f>
        <v>5.8</v>
      </c>
      <c r="E131" s="171">
        <v>1</v>
      </c>
      <c r="F131" s="171">
        <v>30</v>
      </c>
      <c r="G131" s="296">
        <f>'CDM Activity'!H113</f>
        <v>1222228.3594342894</v>
      </c>
      <c r="H131" s="297">
        <f>33510+5</f>
        <v>33515</v>
      </c>
      <c r="I131" s="298">
        <v>146.2432353741153</v>
      </c>
      <c r="J131" s="171">
        <v>320</v>
      </c>
      <c r="K131" s="171">
        <v>203.1</v>
      </c>
      <c r="L131" s="300">
        <v>14.2</v>
      </c>
      <c r="M131" s="296">
        <f t="shared" si="13"/>
        <v>49203302.461237013</v>
      </c>
      <c r="N131" s="50">
        <f t="shared" ref="N131:N162" si="16">M131-B131</f>
        <v>1018984.4612370133</v>
      </c>
      <c r="O131" s="103">
        <f t="shared" ref="O131:O162" si="17">N131/B131</f>
        <v>2.1147636897901376E-2</v>
      </c>
      <c r="P131" s="13">
        <f t="shared" ref="P131:P170" si="18">ABS(O131)</f>
        <v>2.1147636897901376E-2</v>
      </c>
      <c r="Q131" s="347"/>
      <c r="R131" s="13"/>
      <c r="S131" s="6"/>
      <c r="T131" s="57"/>
    </row>
    <row r="132" spans="1:20" x14ac:dyDescent="0.25">
      <c r="A132" s="169">
        <f t="shared" si="12"/>
        <v>41578</v>
      </c>
      <c r="B132" s="172">
        <v>54286247</v>
      </c>
      <c r="C132" s="230">
        <f>'Weather Analysis '!T17</f>
        <v>245.2</v>
      </c>
      <c r="D132" s="230">
        <f>+'Weather Analysis '!T37</f>
        <v>0</v>
      </c>
      <c r="E132" s="171">
        <v>1</v>
      </c>
      <c r="F132" s="171">
        <v>31</v>
      </c>
      <c r="G132" s="296">
        <f>'CDM Activity'!H114</f>
        <v>1240366.5677515885</v>
      </c>
      <c r="H132" s="297">
        <f>33388+5</f>
        <v>33393</v>
      </c>
      <c r="I132" s="298">
        <v>146.4007293327038</v>
      </c>
      <c r="J132" s="171">
        <v>352</v>
      </c>
      <c r="K132" s="171">
        <v>200.2</v>
      </c>
      <c r="L132" s="300">
        <v>14.7</v>
      </c>
      <c r="M132" s="296">
        <f t="shared" si="13"/>
        <v>53327102.094853327</v>
      </c>
      <c r="N132" s="50">
        <f t="shared" si="16"/>
        <v>-959144.90514667332</v>
      </c>
      <c r="O132" s="103">
        <f t="shared" si="17"/>
        <v>-1.7668285397343334E-2</v>
      </c>
      <c r="P132" s="13">
        <f t="shared" si="18"/>
        <v>1.7668285397343334E-2</v>
      </c>
      <c r="Q132" s="347"/>
      <c r="R132" s="13"/>
      <c r="S132" s="6"/>
      <c r="T132" s="57"/>
    </row>
    <row r="133" spans="1:20" x14ac:dyDescent="0.25">
      <c r="A133" s="169">
        <f t="shared" ref="A133:A162" si="19">EOMONTH(A132,1)</f>
        <v>41608</v>
      </c>
      <c r="B133" s="172">
        <v>64675563</v>
      </c>
      <c r="C133" s="230">
        <f>'Weather Analysis '!T18</f>
        <v>543.70000000000005</v>
      </c>
      <c r="D133" s="230">
        <f>+'Weather Analysis '!T38</f>
        <v>0</v>
      </c>
      <c r="E133" s="171">
        <v>1</v>
      </c>
      <c r="F133" s="171">
        <v>30</v>
      </c>
      <c r="G133" s="296">
        <f>'CDM Activity'!H115</f>
        <v>1258504.7760688877</v>
      </c>
      <c r="H133" s="297">
        <f>33388+5</f>
        <v>33393</v>
      </c>
      <c r="I133" s="298">
        <v>146.55839290151005</v>
      </c>
      <c r="J133" s="171">
        <v>336</v>
      </c>
      <c r="K133" s="171">
        <v>197.8</v>
      </c>
      <c r="L133" s="300">
        <v>14.1</v>
      </c>
      <c r="M133" s="296">
        <f t="shared" si="13"/>
        <v>63168895.085347742</v>
      </c>
      <c r="N133" s="50">
        <f t="shared" si="16"/>
        <v>-1506667.9146522582</v>
      </c>
      <c r="O133" s="103">
        <f t="shared" si="17"/>
        <v>-2.3295783519538257E-2</v>
      </c>
      <c r="P133" s="13">
        <f t="shared" si="18"/>
        <v>2.3295783519538257E-2</v>
      </c>
      <c r="Q133" s="347"/>
      <c r="R133" s="13"/>
      <c r="S133" s="6"/>
      <c r="T133" s="57"/>
    </row>
    <row r="134" spans="1:20" x14ac:dyDescent="0.25">
      <c r="A134" s="169">
        <f t="shared" si="19"/>
        <v>41639</v>
      </c>
      <c r="B134" s="172">
        <v>81310312</v>
      </c>
      <c r="C134" s="230">
        <f>'Weather Analysis '!T19</f>
        <v>874.5</v>
      </c>
      <c r="D134" s="230">
        <f>+'Weather Analysis '!T39</f>
        <v>0</v>
      </c>
      <c r="E134" s="171">
        <v>0</v>
      </c>
      <c r="F134" s="171">
        <v>31</v>
      </c>
      <c r="G134" s="296">
        <f>'CDM Activity'!H116</f>
        <v>1276642.9843861868</v>
      </c>
      <c r="H134" s="297">
        <f>33388+5</f>
        <v>33393</v>
      </c>
      <c r="I134" s="298">
        <v>146.71622626319265</v>
      </c>
      <c r="J134" s="171">
        <v>320</v>
      </c>
      <c r="K134" s="171">
        <v>196.9</v>
      </c>
      <c r="L134" s="300">
        <v>14.5</v>
      </c>
      <c r="M134" s="296">
        <f t="shared" si="13"/>
        <v>80799901.017681956</v>
      </c>
      <c r="N134" s="50">
        <f t="shared" si="16"/>
        <v>-510410.98231804371</v>
      </c>
      <c r="O134" s="103">
        <f t="shared" si="17"/>
        <v>-6.2773216553153027E-3</v>
      </c>
      <c r="P134" s="13">
        <f t="shared" si="18"/>
        <v>6.2773216553153027E-3</v>
      </c>
      <c r="Q134" s="347"/>
      <c r="R134" s="13"/>
      <c r="S134" s="6"/>
      <c r="T134" s="57"/>
    </row>
    <row r="135" spans="1:20" x14ac:dyDescent="0.25">
      <c r="A135" s="169">
        <f t="shared" si="19"/>
        <v>41670</v>
      </c>
      <c r="B135" s="172">
        <v>84076330.890000001</v>
      </c>
      <c r="C135" s="230">
        <f>+'Weather Analysis '!U8</f>
        <v>980.3</v>
      </c>
      <c r="D135" s="230">
        <f>+'Weather Analysis '!U28</f>
        <v>0</v>
      </c>
      <c r="E135" s="171">
        <v>0</v>
      </c>
      <c r="F135" s="171">
        <v>31</v>
      </c>
      <c r="G135" s="296">
        <f>'CDM Activity'!H117</f>
        <v>1325152.4905694686</v>
      </c>
      <c r="H135" s="296">
        <v>33166</v>
      </c>
      <c r="I135" s="298">
        <v>146.94652822408554</v>
      </c>
      <c r="J135" s="171">
        <v>352</v>
      </c>
      <c r="K135" s="171">
        <v>193.9</v>
      </c>
      <c r="L135" s="300">
        <v>14.9</v>
      </c>
      <c r="M135" s="296">
        <f t="shared" si="13"/>
        <v>84300197.353053346</v>
      </c>
      <c r="N135" s="50">
        <f t="shared" si="16"/>
        <v>223866.46305334568</v>
      </c>
      <c r="O135" s="103">
        <f t="shared" si="17"/>
        <v>2.6626573814958455E-3</v>
      </c>
      <c r="P135" s="13">
        <f t="shared" si="18"/>
        <v>2.6626573814958455E-3</v>
      </c>
      <c r="Q135" s="347"/>
      <c r="R135" s="13"/>
      <c r="S135" s="6"/>
      <c r="T135" s="57"/>
    </row>
    <row r="136" spans="1:20" x14ac:dyDescent="0.25">
      <c r="A136" s="169">
        <f t="shared" si="19"/>
        <v>41698</v>
      </c>
      <c r="B136" s="172">
        <v>73283049.849999994</v>
      </c>
      <c r="C136" s="230">
        <f>+'Weather Analysis '!U9</f>
        <v>912</v>
      </c>
      <c r="D136" s="230">
        <f>+'Weather Analysis '!U29</f>
        <v>0</v>
      </c>
      <c r="E136" s="171">
        <v>0</v>
      </c>
      <c r="F136" s="171">
        <v>28</v>
      </c>
      <c r="G136" s="296">
        <f>'CDM Activity'!H118</f>
        <v>1373661.9967527504</v>
      </c>
      <c r="H136" s="296">
        <v>33166</v>
      </c>
      <c r="I136" s="298">
        <v>147.17719169232183</v>
      </c>
      <c r="J136" s="171">
        <v>304</v>
      </c>
      <c r="K136" s="171">
        <v>193.1</v>
      </c>
      <c r="L136" s="300">
        <v>15.4</v>
      </c>
      <c r="M136" s="296">
        <f t="shared" si="13"/>
        <v>76069497.401067376</v>
      </c>
      <c r="N136" s="50">
        <f t="shared" si="16"/>
        <v>2786447.5510673821</v>
      </c>
      <c r="O136" s="103">
        <f t="shared" si="17"/>
        <v>3.8023083875068586E-2</v>
      </c>
      <c r="P136" s="13">
        <f t="shared" si="18"/>
        <v>3.8023083875068586E-2</v>
      </c>
      <c r="Q136" s="347"/>
      <c r="R136" s="13"/>
      <c r="S136" s="6"/>
      <c r="T136" s="57"/>
    </row>
    <row r="137" spans="1:20" x14ac:dyDescent="0.25">
      <c r="A137" s="169">
        <f t="shared" si="19"/>
        <v>41729</v>
      </c>
      <c r="B137" s="172">
        <v>75936435.359999999</v>
      </c>
      <c r="C137" s="230">
        <f>+'Weather Analysis '!U10</f>
        <v>895</v>
      </c>
      <c r="D137" s="230">
        <f>+'Weather Analysis '!U30</f>
        <v>0</v>
      </c>
      <c r="E137" s="171">
        <v>1</v>
      </c>
      <c r="F137" s="171">
        <v>31</v>
      </c>
      <c r="G137" s="296">
        <f>'CDM Activity'!H119</f>
        <v>1422171.5029360321</v>
      </c>
      <c r="H137" s="296">
        <v>33166</v>
      </c>
      <c r="I137" s="298">
        <v>147.40821723536328</v>
      </c>
      <c r="J137" s="171">
        <v>336</v>
      </c>
      <c r="K137" s="171">
        <v>193.3</v>
      </c>
      <c r="L137" s="300">
        <v>15.5</v>
      </c>
      <c r="M137" s="296">
        <f t="shared" si="13"/>
        <v>77710208.011514321</v>
      </c>
      <c r="N137" s="50">
        <f t="shared" si="16"/>
        <v>1773772.6515143216</v>
      </c>
      <c r="O137" s="103">
        <f t="shared" si="17"/>
        <v>2.3358650470030721E-2</v>
      </c>
      <c r="P137" s="13">
        <f t="shared" si="18"/>
        <v>2.3358650470030721E-2</v>
      </c>
      <c r="Q137" s="347"/>
      <c r="R137" s="13"/>
      <c r="S137" s="6"/>
      <c r="T137" s="57"/>
    </row>
    <row r="138" spans="1:20" x14ac:dyDescent="0.25">
      <c r="A138" s="169">
        <f t="shared" si="19"/>
        <v>41759</v>
      </c>
      <c r="B138" s="172">
        <v>60945927.880000003</v>
      </c>
      <c r="C138" s="230">
        <f>+'Weather Analysis '!U11</f>
        <v>511.1</v>
      </c>
      <c r="D138" s="230">
        <f>+'Weather Analysis '!U31</f>
        <v>0</v>
      </c>
      <c r="E138" s="171">
        <v>1</v>
      </c>
      <c r="F138" s="171">
        <v>30</v>
      </c>
      <c r="G138" s="296">
        <f>'CDM Activity'!H120</f>
        <v>1470681.0091193139</v>
      </c>
      <c r="H138" s="296">
        <v>33415</v>
      </c>
      <c r="I138" s="298">
        <v>147.63960542156246</v>
      </c>
      <c r="J138" s="171">
        <v>320</v>
      </c>
      <c r="K138" s="171">
        <v>195.9</v>
      </c>
      <c r="L138" s="300">
        <v>15.2</v>
      </c>
      <c r="M138" s="296">
        <f t="shared" si="13"/>
        <v>61239666.623545304</v>
      </c>
      <c r="N138" s="50">
        <f t="shared" si="16"/>
        <v>293738.74354530126</v>
      </c>
      <c r="O138" s="103">
        <f t="shared" si="17"/>
        <v>4.8196615223195984E-3</v>
      </c>
      <c r="P138" s="13">
        <f t="shared" si="18"/>
        <v>4.8196615223195984E-3</v>
      </c>
      <c r="Q138" s="347"/>
      <c r="R138" s="13"/>
    </row>
    <row r="139" spans="1:20" x14ac:dyDescent="0.25">
      <c r="A139" s="169">
        <f t="shared" si="19"/>
        <v>41790</v>
      </c>
      <c r="B139" s="172">
        <v>53127584.270000003</v>
      </c>
      <c r="C139" s="230">
        <f>+'Weather Analysis '!U12</f>
        <v>267.89999999999998</v>
      </c>
      <c r="D139" s="230">
        <f>+'Weather Analysis '!U32</f>
        <v>0.8</v>
      </c>
      <c r="E139" s="171">
        <v>1</v>
      </c>
      <c r="F139" s="171">
        <v>31</v>
      </c>
      <c r="G139" s="296">
        <f>'CDM Activity'!H121</f>
        <v>1519190.5153025957</v>
      </c>
      <c r="H139" s="296">
        <v>33415</v>
      </c>
      <c r="I139" s="298">
        <v>147.87135682016401</v>
      </c>
      <c r="J139" s="171">
        <v>336</v>
      </c>
      <c r="K139" s="171">
        <v>199</v>
      </c>
      <c r="L139" s="300">
        <v>16</v>
      </c>
      <c r="M139" s="296">
        <f t="shared" si="13"/>
        <v>53411067.639380805</v>
      </c>
      <c r="N139" s="50">
        <f t="shared" si="16"/>
        <v>283483.36938080192</v>
      </c>
      <c r="O139" s="103">
        <f t="shared" si="17"/>
        <v>5.3358979760892086E-3</v>
      </c>
      <c r="P139" s="13">
        <f t="shared" si="18"/>
        <v>5.3358979760892086E-3</v>
      </c>
      <c r="Q139" s="347"/>
      <c r="R139" s="13"/>
    </row>
    <row r="140" spans="1:20" x14ac:dyDescent="0.25">
      <c r="A140" s="169">
        <f t="shared" si="19"/>
        <v>41820</v>
      </c>
      <c r="B140" s="172">
        <v>47524355.130000003</v>
      </c>
      <c r="C140" s="230">
        <f>+'Weather Analysis '!U13</f>
        <v>96.9</v>
      </c>
      <c r="D140" s="230">
        <f>+'Weather Analysis '!U33</f>
        <v>12</v>
      </c>
      <c r="E140" s="171">
        <v>0</v>
      </c>
      <c r="F140" s="171">
        <v>30</v>
      </c>
      <c r="G140" s="296">
        <f>'CDM Activity'!H122</f>
        <v>1567700.0214858775</v>
      </c>
      <c r="H140" s="296">
        <v>33415</v>
      </c>
      <c r="I140" s="298">
        <v>148.10347200130616</v>
      </c>
      <c r="J140" s="171">
        <v>336</v>
      </c>
      <c r="K140" s="171">
        <v>204.6</v>
      </c>
      <c r="L140" s="300">
        <v>15.4</v>
      </c>
      <c r="M140" s="296">
        <f t="shared" si="13"/>
        <v>48591238.700937912</v>
      </c>
      <c r="N140" s="50">
        <f t="shared" si="16"/>
        <v>1066883.5709379092</v>
      </c>
      <c r="O140" s="103">
        <f t="shared" si="17"/>
        <v>2.244919616519811E-2</v>
      </c>
      <c r="P140" s="13">
        <f t="shared" si="18"/>
        <v>2.244919616519811E-2</v>
      </c>
      <c r="Q140" s="347"/>
      <c r="R140" s="13"/>
    </row>
    <row r="141" spans="1:20" x14ac:dyDescent="0.25">
      <c r="A141" s="169">
        <f t="shared" si="19"/>
        <v>41851</v>
      </c>
      <c r="B141" s="172">
        <v>48026904.079999998</v>
      </c>
      <c r="C141" s="230">
        <f>+'Weather Analysis '!U14</f>
        <v>88.1</v>
      </c>
      <c r="D141" s="230">
        <f>+'Weather Analysis '!U34</f>
        <v>6.4</v>
      </c>
      <c r="E141" s="171">
        <v>0</v>
      </c>
      <c r="F141" s="171">
        <v>31</v>
      </c>
      <c r="G141" s="296">
        <f>'CDM Activity'!H123</f>
        <v>1616209.5276691592</v>
      </c>
      <c r="H141" s="296">
        <v>33400</v>
      </c>
      <c r="I141" s="298">
        <v>148.33595153602209</v>
      </c>
      <c r="J141" s="171">
        <v>352</v>
      </c>
      <c r="K141" s="171">
        <v>209.4</v>
      </c>
      <c r="L141" s="300">
        <v>16.600000000000001</v>
      </c>
      <c r="M141" s="296">
        <f t="shared" si="13"/>
        <v>49395979.43727117</v>
      </c>
      <c r="N141" s="50">
        <f t="shared" si="16"/>
        <v>1369075.3572711721</v>
      </c>
      <c r="O141" s="103">
        <f t="shared" si="17"/>
        <v>2.8506425377547929E-2</v>
      </c>
      <c r="P141" s="13">
        <f t="shared" si="18"/>
        <v>2.8506425377547929E-2</v>
      </c>
      <c r="Q141" s="347"/>
      <c r="R141" s="13"/>
    </row>
    <row r="142" spans="1:20" x14ac:dyDescent="0.25">
      <c r="A142" s="169">
        <f t="shared" si="19"/>
        <v>41882</v>
      </c>
      <c r="B142" s="172">
        <v>48878136.899999999</v>
      </c>
      <c r="C142" s="230">
        <f>+'Weather Analysis '!U15</f>
        <v>63.4</v>
      </c>
      <c r="D142" s="230">
        <f>+'Weather Analysis '!U35</f>
        <v>13.5</v>
      </c>
      <c r="E142" s="171">
        <v>0</v>
      </c>
      <c r="F142" s="171">
        <v>31</v>
      </c>
      <c r="G142" s="296">
        <f>'CDM Activity'!H124</f>
        <v>1664719.033852441</v>
      </c>
      <c r="H142" s="296">
        <v>33400</v>
      </c>
      <c r="I142" s="298">
        <v>148.56879599624133</v>
      </c>
      <c r="J142" s="171">
        <v>320</v>
      </c>
      <c r="K142" s="171">
        <v>210.7</v>
      </c>
      <c r="L142" s="300">
        <v>17.5</v>
      </c>
      <c r="M142" s="296">
        <f t="shared" si="13"/>
        <v>48846855.434433445</v>
      </c>
      <c r="N142" s="50">
        <f t="shared" si="16"/>
        <v>-31281.465566553175</v>
      </c>
      <c r="O142" s="103">
        <f t="shared" si="17"/>
        <v>-6.399889101860013E-4</v>
      </c>
      <c r="P142" s="13">
        <f t="shared" si="18"/>
        <v>6.399889101860013E-4</v>
      </c>
      <c r="Q142" s="347"/>
      <c r="R142" s="13"/>
    </row>
    <row r="143" spans="1:20" x14ac:dyDescent="0.25">
      <c r="A143" s="169">
        <f t="shared" si="19"/>
        <v>41912</v>
      </c>
      <c r="B143" s="172">
        <v>47959876.32</v>
      </c>
      <c r="C143" s="230">
        <f>+'Weather Analysis '!U16</f>
        <v>158.19999999999999</v>
      </c>
      <c r="D143" s="230">
        <f>+'Weather Analysis '!U36</f>
        <v>1.4</v>
      </c>
      <c r="E143" s="171">
        <v>1</v>
      </c>
      <c r="F143" s="171">
        <v>30</v>
      </c>
      <c r="G143" s="296">
        <f>'CDM Activity'!H125</f>
        <v>1713228.5400357228</v>
      </c>
      <c r="H143" s="296">
        <v>33400</v>
      </c>
      <c r="I143" s="298">
        <v>148.80200595479118</v>
      </c>
      <c r="J143" s="171">
        <v>336</v>
      </c>
      <c r="K143" s="171"/>
      <c r="L143" s="300">
        <v>0</v>
      </c>
      <c r="M143" s="296">
        <f t="shared" si="13"/>
        <v>46691253.544190377</v>
      </c>
      <c r="N143" s="50">
        <f t="shared" si="16"/>
        <v>-1268622.7758096233</v>
      </c>
      <c r="O143" s="103">
        <f t="shared" si="17"/>
        <v>-2.6451752447088531E-2</v>
      </c>
      <c r="P143" s="13">
        <f t="shared" si="18"/>
        <v>2.6451752447088531E-2</v>
      </c>
      <c r="Q143" s="347"/>
      <c r="R143" s="13"/>
    </row>
    <row r="144" spans="1:20" x14ac:dyDescent="0.25">
      <c r="A144" s="169">
        <f t="shared" si="19"/>
        <v>41943</v>
      </c>
      <c r="B144" s="172">
        <v>54613898.210000001</v>
      </c>
      <c r="C144" s="230">
        <f>+'Weather Analysis '!U17</f>
        <v>341</v>
      </c>
      <c r="D144" s="230">
        <f>+'Weather Analysis '!U37</f>
        <v>0</v>
      </c>
      <c r="E144" s="171">
        <v>1</v>
      </c>
      <c r="F144" s="171">
        <v>31</v>
      </c>
      <c r="G144" s="296">
        <f>'CDM Activity'!H126</f>
        <v>1761738.0462190046</v>
      </c>
      <c r="H144" s="296">
        <v>33513</v>
      </c>
      <c r="I144" s="298">
        <v>149.0355819853981</v>
      </c>
      <c r="J144" s="171">
        <v>352</v>
      </c>
      <c r="K144" s="171"/>
      <c r="L144" s="300">
        <v>0</v>
      </c>
      <c r="M144" s="296">
        <f t="shared" ref="M144:M182" si="20">+$T$43+C144*$T$44+D144*$T$45+E144*$T$46+F144*$T$47+G144*$T$48+ H144*$T$49</f>
        <v>55622426.762950897</v>
      </c>
      <c r="N144" s="50">
        <f t="shared" si="16"/>
        <v>1008528.5529508963</v>
      </c>
      <c r="O144" s="103">
        <f t="shared" si="17"/>
        <v>1.8466518340678181E-2</v>
      </c>
      <c r="P144" s="13">
        <f t="shared" si="18"/>
        <v>1.8466518340678181E-2</v>
      </c>
      <c r="Q144" s="347"/>
      <c r="R144" s="13"/>
    </row>
    <row r="145" spans="1:18" x14ac:dyDescent="0.25">
      <c r="A145" s="169">
        <f t="shared" si="19"/>
        <v>41973</v>
      </c>
      <c r="B145" s="172">
        <v>64852403.060000002</v>
      </c>
      <c r="C145" s="230">
        <f>+'Weather Analysis '!U18</f>
        <v>616.1</v>
      </c>
      <c r="D145" s="230">
        <f>+'Weather Analysis '!U38</f>
        <v>0</v>
      </c>
      <c r="E145" s="171">
        <v>1</v>
      </c>
      <c r="F145" s="171">
        <v>30</v>
      </c>
      <c r="G145" s="296">
        <f>'CDM Activity'!H127</f>
        <v>1810247.5524022863</v>
      </c>
      <c r="H145" s="296">
        <v>33513</v>
      </c>
      <c r="I145" s="298">
        <v>149.26952466268912</v>
      </c>
      <c r="J145" s="171">
        <v>304</v>
      </c>
      <c r="K145" s="171"/>
      <c r="L145" s="300">
        <v>0</v>
      </c>
      <c r="M145" s="296">
        <f t="shared" si="20"/>
        <v>64447063.596135497</v>
      </c>
      <c r="N145" s="50">
        <f t="shared" si="16"/>
        <v>-405339.46386450529</v>
      </c>
      <c r="O145" s="103">
        <f t="shared" si="17"/>
        <v>-6.2501841834526044E-3</v>
      </c>
      <c r="P145" s="13">
        <f t="shared" si="18"/>
        <v>6.2501841834526044E-3</v>
      </c>
      <c r="Q145" s="347"/>
      <c r="R145" s="13"/>
    </row>
    <row r="146" spans="1:18" x14ac:dyDescent="0.25">
      <c r="A146" s="169">
        <f t="shared" si="19"/>
        <v>42004</v>
      </c>
      <c r="B146" s="172">
        <v>71265383.040000007</v>
      </c>
      <c r="C146" s="230">
        <f>+'Weather Analysis '!U19</f>
        <v>691.4</v>
      </c>
      <c r="D146" s="230">
        <f>+'Weather Analysis '!U39</f>
        <v>0</v>
      </c>
      <c r="E146" s="171">
        <v>0</v>
      </c>
      <c r="F146" s="171">
        <v>31</v>
      </c>
      <c r="G146" s="296">
        <f>'CDM Activity'!H128</f>
        <v>1858757.0585855681</v>
      </c>
      <c r="H146" s="296">
        <v>33513</v>
      </c>
      <c r="I146" s="298">
        <v>149.5038345621933</v>
      </c>
      <c r="J146" s="171">
        <v>336</v>
      </c>
      <c r="K146" s="171"/>
      <c r="L146" s="300">
        <v>0</v>
      </c>
      <c r="M146" s="296">
        <f t="shared" si="20"/>
        <v>71963902.552546978</v>
      </c>
      <c r="N146" s="50">
        <f t="shared" si="16"/>
        <v>698519.51254697144</v>
      </c>
      <c r="O146" s="103">
        <f t="shared" si="17"/>
        <v>9.8016664297574142E-3</v>
      </c>
      <c r="P146" s="13">
        <f t="shared" si="18"/>
        <v>9.8016664297574142E-3</v>
      </c>
      <c r="Q146" s="347"/>
      <c r="R146" s="13"/>
    </row>
    <row r="147" spans="1:18" x14ac:dyDescent="0.25">
      <c r="A147" s="202">
        <f>EOMONTH(A146,1)</f>
        <v>42035</v>
      </c>
      <c r="B147" s="172">
        <v>79807046.409999996</v>
      </c>
      <c r="C147" s="231">
        <f>+'Weather Analysis '!V8</f>
        <v>923.4</v>
      </c>
      <c r="D147" s="231">
        <f>+'Weather Analysis '!V28</f>
        <v>0</v>
      </c>
      <c r="E147" s="171">
        <v>0</v>
      </c>
      <c r="F147" s="171">
        <v>31</v>
      </c>
      <c r="G147" s="296">
        <f>'CDM Activity'!H129</f>
        <v>1849184.669818654</v>
      </c>
      <c r="H147" s="296">
        <v>33539</v>
      </c>
      <c r="I147" s="298">
        <v>149.79960271328571</v>
      </c>
      <c r="J147" s="171">
        <v>336</v>
      </c>
      <c r="K147" s="171"/>
      <c r="L147" s="302">
        <v>0</v>
      </c>
      <c r="M147" s="296">
        <f t="shared" si="20"/>
        <v>81144263.459255517</v>
      </c>
      <c r="N147" s="50">
        <f t="shared" si="16"/>
        <v>1337217.0492555201</v>
      </c>
      <c r="O147" s="103">
        <f t="shared" si="17"/>
        <v>1.6755626343890904E-2</v>
      </c>
      <c r="P147" s="13">
        <f t="shared" si="18"/>
        <v>1.6755626343890904E-2</v>
      </c>
      <c r="Q147" s="347"/>
      <c r="R147" s="13"/>
    </row>
    <row r="148" spans="1:18" x14ac:dyDescent="0.25">
      <c r="A148" s="202">
        <f t="shared" si="19"/>
        <v>42063</v>
      </c>
      <c r="B148" s="172">
        <v>75728989.640000001</v>
      </c>
      <c r="C148" s="231">
        <f>+'Weather Analysis '!V9</f>
        <v>1015.2</v>
      </c>
      <c r="D148" s="231">
        <f>+'Weather Analysis '!V29</f>
        <v>0</v>
      </c>
      <c r="E148" s="171">
        <v>0</v>
      </c>
      <c r="F148" s="171">
        <v>28</v>
      </c>
      <c r="G148" s="296">
        <f>'CDM Activity'!H130</f>
        <v>1839612.2810517398</v>
      </c>
      <c r="H148" s="296">
        <v>33539</v>
      </c>
      <c r="I148" s="298">
        <v>150.09595599183959</v>
      </c>
      <c r="J148" s="171">
        <v>304</v>
      </c>
      <c r="K148" s="171"/>
      <c r="L148" s="302"/>
      <c r="M148" s="296">
        <f t="shared" si="20"/>
        <v>79379835.452591166</v>
      </c>
      <c r="N148" s="50">
        <f t="shared" si="16"/>
        <v>3650845.8125911653</v>
      </c>
      <c r="O148" s="103">
        <f t="shared" si="17"/>
        <v>4.8209355887970158E-2</v>
      </c>
      <c r="P148" s="13">
        <f t="shared" si="18"/>
        <v>4.8209355887970158E-2</v>
      </c>
      <c r="Q148" s="347"/>
      <c r="R148" s="13"/>
    </row>
    <row r="149" spans="1:18" x14ac:dyDescent="0.25">
      <c r="A149" s="202">
        <f t="shared" si="19"/>
        <v>42094</v>
      </c>
      <c r="B149" s="172">
        <v>70753090.569999993</v>
      </c>
      <c r="C149" s="231">
        <f>+'Weather Analysis '!V10</f>
        <v>786.6</v>
      </c>
      <c r="D149" s="231">
        <f>+'Weather Analysis '!V30</f>
        <v>0</v>
      </c>
      <c r="E149" s="171">
        <v>1</v>
      </c>
      <c r="F149" s="171">
        <v>31</v>
      </c>
      <c r="G149" s="296">
        <f>'CDM Activity'!H131</f>
        <v>1830039.8922848257</v>
      </c>
      <c r="H149" s="296">
        <v>33539</v>
      </c>
      <c r="I149" s="298">
        <v>150.39289555543107</v>
      </c>
      <c r="J149" s="171">
        <v>352</v>
      </c>
      <c r="K149" s="171"/>
      <c r="L149" s="302"/>
      <c r="M149" s="296">
        <f t="shared" si="20"/>
        <v>72918274.616380319</v>
      </c>
      <c r="N149" s="50">
        <f t="shared" si="16"/>
        <v>2165184.0463803262</v>
      </c>
      <c r="O149" s="103">
        <f t="shared" si="17"/>
        <v>3.0601971291108313E-2</v>
      </c>
      <c r="P149" s="13">
        <f t="shared" si="18"/>
        <v>3.0601971291108313E-2</v>
      </c>
      <c r="Q149" s="347"/>
      <c r="R149" s="13"/>
    </row>
    <row r="150" spans="1:18" x14ac:dyDescent="0.25">
      <c r="A150" s="202">
        <f t="shared" si="19"/>
        <v>42124</v>
      </c>
      <c r="B150" s="172">
        <v>57109491.909999996</v>
      </c>
      <c r="C150" s="231">
        <f>+'Weather Analysis '!V11</f>
        <v>474.4</v>
      </c>
      <c r="D150" s="231">
        <f>+'Weather Analysis '!V31</f>
        <v>0</v>
      </c>
      <c r="E150" s="171">
        <v>1</v>
      </c>
      <c r="F150" s="171">
        <v>30</v>
      </c>
      <c r="G150" s="296">
        <f>'CDM Activity'!H132</f>
        <v>1820467.5035179115</v>
      </c>
      <c r="H150" s="296">
        <v>33261</v>
      </c>
      <c r="I150" s="298">
        <v>150.69042256392635</v>
      </c>
      <c r="J150" s="171">
        <v>336</v>
      </c>
      <c r="K150" s="171"/>
      <c r="L150" s="302"/>
      <c r="M150" s="296">
        <f t="shared" si="20"/>
        <v>58319232.880940333</v>
      </c>
      <c r="N150" s="50">
        <f t="shared" si="16"/>
        <v>1209740.9709403366</v>
      </c>
      <c r="O150" s="103">
        <f t="shared" si="17"/>
        <v>2.1182835470621799E-2</v>
      </c>
      <c r="P150" s="13">
        <f t="shared" si="18"/>
        <v>2.1182835470621799E-2</v>
      </c>
      <c r="Q150" s="347"/>
      <c r="R150" s="13"/>
    </row>
    <row r="151" spans="1:18" x14ac:dyDescent="0.25">
      <c r="A151" s="202">
        <f t="shared" si="19"/>
        <v>42155</v>
      </c>
      <c r="B151" s="172">
        <v>49113111.240000002</v>
      </c>
      <c r="C151" s="231">
        <f>+'Weather Analysis '!V12</f>
        <v>242.9</v>
      </c>
      <c r="D151" s="231">
        <f>+'Weather Analysis '!V32</f>
        <v>1.1000000000000001</v>
      </c>
      <c r="E151" s="171">
        <v>1</v>
      </c>
      <c r="F151" s="171">
        <v>31</v>
      </c>
      <c r="G151" s="296">
        <f>'CDM Activity'!H133</f>
        <v>1810895.1147509974</v>
      </c>
      <c r="H151" s="296">
        <v>33261</v>
      </c>
      <c r="I151" s="298">
        <v>150.9885381794862</v>
      </c>
      <c r="J151" s="171">
        <v>320</v>
      </c>
      <c r="K151" s="171"/>
      <c r="L151" s="302"/>
      <c r="M151" s="296">
        <f t="shared" si="20"/>
        <v>51164915.493220121</v>
      </c>
      <c r="N151" s="50">
        <f t="shared" si="16"/>
        <v>2051804.2532201186</v>
      </c>
      <c r="O151" s="103">
        <f t="shared" si="17"/>
        <v>4.1777118195457222E-2</v>
      </c>
      <c r="P151" s="13">
        <f t="shared" si="18"/>
        <v>4.1777118195457222E-2</v>
      </c>
      <c r="Q151" s="347"/>
      <c r="R151" s="13"/>
    </row>
    <row r="152" spans="1:18" x14ac:dyDescent="0.25">
      <c r="A152" s="202">
        <f t="shared" si="19"/>
        <v>42185</v>
      </c>
      <c r="B152" s="172">
        <v>46018521.689999998</v>
      </c>
      <c r="C152" s="231">
        <f>+'Weather Analysis '!V13</f>
        <v>141.80000000000001</v>
      </c>
      <c r="D152" s="231">
        <f>+'Weather Analysis '!V33</f>
        <v>0.4</v>
      </c>
      <c r="E152" s="171">
        <v>0</v>
      </c>
      <c r="F152" s="171">
        <v>30</v>
      </c>
      <c r="G152" s="296">
        <f>'CDM Activity'!H134</f>
        <v>1801322.7259840833</v>
      </c>
      <c r="H152" s="296">
        <v>33261</v>
      </c>
      <c r="I152" s="298">
        <v>151.28724356657051</v>
      </c>
      <c r="J152" s="171">
        <v>352</v>
      </c>
      <c r="K152" s="171"/>
      <c r="L152" s="302"/>
      <c r="M152" s="296">
        <f t="shared" si="20"/>
        <v>48306074.652711302</v>
      </c>
      <c r="N152" s="50">
        <f t="shared" si="16"/>
        <v>2287552.9627113044</v>
      </c>
      <c r="O152" s="103">
        <f t="shared" si="17"/>
        <v>4.9709396971098239E-2</v>
      </c>
      <c r="P152" s="13">
        <f t="shared" si="18"/>
        <v>4.9709396971098239E-2</v>
      </c>
      <c r="Q152" s="347"/>
      <c r="R152" s="13"/>
    </row>
    <row r="153" spans="1:18" x14ac:dyDescent="0.25">
      <c r="A153" s="202">
        <f t="shared" si="19"/>
        <v>42216</v>
      </c>
      <c r="B153" s="172">
        <v>50056825.770000003</v>
      </c>
      <c r="C153" s="231">
        <f>+'Weather Analysis '!V14</f>
        <v>52.6</v>
      </c>
      <c r="D153" s="231">
        <f>+'Weather Analysis '!V34</f>
        <v>29.2</v>
      </c>
      <c r="E153" s="171">
        <v>0</v>
      </c>
      <c r="F153" s="171">
        <v>31</v>
      </c>
      <c r="G153" s="296">
        <f>'CDM Activity'!H135</f>
        <v>1791750.3372171691</v>
      </c>
      <c r="H153" s="296">
        <v>33371</v>
      </c>
      <c r="I153" s="298">
        <v>151.58653989194292</v>
      </c>
      <c r="J153" s="171">
        <v>352</v>
      </c>
      <c r="K153" s="171"/>
      <c r="L153" s="302"/>
      <c r="M153" s="296">
        <f t="shared" si="20"/>
        <v>49222764.98354739</v>
      </c>
      <c r="N153" s="50">
        <f t="shared" si="16"/>
        <v>-834060.78645261377</v>
      </c>
      <c r="O153" s="103">
        <f t="shared" si="17"/>
        <v>-1.6662278792605383E-2</v>
      </c>
      <c r="P153" s="13">
        <f t="shared" si="18"/>
        <v>1.6662278792605383E-2</v>
      </c>
      <c r="Q153" s="347"/>
      <c r="R153" s="13"/>
    </row>
    <row r="154" spans="1:18" x14ac:dyDescent="0.25">
      <c r="A154" s="202">
        <f t="shared" si="19"/>
        <v>42247</v>
      </c>
      <c r="B154" s="172">
        <v>49818189.549999997</v>
      </c>
      <c r="C154" s="231">
        <f>+'Weather Analysis '!V15</f>
        <v>37.5</v>
      </c>
      <c r="D154" s="231">
        <f>+'Weather Analysis '!V35</f>
        <v>35.6</v>
      </c>
      <c r="E154" s="171">
        <v>0</v>
      </c>
      <c r="F154" s="171">
        <v>31</v>
      </c>
      <c r="G154" s="296">
        <f>'CDM Activity'!H136</f>
        <v>1782177.948450255</v>
      </c>
      <c r="H154" s="296">
        <v>33371</v>
      </c>
      <c r="I154" s="298">
        <v>151.88642832467528</v>
      </c>
      <c r="J154" s="171">
        <v>320</v>
      </c>
      <c r="K154" s="171"/>
      <c r="L154" s="302"/>
      <c r="M154" s="296">
        <f t="shared" si="20"/>
        <v>49184105.798129797</v>
      </c>
      <c r="N154" s="50">
        <f t="shared" si="16"/>
        <v>-634083.75187020004</v>
      </c>
      <c r="O154" s="103">
        <f t="shared" si="17"/>
        <v>-1.2727956547553826E-2</v>
      </c>
      <c r="P154" s="13">
        <f t="shared" si="18"/>
        <v>1.2727956547553826E-2</v>
      </c>
      <c r="Q154" s="347"/>
      <c r="R154" s="13"/>
    </row>
    <row r="155" spans="1:18" x14ac:dyDescent="0.25">
      <c r="A155" s="202">
        <f t="shared" si="19"/>
        <v>42277</v>
      </c>
      <c r="B155" s="172">
        <v>48683583.240000002</v>
      </c>
      <c r="C155" s="231">
        <f>+'Weather Analysis '!V16</f>
        <v>75.5</v>
      </c>
      <c r="D155" s="231">
        <f>+'Weather Analysis '!V36</f>
        <v>31.4</v>
      </c>
      <c r="E155" s="171">
        <v>1</v>
      </c>
      <c r="F155" s="171">
        <v>30</v>
      </c>
      <c r="G155" s="296">
        <f>'CDM Activity'!H137</f>
        <v>1772605.5596833408</v>
      </c>
      <c r="H155" s="296">
        <v>33371</v>
      </c>
      <c r="I155" s="298">
        <v>152.18691003615226</v>
      </c>
      <c r="J155" s="171">
        <v>336</v>
      </c>
      <c r="K155" s="171"/>
      <c r="L155" s="302"/>
      <c r="M155" s="296">
        <f t="shared" si="20"/>
        <v>45637437.429308951</v>
      </c>
      <c r="N155" s="50">
        <f t="shared" si="16"/>
        <v>-3046145.8106910512</v>
      </c>
      <c r="O155" s="103">
        <f t="shared" si="17"/>
        <v>-6.2570287722540516E-2</v>
      </c>
      <c r="P155" s="13">
        <f t="shared" si="18"/>
        <v>6.2570287722540516E-2</v>
      </c>
      <c r="Q155" s="347"/>
      <c r="R155" s="13"/>
    </row>
    <row r="156" spans="1:18" x14ac:dyDescent="0.25">
      <c r="A156" s="202">
        <f t="shared" si="19"/>
        <v>42308</v>
      </c>
      <c r="B156" s="172">
        <v>52100032.990000002</v>
      </c>
      <c r="C156" s="231">
        <f>+'Weather Analysis '!V17</f>
        <v>331.2</v>
      </c>
      <c r="D156" s="231">
        <f>+'Weather Analysis '!V37</f>
        <v>0</v>
      </c>
      <c r="E156" s="171">
        <v>1</v>
      </c>
      <c r="F156" s="171">
        <v>31</v>
      </c>
      <c r="G156" s="296">
        <f>'CDM Activity'!H138</f>
        <v>1763033.1709164267</v>
      </c>
      <c r="H156" s="296">
        <v>33411</v>
      </c>
      <c r="I156" s="298">
        <v>152.48798620007588</v>
      </c>
      <c r="J156" s="171">
        <v>336</v>
      </c>
      <c r="K156" s="171"/>
      <c r="L156" s="302"/>
      <c r="M156" s="296">
        <f t="shared" si="20"/>
        <v>55015349.468365788</v>
      </c>
      <c r="N156" s="50">
        <f t="shared" si="16"/>
        <v>2915316.4783657864</v>
      </c>
      <c r="O156" s="103">
        <f t="shared" si="17"/>
        <v>5.5956134978366476E-2</v>
      </c>
      <c r="P156" s="13">
        <f t="shared" si="18"/>
        <v>5.5956134978366476E-2</v>
      </c>
      <c r="Q156" s="347"/>
      <c r="R156" s="13"/>
    </row>
    <row r="157" spans="1:18" x14ac:dyDescent="0.25">
      <c r="A157" s="202">
        <f t="shared" si="19"/>
        <v>42338</v>
      </c>
      <c r="B157" s="172">
        <v>55680534.289999999</v>
      </c>
      <c r="C157" s="231">
        <f>+'Weather Analysis '!V18</f>
        <v>413</v>
      </c>
      <c r="D157" s="231">
        <f>+'Weather Analysis '!V38</f>
        <v>0</v>
      </c>
      <c r="E157" s="171">
        <v>1</v>
      </c>
      <c r="F157" s="171">
        <v>30</v>
      </c>
      <c r="G157" s="296">
        <f>'CDM Activity'!H139</f>
        <v>1753460.7821495126</v>
      </c>
      <c r="H157" s="296">
        <v>33411</v>
      </c>
      <c r="I157" s="298">
        <v>152.78965799247018</v>
      </c>
      <c r="J157" s="171">
        <v>320</v>
      </c>
      <c r="K157" s="171"/>
      <c r="L157" s="302"/>
      <c r="M157" s="296">
        <f t="shared" si="20"/>
        <v>56454971.63206026</v>
      </c>
      <c r="N157" s="50">
        <f t="shared" si="16"/>
        <v>774437.34206026047</v>
      </c>
      <c r="O157" s="103">
        <f t="shared" si="17"/>
        <v>1.3908583168882169E-2</v>
      </c>
      <c r="P157" s="13">
        <f t="shared" si="18"/>
        <v>1.3908583168882169E-2</v>
      </c>
      <c r="Q157" s="347"/>
      <c r="R157" s="13"/>
    </row>
    <row r="158" spans="1:18" x14ac:dyDescent="0.25">
      <c r="A158" s="202">
        <f t="shared" si="19"/>
        <v>42369</v>
      </c>
      <c r="B158" s="172">
        <v>63647959.810000002</v>
      </c>
      <c r="C158" s="231">
        <f>+'Weather Analysis '!V19</f>
        <v>541.20000000000005</v>
      </c>
      <c r="D158" s="231">
        <f>+'Weather Analysis '!V39</f>
        <v>0</v>
      </c>
      <c r="E158" s="171">
        <v>0</v>
      </c>
      <c r="F158" s="171">
        <v>31</v>
      </c>
      <c r="G158" s="296">
        <f>'CDM Activity'!H140</f>
        <v>1743888.3933825984</v>
      </c>
      <c r="H158" s="296">
        <v>33411</v>
      </c>
      <c r="I158" s="298">
        <v>153.09192659168593</v>
      </c>
      <c r="J158" s="171">
        <v>352</v>
      </c>
      <c r="K158" s="171"/>
      <c r="L158" s="302"/>
      <c r="M158" s="296">
        <f t="shared" si="20"/>
        <v>66236447.205248326</v>
      </c>
      <c r="N158" s="50">
        <f t="shared" si="16"/>
        <v>2588487.3952483237</v>
      </c>
      <c r="O158" s="103">
        <f t="shared" si="17"/>
        <v>4.0668819597287943E-2</v>
      </c>
      <c r="P158" s="13">
        <f t="shared" si="18"/>
        <v>4.0668819597287943E-2</v>
      </c>
      <c r="Q158" s="347"/>
      <c r="R158" s="13"/>
    </row>
    <row r="159" spans="1:18" x14ac:dyDescent="0.25">
      <c r="A159" s="202">
        <f t="shared" si="19"/>
        <v>42400</v>
      </c>
      <c r="B159" s="172">
        <v>71224982.780000001</v>
      </c>
      <c r="C159" s="231">
        <v>794.2</v>
      </c>
      <c r="D159" s="231">
        <v>0</v>
      </c>
      <c r="E159" s="171">
        <v>0</v>
      </c>
      <c r="F159" s="171">
        <v>31</v>
      </c>
      <c r="G159" s="296">
        <f>'CDM Activity'!H141</f>
        <v>1841310.7471193657</v>
      </c>
      <c r="H159" s="296">
        <v>33412</v>
      </c>
      <c r="I159" s="298">
        <v>153.40727089469959</v>
      </c>
      <c r="J159" s="171">
        <v>320</v>
      </c>
      <c r="K159" s="171"/>
      <c r="L159" s="302"/>
      <c r="M159" s="296">
        <f t="shared" si="20"/>
        <v>75833967.072392091</v>
      </c>
      <c r="N159" s="50">
        <f t="shared" si="16"/>
        <v>4608984.29239209</v>
      </c>
      <c r="O159" s="103">
        <f t="shared" si="17"/>
        <v>6.4710219820316953E-2</v>
      </c>
      <c r="P159" s="13">
        <f t="shared" si="18"/>
        <v>6.4710219820316953E-2</v>
      </c>
      <c r="Q159" s="347"/>
    </row>
    <row r="160" spans="1:18" x14ac:dyDescent="0.25">
      <c r="A160" s="202">
        <f t="shared" si="19"/>
        <v>42429</v>
      </c>
      <c r="B160" s="172">
        <v>65961523.409999996</v>
      </c>
      <c r="C160" s="231">
        <v>731.2</v>
      </c>
      <c r="D160" s="231">
        <v>0</v>
      </c>
      <c r="E160" s="171">
        <v>0</v>
      </c>
      <c r="F160" s="171">
        <v>29</v>
      </c>
      <c r="G160" s="296">
        <f>'CDM Activity'!H142</f>
        <v>1938733.100856133</v>
      </c>
      <c r="H160" s="296">
        <v>33412</v>
      </c>
      <c r="I160" s="298">
        <v>153.72326475534609</v>
      </c>
      <c r="J160" s="171">
        <v>320</v>
      </c>
      <c r="K160" s="171"/>
      <c r="L160" s="302"/>
      <c r="M160" s="296">
        <f t="shared" si="20"/>
        <v>69447931.406850129</v>
      </c>
      <c r="N160" s="50">
        <f t="shared" si="16"/>
        <v>3486407.9968501329</v>
      </c>
      <c r="O160" s="103">
        <f t="shared" si="17"/>
        <v>5.2855177027666726E-2</v>
      </c>
      <c r="P160" s="13">
        <f t="shared" si="18"/>
        <v>5.2855177027666726E-2</v>
      </c>
      <c r="Q160" s="347"/>
    </row>
    <row r="161" spans="1:18" x14ac:dyDescent="0.25">
      <c r="A161" s="202">
        <f t="shared" si="19"/>
        <v>42460</v>
      </c>
      <c r="B161" s="172">
        <v>61438716.170000002</v>
      </c>
      <c r="C161" s="231">
        <v>588.79999999999995</v>
      </c>
      <c r="D161" s="231">
        <v>0</v>
      </c>
      <c r="E161" s="171">
        <v>1</v>
      </c>
      <c r="F161" s="171">
        <v>31</v>
      </c>
      <c r="G161" s="296">
        <f>'CDM Activity'!H143</f>
        <v>2036155.4545929004</v>
      </c>
      <c r="H161" s="296">
        <v>33412</v>
      </c>
      <c r="I161" s="298">
        <v>154.03990951160779</v>
      </c>
      <c r="J161" s="171">
        <v>352</v>
      </c>
      <c r="K161" s="171"/>
      <c r="L161" s="302"/>
      <c r="M161" s="296">
        <f t="shared" si="20"/>
        <v>64214609.764666893</v>
      </c>
      <c r="N161" s="50">
        <f t="shared" si="16"/>
        <v>2775893.5946668908</v>
      </c>
      <c r="O161" s="103">
        <f t="shared" si="17"/>
        <v>4.5181503906853049E-2</v>
      </c>
      <c r="P161" s="13">
        <f t="shared" si="18"/>
        <v>4.5181503906853049E-2</v>
      </c>
      <c r="Q161" s="347"/>
    </row>
    <row r="162" spans="1:18" x14ac:dyDescent="0.25">
      <c r="A162" s="202">
        <f t="shared" si="19"/>
        <v>42490</v>
      </c>
      <c r="B162" s="172">
        <v>55510527.649999999</v>
      </c>
      <c r="C162" s="231">
        <v>499.7</v>
      </c>
      <c r="D162" s="231">
        <v>0</v>
      </c>
      <c r="E162" s="171">
        <v>1</v>
      </c>
      <c r="F162" s="171">
        <v>30</v>
      </c>
      <c r="G162" s="296">
        <f>'CDM Activity'!H144</f>
        <v>2133577.8083296674</v>
      </c>
      <c r="H162" s="296">
        <v>33360</v>
      </c>
      <c r="I162" s="298">
        <v>154.35720650422309</v>
      </c>
      <c r="J162" s="171">
        <v>336</v>
      </c>
      <c r="K162" s="171"/>
      <c r="L162" s="302"/>
      <c r="M162" s="296">
        <f t="shared" si="20"/>
        <v>58492100.045389548</v>
      </c>
      <c r="N162" s="50">
        <f t="shared" si="16"/>
        <v>2981572.3953895494</v>
      </c>
      <c r="O162" s="103">
        <f t="shared" si="17"/>
        <v>5.3711836684181648E-2</v>
      </c>
      <c r="P162" s="13">
        <f t="shared" si="18"/>
        <v>5.3711836684181648E-2</v>
      </c>
      <c r="Q162" s="347"/>
    </row>
    <row r="163" spans="1:18" x14ac:dyDescent="0.25">
      <c r="A163" s="202">
        <f t="shared" ref="A163:A194" si="21">EOMONTH(A162,1)</f>
        <v>42521</v>
      </c>
      <c r="B163" s="172">
        <v>47972677.969999999</v>
      </c>
      <c r="C163" s="231">
        <v>241.2</v>
      </c>
      <c r="D163" s="231">
        <v>3.5</v>
      </c>
      <c r="E163" s="171">
        <v>1</v>
      </c>
      <c r="F163" s="171">
        <v>31</v>
      </c>
      <c r="G163" s="296">
        <f>'CDM Activity'!H145</f>
        <v>2231000.1620664345</v>
      </c>
      <c r="H163" s="296">
        <v>33360</v>
      </c>
      <c r="I163" s="298">
        <v>154.6751570766921</v>
      </c>
      <c r="J163" s="171">
        <v>336</v>
      </c>
      <c r="K163" s="171"/>
      <c r="L163" s="302"/>
      <c r="M163" s="296">
        <f t="shared" si="20"/>
        <v>50122837.947164528</v>
      </c>
      <c r="N163" s="50">
        <f t="shared" ref="N163:N170" si="22">M163-B163</f>
        <v>2150159.9771645293</v>
      </c>
      <c r="O163" s="103">
        <f t="shared" ref="O163:O170" si="23">N163/B163</f>
        <v>4.4820511761072518E-2</v>
      </c>
      <c r="P163" s="13">
        <f t="shared" si="18"/>
        <v>4.4820511761072518E-2</v>
      </c>
      <c r="Q163" s="347"/>
    </row>
    <row r="164" spans="1:18" x14ac:dyDescent="0.25">
      <c r="A164" s="202">
        <f t="shared" si="21"/>
        <v>42551</v>
      </c>
      <c r="B164" s="172">
        <v>46020697.049999997</v>
      </c>
      <c r="C164" s="231">
        <v>116.8</v>
      </c>
      <c r="D164" s="231">
        <v>8.6</v>
      </c>
      <c r="E164" s="171">
        <v>0</v>
      </c>
      <c r="F164" s="171">
        <v>30</v>
      </c>
      <c r="G164" s="296">
        <f>'CDM Activity'!H146</f>
        <v>2328422.5158032016</v>
      </c>
      <c r="H164" s="296">
        <v>33360</v>
      </c>
      <c r="I164" s="298">
        <v>154.99376257528229</v>
      </c>
      <c r="J164" s="171">
        <v>352</v>
      </c>
      <c r="K164" s="171"/>
      <c r="L164" s="302"/>
      <c r="M164" s="296">
        <f t="shared" si="20"/>
        <v>46471200.848469235</v>
      </c>
      <c r="N164" s="50">
        <f t="shared" si="22"/>
        <v>450503.79846923798</v>
      </c>
      <c r="O164" s="103">
        <f t="shared" si="23"/>
        <v>9.7891563437159639E-3</v>
      </c>
      <c r="P164" s="13">
        <f t="shared" si="18"/>
        <v>9.7891563437159639E-3</v>
      </c>
      <c r="Q164" s="347"/>
    </row>
    <row r="165" spans="1:18" x14ac:dyDescent="0.25">
      <c r="A165" s="202">
        <f t="shared" si="21"/>
        <v>42582</v>
      </c>
      <c r="B165" s="172">
        <v>50843952.109999999</v>
      </c>
      <c r="C165" s="231">
        <v>27.2</v>
      </c>
      <c r="D165" s="231">
        <v>44.2</v>
      </c>
      <c r="E165" s="171">
        <v>0</v>
      </c>
      <c r="F165" s="171">
        <v>31</v>
      </c>
      <c r="G165" s="296">
        <f>'CDM Activity'!H147</f>
        <v>2425844.8695399687</v>
      </c>
      <c r="H165" s="296">
        <v>33412</v>
      </c>
      <c r="I165" s="298">
        <v>155.31302434903424</v>
      </c>
      <c r="J165" s="171">
        <v>320</v>
      </c>
      <c r="K165" s="171"/>
      <c r="L165" s="302"/>
      <c r="M165" s="296">
        <f t="shared" si="20"/>
        <v>47449791.048648834</v>
      </c>
      <c r="N165" s="50">
        <f t="shared" si="22"/>
        <v>-3394161.0613511652</v>
      </c>
      <c r="O165" s="103">
        <f t="shared" si="23"/>
        <v>-6.6756436517915782E-2</v>
      </c>
      <c r="P165" s="13">
        <f t="shared" si="18"/>
        <v>6.6756436517915782E-2</v>
      </c>
      <c r="Q165" s="347"/>
    </row>
    <row r="166" spans="1:18" x14ac:dyDescent="0.25">
      <c r="A166" s="202">
        <f t="shared" si="21"/>
        <v>42613</v>
      </c>
      <c r="B166" s="172">
        <v>52655659.520000003</v>
      </c>
      <c r="C166" s="231">
        <v>17.100000000000001</v>
      </c>
      <c r="D166" s="231">
        <v>51.7</v>
      </c>
      <c r="E166" s="171">
        <v>0</v>
      </c>
      <c r="F166" s="171">
        <v>31</v>
      </c>
      <c r="G166" s="296">
        <f>'CDM Activity'!H148</f>
        <v>2523267.2232767357</v>
      </c>
      <c r="H166" s="296">
        <v>33412</v>
      </c>
      <c r="I166" s="298">
        <v>155.63294374976735</v>
      </c>
      <c r="J166" s="171">
        <v>352</v>
      </c>
      <c r="K166" s="171"/>
      <c r="L166" s="302"/>
      <c r="M166" s="296">
        <f t="shared" si="20"/>
        <v>47344445.442237303</v>
      </c>
      <c r="N166" s="50">
        <f t="shared" si="22"/>
        <v>-5311214.0777627006</v>
      </c>
      <c r="O166" s="103">
        <f t="shared" si="23"/>
        <v>-0.10086691774785124</v>
      </c>
      <c r="P166" s="13">
        <f t="shared" si="18"/>
        <v>0.10086691774785124</v>
      </c>
      <c r="Q166" s="347"/>
    </row>
    <row r="167" spans="1:18" x14ac:dyDescent="0.25">
      <c r="A167" s="202">
        <f t="shared" si="21"/>
        <v>42643</v>
      </c>
      <c r="B167" s="172">
        <v>47273739.93</v>
      </c>
      <c r="C167" s="231">
        <v>65.099999999999994</v>
      </c>
      <c r="D167" s="231">
        <v>12.8</v>
      </c>
      <c r="E167" s="171">
        <v>1</v>
      </c>
      <c r="F167" s="171">
        <v>30</v>
      </c>
      <c r="G167" s="296">
        <f>'CDM Activity'!H149</f>
        <v>2620689.5770135028</v>
      </c>
      <c r="H167" s="296">
        <v>33412</v>
      </c>
      <c r="I167" s="298">
        <v>155.95352213208551</v>
      </c>
      <c r="J167" s="171">
        <v>336</v>
      </c>
      <c r="K167" s="171"/>
      <c r="L167" s="302"/>
      <c r="M167" s="296">
        <f t="shared" si="20"/>
        <v>41009053.700697079</v>
      </c>
      <c r="N167" s="50">
        <f t="shared" si="22"/>
        <v>-6264686.2293029204</v>
      </c>
      <c r="O167" s="103">
        <f t="shared" si="23"/>
        <v>-0.13251936992036756</v>
      </c>
      <c r="P167" s="13">
        <f t="shared" si="18"/>
        <v>0.13251936992036756</v>
      </c>
      <c r="Q167" s="347"/>
    </row>
    <row r="168" spans="1:18" x14ac:dyDescent="0.25">
      <c r="A168" s="202">
        <f t="shared" si="21"/>
        <v>42674</v>
      </c>
      <c r="B168" s="172">
        <v>50073797.57</v>
      </c>
      <c r="C168" s="231">
        <v>277.39999999999998</v>
      </c>
      <c r="D168" s="231">
        <v>0</v>
      </c>
      <c r="E168" s="171">
        <v>1</v>
      </c>
      <c r="F168" s="171">
        <v>31</v>
      </c>
      <c r="G168" s="296">
        <f>'CDM Activity'!H150</f>
        <v>2718111.9307502699</v>
      </c>
      <c r="H168" s="296">
        <v>33513</v>
      </c>
      <c r="I168" s="298">
        <v>156.2747608533829</v>
      </c>
      <c r="J168" s="171">
        <v>320</v>
      </c>
      <c r="K168" s="171"/>
      <c r="L168" s="302"/>
      <c r="M168" s="296">
        <f t="shared" si="20"/>
        <v>49980469.161156148</v>
      </c>
      <c r="N168" s="50">
        <f t="shared" si="22"/>
        <v>-93328.40884385258</v>
      </c>
      <c r="O168" s="103">
        <f t="shared" si="23"/>
        <v>-1.8638172731633819E-3</v>
      </c>
      <c r="P168" s="13">
        <f t="shared" si="18"/>
        <v>1.8638172731633819E-3</v>
      </c>
      <c r="Q168" s="347"/>
    </row>
    <row r="169" spans="1:18" x14ac:dyDescent="0.25">
      <c r="A169" s="202">
        <f t="shared" si="21"/>
        <v>42704</v>
      </c>
      <c r="B169" s="172">
        <v>53720227.840000004</v>
      </c>
      <c r="C169" s="230">
        <v>485.62</v>
      </c>
      <c r="D169" s="230">
        <f>(D157+D145+D133+D121+D109)/5</f>
        <v>0</v>
      </c>
      <c r="E169" s="171">
        <v>1</v>
      </c>
      <c r="F169" s="171">
        <v>30</v>
      </c>
      <c r="G169" s="296">
        <f>'CDM Activity'!H151</f>
        <v>2815534.284487037</v>
      </c>
      <c r="H169" s="296">
        <v>33513</v>
      </c>
      <c r="I169" s="298">
        <v>156.59666127384969</v>
      </c>
      <c r="J169" s="171">
        <v>336</v>
      </c>
      <c r="K169" s="171"/>
      <c r="L169" s="302"/>
      <c r="M169" s="296">
        <f t="shared" si="20"/>
        <v>56022724.536490545</v>
      </c>
      <c r="N169" s="50">
        <f t="shared" si="22"/>
        <v>2302496.6964905411</v>
      </c>
      <c r="O169" s="103">
        <f t="shared" si="23"/>
        <v>4.2860888515742768E-2</v>
      </c>
      <c r="P169" s="13">
        <f t="shared" si="18"/>
        <v>4.2860888515742768E-2</v>
      </c>
      <c r="Q169" s="347"/>
    </row>
    <row r="170" spans="1:18" x14ac:dyDescent="0.25">
      <c r="A170" s="202">
        <f t="shared" si="21"/>
        <v>42735</v>
      </c>
      <c r="B170" s="172">
        <v>67261959.730000004</v>
      </c>
      <c r="C170" s="230">
        <v>640.68000000000006</v>
      </c>
      <c r="D170" s="230">
        <f>(D158+D146+D134+D122+D110)/5</f>
        <v>0</v>
      </c>
      <c r="E170" s="171">
        <v>0</v>
      </c>
      <c r="F170" s="171">
        <v>31</v>
      </c>
      <c r="G170" s="296">
        <f>'CDM Activity'!H152</f>
        <v>2912956.6382238041</v>
      </c>
      <c r="H170" s="296">
        <v>33513</v>
      </c>
      <c r="I170" s="298">
        <v>156.91922475647806</v>
      </c>
      <c r="J170" s="171">
        <v>336</v>
      </c>
      <c r="K170" s="171"/>
      <c r="L170" s="302"/>
      <c r="M170" s="296">
        <f t="shared" si="20"/>
        <v>66504642.898651138</v>
      </c>
      <c r="N170" s="50">
        <f t="shared" si="22"/>
        <v>-757316.83134886622</v>
      </c>
      <c r="O170" s="103">
        <f t="shared" si="23"/>
        <v>-1.125921448600151E-2</v>
      </c>
      <c r="P170" s="13">
        <f t="shared" si="18"/>
        <v>1.125921448600151E-2</v>
      </c>
    </row>
    <row r="171" spans="1:18" x14ac:dyDescent="0.25">
      <c r="A171" s="202">
        <f t="shared" si="21"/>
        <v>42766</v>
      </c>
      <c r="B171" s="172">
        <v>66674271</v>
      </c>
      <c r="C171" s="230">
        <f>'Weather Analysis '!X8</f>
        <v>710.9</v>
      </c>
      <c r="D171" s="230">
        <f>'Weather Analysis '!X28</f>
        <v>0</v>
      </c>
      <c r="E171" s="171">
        <v>0</v>
      </c>
      <c r="F171" s="171">
        <v>31</v>
      </c>
      <c r="G171" s="296">
        <f>'CDM Activity'!H153</f>
        <v>2926161.7132919636</v>
      </c>
      <c r="H171" s="296">
        <v>33528</v>
      </c>
      <c r="I171" s="298">
        <v>157.24245266706706</v>
      </c>
      <c r="J171" s="171">
        <v>320</v>
      </c>
      <c r="K171" s="171"/>
      <c r="L171" s="302"/>
      <c r="M171" s="296">
        <f t="shared" si="20"/>
        <v>69245551.406037629</v>
      </c>
      <c r="N171" s="50">
        <f t="shared" ref="N171:N182" si="24">M171-B171</f>
        <v>2571280.4060376287</v>
      </c>
      <c r="O171" s="103">
        <f t="shared" ref="O171:O182" si="25">N171/B171</f>
        <v>3.8564807195831635E-2</v>
      </c>
      <c r="P171" s="13">
        <f t="shared" ref="P171:P182" si="26">ABS(O171)</f>
        <v>3.8564807195831635E-2</v>
      </c>
      <c r="Q171" s="350"/>
      <c r="R171" s="174"/>
    </row>
    <row r="172" spans="1:18" x14ac:dyDescent="0.25">
      <c r="A172" s="202">
        <f t="shared" si="21"/>
        <v>42794</v>
      </c>
      <c r="B172" s="172">
        <v>59162719</v>
      </c>
      <c r="C172" s="230">
        <f>'Weather Analysis '!X9</f>
        <v>638.70000000000005</v>
      </c>
      <c r="D172" s="230">
        <f>'Weather Analysis '!X29</f>
        <v>0</v>
      </c>
      <c r="E172" s="171">
        <v>0</v>
      </c>
      <c r="F172" s="171">
        <v>28</v>
      </c>
      <c r="G172" s="296">
        <f>'CDM Activity'!H154</f>
        <v>2939366.7883601231</v>
      </c>
      <c r="H172" s="296">
        <v>33528</v>
      </c>
      <c r="I172" s="298">
        <v>157.56634637422971</v>
      </c>
      <c r="J172" s="171">
        <v>320</v>
      </c>
      <c r="K172" s="171"/>
      <c r="L172" s="302"/>
      <c r="M172" s="296">
        <f t="shared" si="20"/>
        <v>60978245.670423947</v>
      </c>
      <c r="N172" s="50">
        <f t="shared" si="24"/>
        <v>1815526.6704239473</v>
      </c>
      <c r="O172" s="103">
        <f t="shared" si="25"/>
        <v>3.0687005281551501E-2</v>
      </c>
      <c r="P172" s="13">
        <f t="shared" si="26"/>
        <v>3.0687005281551501E-2</v>
      </c>
      <c r="Q172" s="350"/>
      <c r="R172" s="174"/>
    </row>
    <row r="173" spans="1:18" x14ac:dyDescent="0.25">
      <c r="A173" s="202">
        <f t="shared" si="21"/>
        <v>42825</v>
      </c>
      <c r="B173" s="172">
        <v>63923197</v>
      </c>
      <c r="C173" s="230">
        <f>'Weather Analysis '!X10</f>
        <v>706.2</v>
      </c>
      <c r="D173" s="230">
        <f>'Weather Analysis '!X30</f>
        <v>0</v>
      </c>
      <c r="E173" s="171">
        <v>1</v>
      </c>
      <c r="F173" s="171">
        <v>31</v>
      </c>
      <c r="G173" s="296">
        <f>'CDM Activity'!H155</f>
        <v>2952571.8634282826</v>
      </c>
      <c r="H173" s="296">
        <v>33528</v>
      </c>
      <c r="I173" s="298">
        <v>157.89090724939794</v>
      </c>
      <c r="J173" s="171">
        <v>352</v>
      </c>
      <c r="K173" s="171"/>
      <c r="L173" s="302"/>
      <c r="M173" s="296">
        <f t="shared" si="20"/>
        <v>66047131.868916541</v>
      </c>
      <c r="N173" s="50">
        <f t="shared" si="24"/>
        <v>2123934.8689165413</v>
      </c>
      <c r="O173" s="103">
        <f t="shared" si="25"/>
        <v>3.3226355510919479E-2</v>
      </c>
      <c r="P173" s="13">
        <f t="shared" si="26"/>
        <v>3.3226355510919479E-2</v>
      </c>
      <c r="Q173" s="350"/>
      <c r="R173" s="174"/>
    </row>
    <row r="174" spans="1:18" x14ac:dyDescent="0.25">
      <c r="A174" s="202">
        <f t="shared" si="21"/>
        <v>42855</v>
      </c>
      <c r="B174" s="172">
        <v>51461055</v>
      </c>
      <c r="C174" s="230">
        <f>'Weather Analysis '!X11</f>
        <v>392.1</v>
      </c>
      <c r="D174" s="230">
        <f>'Weather Analysis '!X31</f>
        <v>0</v>
      </c>
      <c r="E174" s="171">
        <v>1</v>
      </c>
      <c r="F174" s="171">
        <v>30</v>
      </c>
      <c r="G174" s="296">
        <f>'CDM Activity'!H156</f>
        <v>2965776.938496442</v>
      </c>
      <c r="H174" s="296">
        <v>33482</v>
      </c>
      <c r="I174" s="298">
        <v>158.21613666682862</v>
      </c>
      <c r="J174" s="171">
        <v>336</v>
      </c>
      <c r="K174" s="171"/>
      <c r="L174" s="302"/>
      <c r="M174" s="296">
        <f t="shared" si="20"/>
        <v>51796071.373303317</v>
      </c>
      <c r="N174" s="50">
        <f t="shared" si="24"/>
        <v>335016.37330331653</v>
      </c>
      <c r="O174" s="103">
        <f t="shared" si="25"/>
        <v>6.5100953197192819E-3</v>
      </c>
      <c r="P174" s="13">
        <f t="shared" si="26"/>
        <v>6.5100953197192819E-3</v>
      </c>
      <c r="Q174" s="350"/>
      <c r="R174" s="174"/>
    </row>
    <row r="175" spans="1:18" x14ac:dyDescent="0.25">
      <c r="A175" s="202">
        <f t="shared" si="21"/>
        <v>42886</v>
      </c>
      <c r="B175" s="172">
        <v>48082511</v>
      </c>
      <c r="C175" s="230">
        <f>'Weather Analysis '!X12</f>
        <v>273.8</v>
      </c>
      <c r="D175" s="230">
        <f>'Weather Analysis '!X32</f>
        <v>0</v>
      </c>
      <c r="E175" s="171">
        <v>1</v>
      </c>
      <c r="F175" s="171">
        <v>31</v>
      </c>
      <c r="G175" s="296">
        <f>'CDM Activity'!H157</f>
        <v>2978982.0135646015</v>
      </c>
      <c r="H175" s="296">
        <v>33482</v>
      </c>
      <c r="I175" s="298">
        <v>158.54203600360935</v>
      </c>
      <c r="J175" s="171">
        <v>336</v>
      </c>
      <c r="K175" s="171"/>
      <c r="L175" s="302"/>
      <c r="M175" s="296">
        <f t="shared" si="20"/>
        <v>48913893.197856694</v>
      </c>
      <c r="N175" s="50">
        <f t="shared" si="24"/>
        <v>831382.19785669446</v>
      </c>
      <c r="O175" s="103">
        <f t="shared" si="25"/>
        <v>1.7290740033454044E-2</v>
      </c>
      <c r="P175" s="13">
        <f t="shared" si="26"/>
        <v>1.7290740033454044E-2</v>
      </c>
      <c r="Q175" s="350"/>
      <c r="R175" s="174"/>
    </row>
    <row r="176" spans="1:18" x14ac:dyDescent="0.25">
      <c r="A176" s="202">
        <f t="shared" si="21"/>
        <v>42916</v>
      </c>
      <c r="B176" s="172">
        <v>44830072</v>
      </c>
      <c r="C176" s="230">
        <f>'Weather Analysis '!X13</f>
        <v>104.1</v>
      </c>
      <c r="D176" s="230">
        <f>'Weather Analysis '!X33</f>
        <v>3.5</v>
      </c>
      <c r="E176" s="171">
        <v>0</v>
      </c>
      <c r="F176" s="171">
        <v>30</v>
      </c>
      <c r="G176" s="296">
        <f>'CDM Activity'!H158</f>
        <v>2992187.088632761</v>
      </c>
      <c r="H176" s="296">
        <v>33482</v>
      </c>
      <c r="I176" s="298">
        <v>158.86860663966431</v>
      </c>
      <c r="J176" s="171">
        <v>352</v>
      </c>
      <c r="K176" s="171"/>
      <c r="L176" s="302"/>
      <c r="M176" s="296">
        <f t="shared" si="20"/>
        <v>43633652.737850621</v>
      </c>
      <c r="N176" s="50">
        <f t="shared" si="24"/>
        <v>-1196419.2621493787</v>
      </c>
      <c r="O176" s="103">
        <f t="shared" si="25"/>
        <v>-2.6687872866886734E-2</v>
      </c>
      <c r="P176" s="13">
        <f t="shared" si="26"/>
        <v>2.6687872866886734E-2</v>
      </c>
      <c r="Q176" s="350"/>
      <c r="R176" s="174"/>
    </row>
    <row r="177" spans="1:18" x14ac:dyDescent="0.25">
      <c r="A177" s="202">
        <f t="shared" si="21"/>
        <v>42947</v>
      </c>
      <c r="B177" s="172">
        <v>48264067</v>
      </c>
      <c r="C177" s="230">
        <f>'Weather Analysis '!X14</f>
        <v>42</v>
      </c>
      <c r="D177" s="230">
        <f>'Weather Analysis '!X34</f>
        <v>13.8</v>
      </c>
      <c r="E177" s="171">
        <v>0</v>
      </c>
      <c r="F177" s="171">
        <v>31</v>
      </c>
      <c r="G177" s="296">
        <f>'CDM Activity'!H159</f>
        <v>3005392.1637009205</v>
      </c>
      <c r="H177" s="296">
        <v>33516</v>
      </c>
      <c r="I177" s="298">
        <v>159.19584995776006</v>
      </c>
      <c r="J177" s="171">
        <v>320</v>
      </c>
      <c r="K177" s="171"/>
      <c r="L177" s="302"/>
      <c r="M177" s="296">
        <f t="shared" si="20"/>
        <v>43866639.031161904</v>
      </c>
      <c r="N177" s="50">
        <f t="shared" si="24"/>
        <v>-4397427.9688380957</v>
      </c>
      <c r="O177" s="103">
        <f t="shared" si="25"/>
        <v>-9.1111840385065257E-2</v>
      </c>
      <c r="P177" s="13">
        <f t="shared" si="26"/>
        <v>9.1111840385065257E-2</v>
      </c>
      <c r="Q177" s="350"/>
      <c r="R177" s="174"/>
    </row>
    <row r="178" spans="1:18" x14ac:dyDescent="0.25">
      <c r="A178" s="202">
        <f t="shared" si="21"/>
        <v>42978</v>
      </c>
      <c r="B178" s="172">
        <v>47137204</v>
      </c>
      <c r="C178" s="230">
        <f>'Weather Analysis '!X15</f>
        <v>55.5</v>
      </c>
      <c r="D178" s="230">
        <f>'Weather Analysis '!X35</f>
        <v>9.1999999999999993</v>
      </c>
      <c r="E178" s="171">
        <v>0</v>
      </c>
      <c r="F178" s="171">
        <v>31</v>
      </c>
      <c r="G178" s="296">
        <f>'CDM Activity'!H160</f>
        <v>3018597.23876908</v>
      </c>
      <c r="H178" s="296">
        <v>33516</v>
      </c>
      <c r="I178" s="298">
        <v>159.52376734351151</v>
      </c>
      <c r="J178" s="171">
        <v>352</v>
      </c>
      <c r="K178" s="171"/>
      <c r="L178" s="302"/>
      <c r="M178" s="296">
        <f t="shared" si="20"/>
        <v>43977340.871849932</v>
      </c>
      <c r="N178" s="50">
        <f t="shared" si="24"/>
        <v>-3159863.1281500682</v>
      </c>
      <c r="O178" s="103">
        <f t="shared" si="25"/>
        <v>-6.7035438252766713E-2</v>
      </c>
      <c r="P178" s="13">
        <f t="shared" si="26"/>
        <v>6.7035438252766713E-2</v>
      </c>
      <c r="Q178" s="350"/>
      <c r="R178" s="174"/>
    </row>
    <row r="179" spans="1:18" x14ac:dyDescent="0.25">
      <c r="A179" s="202">
        <f t="shared" si="21"/>
        <v>43008</v>
      </c>
      <c r="B179" s="172">
        <v>46024413</v>
      </c>
      <c r="C179" s="230">
        <f>'Weather Analysis '!X16</f>
        <v>112.7</v>
      </c>
      <c r="D179" s="230">
        <f>'Weather Analysis '!X36</f>
        <v>33.299999999999997</v>
      </c>
      <c r="E179" s="171">
        <v>1</v>
      </c>
      <c r="F179" s="171">
        <v>30</v>
      </c>
      <c r="G179" s="296">
        <f>'CDM Activity'!H161</f>
        <v>3031802.3138372395</v>
      </c>
      <c r="H179" s="296">
        <v>33516</v>
      </c>
      <c r="I179" s="298">
        <v>159.85236018538762</v>
      </c>
      <c r="J179" s="171">
        <v>336</v>
      </c>
      <c r="K179" s="171"/>
      <c r="L179" s="302"/>
      <c r="M179" s="296">
        <f t="shared" si="20"/>
        <v>43414895.484399885</v>
      </c>
      <c r="N179" s="50">
        <f t="shared" si="24"/>
        <v>-2609517.5156001151</v>
      </c>
      <c r="O179" s="103">
        <f t="shared" si="25"/>
        <v>-5.6698550736543125E-2</v>
      </c>
      <c r="P179" s="13">
        <f t="shared" si="26"/>
        <v>5.6698550736543125E-2</v>
      </c>
      <c r="Q179" s="350"/>
      <c r="R179" s="174"/>
    </row>
    <row r="180" spans="1:18" x14ac:dyDescent="0.25">
      <c r="A180" s="202">
        <f t="shared" si="21"/>
        <v>43039</v>
      </c>
      <c r="B180" s="172">
        <v>48274780</v>
      </c>
      <c r="C180" s="230">
        <f>'Weather Analysis '!X17</f>
        <v>266.3</v>
      </c>
      <c r="D180" s="230">
        <f>'Weather Analysis '!X37</f>
        <v>1.9</v>
      </c>
      <c r="E180" s="171">
        <v>1</v>
      </c>
      <c r="F180" s="171">
        <v>31</v>
      </c>
      <c r="G180" s="296">
        <f>'CDM Activity'!H162</f>
        <v>3045007.388905399</v>
      </c>
      <c r="H180" s="296">
        <v>33605</v>
      </c>
      <c r="I180" s="298">
        <v>160.18162987471746</v>
      </c>
      <c r="J180" s="171">
        <v>320</v>
      </c>
      <c r="K180" s="171"/>
      <c r="L180" s="302"/>
      <c r="M180" s="296">
        <f t="shared" si="20"/>
        <v>48821126.211382747</v>
      </c>
      <c r="N180" s="50">
        <f t="shared" si="24"/>
        <v>546346.2113827467</v>
      </c>
      <c r="O180" s="103">
        <f t="shared" si="25"/>
        <v>1.131742519350159E-2</v>
      </c>
      <c r="P180" s="13">
        <f t="shared" si="26"/>
        <v>1.131742519350159E-2</v>
      </c>
      <c r="Q180" s="350"/>
      <c r="R180" s="174"/>
    </row>
    <row r="181" spans="1:18" x14ac:dyDescent="0.25">
      <c r="A181" s="202">
        <f t="shared" si="21"/>
        <v>43069</v>
      </c>
      <c r="B181" s="172">
        <v>58218614</v>
      </c>
      <c r="C181" s="230">
        <f>'Weather Analysis '!X18</f>
        <v>497.4</v>
      </c>
      <c r="D181" s="230">
        <f>'Weather Analysis '!X38</f>
        <v>0</v>
      </c>
      <c r="E181" s="171">
        <v>1</v>
      </c>
      <c r="F181" s="171">
        <v>30</v>
      </c>
      <c r="G181" s="296">
        <f>'CDM Activity'!H163</f>
        <v>3058212.4639735585</v>
      </c>
      <c r="H181" s="296">
        <v>33605</v>
      </c>
      <c r="I181" s="298">
        <v>160.51157780569594</v>
      </c>
      <c r="J181" s="171">
        <v>336</v>
      </c>
      <c r="K181" s="171"/>
      <c r="L181" s="302"/>
      <c r="M181" s="296">
        <f t="shared" si="20"/>
        <v>55882597.062568374</v>
      </c>
      <c r="N181" s="50">
        <f t="shared" si="24"/>
        <v>-2336016.937431626</v>
      </c>
      <c r="O181" s="103">
        <f t="shared" si="25"/>
        <v>-4.0124914987354834E-2</v>
      </c>
      <c r="P181" s="13">
        <f t="shared" si="26"/>
        <v>4.0124914987354834E-2</v>
      </c>
      <c r="Q181" s="350"/>
      <c r="R181" s="174"/>
    </row>
    <row r="182" spans="1:18" x14ac:dyDescent="0.25">
      <c r="A182" s="202">
        <f t="shared" si="21"/>
        <v>43100</v>
      </c>
      <c r="B182" s="172">
        <v>70917570</v>
      </c>
      <c r="C182" s="230">
        <f>'Weather Analysis '!X19</f>
        <v>849.9</v>
      </c>
      <c r="D182" s="230">
        <f>'Weather Analysis '!X39</f>
        <v>0</v>
      </c>
      <c r="E182" s="171">
        <v>0</v>
      </c>
      <c r="F182" s="171">
        <v>31</v>
      </c>
      <c r="G182" s="296">
        <f>'CDM Activity'!H164</f>
        <v>3071417.539041718</v>
      </c>
      <c r="H182" s="296">
        <v>33605</v>
      </c>
      <c r="I182" s="298">
        <v>160.37144770112059</v>
      </c>
      <c r="J182" s="171">
        <v>336</v>
      </c>
      <c r="K182" s="171"/>
      <c r="L182" s="302"/>
      <c r="M182" s="296">
        <f t="shared" si="20"/>
        <v>74380364.664960474</v>
      </c>
      <c r="N182" s="50">
        <f t="shared" si="24"/>
        <v>3462794.6649604738</v>
      </c>
      <c r="O182" s="103">
        <f t="shared" si="25"/>
        <v>4.8828444981412561E-2</v>
      </c>
      <c r="P182" s="13">
        <f t="shared" si="26"/>
        <v>4.8828444981412561E-2</v>
      </c>
      <c r="Q182" s="350" t="s">
        <v>278</v>
      </c>
      <c r="R182" s="174"/>
    </row>
    <row r="183" spans="1:18" x14ac:dyDescent="0.25">
      <c r="A183" s="202">
        <f t="shared" si="21"/>
        <v>43131</v>
      </c>
      <c r="B183" s="172"/>
      <c r="C183" s="230">
        <f>(C171+C159+C147+C135+C123+C111+C99+C87+C75+C63)/10</f>
        <v>824.21</v>
      </c>
      <c r="D183" s="230">
        <f t="shared" ref="D183" si="27">(D171+D159+D147+D135+D123+D111+D99+D87+D75+D63)/10</f>
        <v>0</v>
      </c>
      <c r="E183" s="171">
        <v>0</v>
      </c>
      <c r="F183" s="171">
        <v>31</v>
      </c>
      <c r="G183" s="296">
        <f>'CDM Activity'!H165</f>
        <v>3089873.1700584772</v>
      </c>
      <c r="H183" s="296">
        <f>H171*'Rate Class Customer Model'!$J$19</f>
        <v>33625.286197386944</v>
      </c>
      <c r="I183" s="298">
        <v>160.70178662574256</v>
      </c>
      <c r="J183" s="171">
        <v>320</v>
      </c>
      <c r="K183" s="171"/>
      <c r="L183" s="302"/>
      <c r="M183" s="296">
        <f>+$T$43+C183*$T$44+D183*$T$45+E183*$T$46+F183*$T$47+G183*$T$48+ H183*$T$49+Q183</f>
        <v>72916885.15390338</v>
      </c>
      <c r="N183" s="50"/>
      <c r="O183" s="103"/>
      <c r="P183" s="5">
        <f>AVERAGE(P3:P182)</f>
        <v>2.7779200492913381E-2</v>
      </c>
      <c r="Q183" s="350">
        <f>'Rate Class Energy Model'!U73</f>
        <v>-439302.35075063654</v>
      </c>
      <c r="R183" s="174"/>
    </row>
    <row r="184" spans="1:18" x14ac:dyDescent="0.25">
      <c r="A184" s="202">
        <f t="shared" si="21"/>
        <v>43159</v>
      </c>
      <c r="B184" s="172"/>
      <c r="C184" s="230">
        <f t="shared" ref="C184:D184" si="28">(C172+C160+C148+C136+C124+C112+C100+C88+C76+C64)/10</f>
        <v>754.11000000000013</v>
      </c>
      <c r="D184" s="230">
        <f t="shared" si="28"/>
        <v>0</v>
      </c>
      <c r="E184" s="171">
        <v>0</v>
      </c>
      <c r="F184" s="171">
        <v>28</v>
      </c>
      <c r="G184" s="296">
        <f>'CDM Activity'!H166</f>
        <v>3108328.8010752364</v>
      </c>
      <c r="H184" s="296">
        <f>H172*'Rate Class Customer Model'!$J$19</f>
        <v>33625.286197386944</v>
      </c>
      <c r="I184" s="298">
        <v>161.03280599446279</v>
      </c>
      <c r="J184" s="171">
        <v>320</v>
      </c>
      <c r="K184" s="171"/>
      <c r="L184" s="302"/>
      <c r="M184" s="296">
        <f t="shared" ref="M184:M194" si="29">+$T$43+C184*$T$44+D184*$T$45+E184*$T$46+F184*$T$47+G184*$T$48+ H184*$T$49+Q184</f>
        <v>64714598.276609555</v>
      </c>
      <c r="N184" s="50"/>
      <c r="O184" s="103"/>
      <c r="P184" s="5"/>
      <c r="Q184" s="350">
        <f>Q183</f>
        <v>-439302.35075063654</v>
      </c>
      <c r="R184" s="174"/>
    </row>
    <row r="185" spans="1:18" x14ac:dyDescent="0.25">
      <c r="A185" s="202">
        <f t="shared" si="21"/>
        <v>43190</v>
      </c>
      <c r="B185" s="172"/>
      <c r="C185" s="230">
        <f t="shared" ref="C185:D185" si="30">(C173+C161+C149+C137+C125+C113+C101+C89+C77+C65)/10</f>
        <v>679.39</v>
      </c>
      <c r="D185" s="230">
        <f t="shared" si="30"/>
        <v>0</v>
      </c>
      <c r="E185" s="171">
        <v>1</v>
      </c>
      <c r="F185" s="171">
        <v>31</v>
      </c>
      <c r="G185" s="296">
        <f>'CDM Activity'!H167</f>
        <v>3126784.4320919956</v>
      </c>
      <c r="H185" s="296">
        <f>H173*'Rate Class Customer Model'!$J$19</f>
        <v>33625.286197386944</v>
      </c>
      <c r="I185" s="298">
        <v>161.36450720888473</v>
      </c>
      <c r="J185" s="171">
        <v>352</v>
      </c>
      <c r="K185" s="171"/>
      <c r="L185" s="302"/>
      <c r="M185" s="296">
        <f t="shared" si="29"/>
        <v>64191973.383649401</v>
      </c>
      <c r="N185" s="50"/>
      <c r="O185" s="103"/>
      <c r="P185" s="5"/>
      <c r="Q185" s="350">
        <f t="shared" ref="Q185:Q194" si="31">Q184</f>
        <v>-439302.35075063654</v>
      </c>
      <c r="R185" s="174"/>
    </row>
    <row r="186" spans="1:18" x14ac:dyDescent="0.25">
      <c r="A186" s="202">
        <f t="shared" si="21"/>
        <v>43220</v>
      </c>
      <c r="B186" s="172"/>
      <c r="C186" s="230">
        <f t="shared" ref="C186:D186" si="32">(C174+C162+C150+C138+C126+C114+C102+C90+C78+C66)/10</f>
        <v>427.16999999999996</v>
      </c>
      <c r="D186" s="230">
        <f t="shared" si="32"/>
        <v>0.02</v>
      </c>
      <c r="E186" s="171">
        <v>1</v>
      </c>
      <c r="F186" s="171">
        <v>30</v>
      </c>
      <c r="G186" s="296">
        <f>'CDM Activity'!H168</f>
        <v>3145240.0631087548</v>
      </c>
      <c r="H186" s="296">
        <f>H174*'Rate Class Customer Model'!$J$19</f>
        <v>33579.152721931212</v>
      </c>
      <c r="I186" s="298">
        <v>161.6968916734989</v>
      </c>
      <c r="J186" s="171">
        <v>336</v>
      </c>
      <c r="K186" s="171"/>
      <c r="L186" s="302"/>
      <c r="M186" s="296">
        <f t="shared" si="29"/>
        <v>52350314.526811399</v>
      </c>
      <c r="N186" s="50"/>
      <c r="O186" s="103"/>
      <c r="P186" s="5"/>
      <c r="Q186" s="350">
        <f t="shared" si="31"/>
        <v>-439302.35075063654</v>
      </c>
      <c r="R186" s="174"/>
    </row>
    <row r="187" spans="1:18" x14ac:dyDescent="0.25">
      <c r="A187" s="202">
        <f t="shared" si="21"/>
        <v>43251</v>
      </c>
      <c r="B187" s="172"/>
      <c r="C187" s="230">
        <f t="shared" ref="C187:D187" si="33">(C175+C163+C151+C139+C127+C115+C103+C91+C79+C67)/10</f>
        <v>232.2</v>
      </c>
      <c r="D187" s="230">
        <f t="shared" si="33"/>
        <v>3.9</v>
      </c>
      <c r="E187" s="171">
        <v>1</v>
      </c>
      <c r="F187" s="171">
        <v>31</v>
      </c>
      <c r="G187" s="296">
        <f>'CDM Activity'!H169</f>
        <v>3163695.694125514</v>
      </c>
      <c r="H187" s="296">
        <f>H175*'Rate Class Customer Model'!$J$19</f>
        <v>33579.152721931212</v>
      </c>
      <c r="I187" s="298">
        <v>162.02996079568879</v>
      </c>
      <c r="J187" s="171">
        <v>336</v>
      </c>
      <c r="K187" s="171"/>
      <c r="L187" s="302"/>
      <c r="M187" s="296">
        <f t="shared" si="29"/>
        <v>46762068.981267743</v>
      </c>
      <c r="N187" s="50"/>
      <c r="O187" s="103"/>
      <c r="P187" s="5"/>
      <c r="Q187" s="350">
        <f t="shared" si="31"/>
        <v>-439302.35075063654</v>
      </c>
      <c r="R187" s="174"/>
    </row>
    <row r="188" spans="1:18" x14ac:dyDescent="0.25">
      <c r="A188" s="202">
        <f t="shared" si="21"/>
        <v>43281</v>
      </c>
      <c r="B188" s="172"/>
      <c r="C188" s="230">
        <f t="shared" ref="C188:D188" si="34">(C176+C164+C152+C140+C128+C116+C104+C92+C80+C68)/10</f>
        <v>101.74</v>
      </c>
      <c r="D188" s="230">
        <f t="shared" si="34"/>
        <v>9.5400000000000009</v>
      </c>
      <c r="E188" s="171">
        <v>0</v>
      </c>
      <c r="F188" s="171">
        <v>30</v>
      </c>
      <c r="G188" s="296">
        <f>'CDM Activity'!H170</f>
        <v>3182151.3251422732</v>
      </c>
      <c r="H188" s="296">
        <f>H176*'Rate Class Customer Model'!$J$19</f>
        <v>33579.152721931212</v>
      </c>
      <c r="I188" s="298">
        <v>162.36371598573695</v>
      </c>
      <c r="J188" s="171">
        <v>352</v>
      </c>
      <c r="K188" s="171"/>
      <c r="L188" s="302"/>
      <c r="M188" s="296">
        <f t="shared" si="29"/>
        <v>43176954.343929023</v>
      </c>
      <c r="N188" s="50"/>
      <c r="O188" s="103"/>
      <c r="P188" s="5"/>
      <c r="Q188" s="350">
        <f t="shared" si="31"/>
        <v>-439302.35075063654</v>
      </c>
      <c r="R188" s="174"/>
    </row>
    <row r="189" spans="1:18" x14ac:dyDescent="0.25">
      <c r="A189" s="202">
        <f t="shared" si="21"/>
        <v>43312</v>
      </c>
      <c r="B189" s="172"/>
      <c r="C189" s="230">
        <f t="shared" ref="C189:D189" si="35">(C177+C165+C153+C141+C129+C117+C105+C93+C81+C69)/10</f>
        <v>40.76</v>
      </c>
      <c r="D189" s="230">
        <f t="shared" si="35"/>
        <v>36.08</v>
      </c>
      <c r="E189" s="171">
        <v>0</v>
      </c>
      <c r="F189" s="171">
        <v>31</v>
      </c>
      <c r="G189" s="296">
        <f>'CDM Activity'!H171</f>
        <v>3200606.9561590324</v>
      </c>
      <c r="H189" s="296">
        <f>H177*'Rate Class Customer Model'!$J$19</f>
        <v>33613.251377702843</v>
      </c>
      <c r="I189" s="298">
        <v>162.6981586568308</v>
      </c>
      <c r="J189" s="171">
        <v>320</v>
      </c>
      <c r="K189" s="171"/>
      <c r="L189" s="302"/>
      <c r="M189" s="296">
        <f t="shared" si="29"/>
        <v>44760460.618681028</v>
      </c>
      <c r="N189" s="50"/>
      <c r="O189" s="103"/>
      <c r="P189" s="5"/>
      <c r="Q189" s="350">
        <f t="shared" si="31"/>
        <v>-439302.35075063654</v>
      </c>
      <c r="R189" s="174"/>
    </row>
    <row r="190" spans="1:18" x14ac:dyDescent="0.25">
      <c r="A190" s="202">
        <f t="shared" si="21"/>
        <v>43343</v>
      </c>
      <c r="B190" s="172"/>
      <c r="C190" s="230">
        <f t="shared" ref="C190:D190" si="36">(C178+C166+C154+C142+C130+C118+C106+C94+C82+C70)/10</f>
        <v>42.03</v>
      </c>
      <c r="D190" s="230">
        <f t="shared" si="36"/>
        <v>33.799999999999997</v>
      </c>
      <c r="E190" s="171">
        <v>0</v>
      </c>
      <c r="F190" s="171">
        <v>31</v>
      </c>
      <c r="G190" s="296">
        <f>'CDM Activity'!H172</f>
        <v>3219062.5871757916</v>
      </c>
      <c r="H190" s="296">
        <f>H178*'Rate Class Customer Model'!$J$19</f>
        <v>33613.251377702843</v>
      </c>
      <c r="I190" s="298">
        <v>163.03329022506875</v>
      </c>
      <c r="J190" s="171">
        <v>352</v>
      </c>
      <c r="K190" s="171"/>
      <c r="L190" s="302"/>
      <c r="M190" s="296">
        <f t="shared" si="29"/>
        <v>44563626.155671209</v>
      </c>
      <c r="N190" s="50"/>
      <c r="O190" s="103"/>
      <c r="P190" s="5"/>
      <c r="Q190" s="350">
        <f t="shared" si="31"/>
        <v>-439302.35075063654</v>
      </c>
      <c r="R190" s="174"/>
    </row>
    <row r="191" spans="1:18" x14ac:dyDescent="0.25">
      <c r="A191" s="202">
        <f t="shared" si="21"/>
        <v>43373</v>
      </c>
      <c r="B191" s="172"/>
      <c r="C191" s="230">
        <f t="shared" ref="C191:D191" si="37">(C179+C167+C155+C143+C131+C119+C107+C95+C83+C71)/10</f>
        <v>129.35999999999999</v>
      </c>
      <c r="D191" s="230">
        <f t="shared" si="37"/>
        <v>11.58</v>
      </c>
      <c r="E191" s="171">
        <v>1</v>
      </c>
      <c r="F191" s="171">
        <v>30</v>
      </c>
      <c r="G191" s="296">
        <f>'CDM Activity'!H173</f>
        <v>3237518.2181925508</v>
      </c>
      <c r="H191" s="296">
        <f>H179*'Rate Class Customer Model'!$J$19</f>
        <v>33613.251377702843</v>
      </c>
      <c r="I191" s="298">
        <v>163.36911210946616</v>
      </c>
      <c r="J191" s="171">
        <v>336</v>
      </c>
      <c r="K191" s="171"/>
      <c r="L191" s="302"/>
      <c r="M191" s="296">
        <f t="shared" si="29"/>
        <v>41389338.044692442</v>
      </c>
      <c r="N191" s="50"/>
      <c r="O191" s="103"/>
      <c r="P191" s="5"/>
      <c r="Q191" s="350">
        <f t="shared" si="31"/>
        <v>-439302.35075063654</v>
      </c>
      <c r="R191" s="174"/>
    </row>
    <row r="192" spans="1:18" x14ac:dyDescent="0.25">
      <c r="A192" s="202">
        <f t="shared" si="21"/>
        <v>43404</v>
      </c>
      <c r="B192" s="172"/>
      <c r="C192" s="230">
        <f>(C180+C168+C156+C144+C132+C120+C108+C96+C84+C72)/10</f>
        <v>306.13</v>
      </c>
      <c r="D192" s="230">
        <f t="shared" ref="D192" si="38">(D180+D168+D156+D144+D132+D120+D108+D96+D84+D72)/10</f>
        <v>0.47000000000000003</v>
      </c>
      <c r="E192" s="171">
        <v>1</v>
      </c>
      <c r="F192" s="171">
        <v>31</v>
      </c>
      <c r="G192" s="296">
        <f>'CDM Activity'!H174</f>
        <v>3255973.84920931</v>
      </c>
      <c r="H192" s="296">
        <f>H180*'Rate Class Customer Model'!$J$19</f>
        <v>33702.50962369328</v>
      </c>
      <c r="I192" s="298">
        <v>163.70562573196125</v>
      </c>
      <c r="J192" s="171">
        <v>320</v>
      </c>
      <c r="K192" s="171"/>
      <c r="L192" s="302"/>
      <c r="M192" s="296">
        <f t="shared" si="29"/>
        <v>49340776.498942636</v>
      </c>
      <c r="N192" s="50"/>
      <c r="O192" s="103"/>
      <c r="P192" s="5"/>
      <c r="Q192" s="350">
        <f t="shared" si="31"/>
        <v>-439302.35075063654</v>
      </c>
      <c r="R192" s="174"/>
    </row>
    <row r="193" spans="1:18" x14ac:dyDescent="0.25">
      <c r="A193" s="202">
        <f t="shared" si="21"/>
        <v>43434</v>
      </c>
      <c r="B193" s="172"/>
      <c r="C193" s="230">
        <f>(C181+C169+C157+C145+C133+C121+C109+C97+C85+C73)/10</f>
        <v>480.06200000000001</v>
      </c>
      <c r="D193" s="230">
        <f t="shared" ref="D193" si="39">(D181+D169+D157+D145+D133+D121+D109+D97+D85+D73)/10</f>
        <v>0</v>
      </c>
      <c r="E193" s="171">
        <v>1</v>
      </c>
      <c r="F193" s="171">
        <v>30</v>
      </c>
      <c r="G193" s="296">
        <f>'CDM Activity'!H175</f>
        <v>3274429.4802260692</v>
      </c>
      <c r="H193" s="296">
        <f>H181*'Rate Class Customer Model'!$J$19</f>
        <v>33702.50962369328</v>
      </c>
      <c r="I193" s="298">
        <v>164.04283251742123</v>
      </c>
      <c r="J193" s="171">
        <v>336</v>
      </c>
      <c r="K193" s="171"/>
      <c r="L193" s="302"/>
      <c r="M193" s="296">
        <f t="shared" si="29"/>
        <v>54260852.247752756</v>
      </c>
      <c r="N193" s="50"/>
      <c r="O193" s="103"/>
      <c r="P193" s="5"/>
      <c r="Q193" s="350">
        <f t="shared" si="31"/>
        <v>-439302.35075063654</v>
      </c>
      <c r="R193" s="174"/>
    </row>
    <row r="194" spans="1:18" x14ac:dyDescent="0.25">
      <c r="A194" s="202">
        <f t="shared" si="21"/>
        <v>43465</v>
      </c>
      <c r="B194" s="172"/>
      <c r="C194" s="230">
        <f>(C182+C170+C158+C146+C134+C122+C110+C98+C86+C74)/10</f>
        <v>702.73799999999994</v>
      </c>
      <c r="D194" s="230">
        <f t="shared" ref="D194" si="40">(D182+D170+D158+D146+D134+D122+D110+D98+D86+D74)/10</f>
        <v>0</v>
      </c>
      <c r="E194" s="171">
        <v>0</v>
      </c>
      <c r="F194" s="171">
        <v>31</v>
      </c>
      <c r="G194" s="296">
        <f>'CDM Activity'!H176</f>
        <v>3292885.1112428284</v>
      </c>
      <c r="H194" s="296">
        <f>H182*'Rate Class Customer Model'!$J$19</f>
        <v>33702.50962369328</v>
      </c>
      <c r="I194" s="298">
        <v>163.7392481028441</v>
      </c>
      <c r="J194" s="171">
        <v>336</v>
      </c>
      <c r="K194" s="171"/>
      <c r="L194" s="302"/>
      <c r="M194" s="296">
        <f t="shared" si="29"/>
        <v>67652962.037914544</v>
      </c>
      <c r="N194" s="50"/>
      <c r="O194" s="103"/>
      <c r="P194" s="5"/>
      <c r="Q194" s="350">
        <f t="shared" si="31"/>
        <v>-439302.35075063654</v>
      </c>
      <c r="R194" s="174"/>
    </row>
    <row r="195" spans="1:18" x14ac:dyDescent="0.25">
      <c r="A195" s="51"/>
      <c r="B195" s="27"/>
      <c r="C195" s="185"/>
      <c r="D195" s="185"/>
      <c r="E195" s="185"/>
      <c r="F195" s="184"/>
      <c r="G195" s="16"/>
      <c r="H195" s="32"/>
      <c r="I195" s="185"/>
      <c r="J195" s="185"/>
      <c r="K195" s="185"/>
      <c r="L195" s="188"/>
      <c r="M195" s="16"/>
      <c r="N195" s="50"/>
      <c r="O195" s="103"/>
      <c r="P195" s="174"/>
      <c r="Q195" s="350"/>
      <c r="R195" s="174"/>
    </row>
    <row r="196" spans="1:18" x14ac:dyDescent="0.25">
      <c r="A196" s="51"/>
      <c r="B196" s="27"/>
      <c r="C196" s="185"/>
      <c r="D196" s="185"/>
      <c r="E196" s="185"/>
      <c r="F196" s="409"/>
      <c r="G196" s="16"/>
      <c r="H196" s="32"/>
      <c r="I196" s="185"/>
      <c r="J196" s="185"/>
      <c r="K196" s="185"/>
      <c r="L196" s="188"/>
      <c r="M196" s="16"/>
      <c r="N196" s="174"/>
      <c r="O196" s="174"/>
      <c r="P196" s="174"/>
      <c r="Q196" s="174"/>
      <c r="R196" s="174"/>
    </row>
    <row r="197" spans="1:18" x14ac:dyDescent="0.25">
      <c r="A197" s="51"/>
      <c r="E197" s="10"/>
      <c r="J197" s="16"/>
      <c r="R197" s="232" t="s">
        <v>221</v>
      </c>
    </row>
    <row r="198" spans="1:18" x14ac:dyDescent="0.25">
      <c r="A198" s="51"/>
      <c r="C198" s="17"/>
      <c r="D198" s="56" t="s">
        <v>67</v>
      </c>
      <c r="E198" s="10"/>
      <c r="G198" s="106">
        <f>SUM(G3:G197)</f>
        <v>207008466.14900261</v>
      </c>
      <c r="J198" s="16"/>
      <c r="M198" s="50">
        <f>SUM(M3:M194)</f>
        <v>11496841670.099825</v>
      </c>
      <c r="N198" s="50"/>
      <c r="R198" s="205" t="s">
        <v>222</v>
      </c>
    </row>
    <row r="199" spans="1:18" x14ac:dyDescent="0.25">
      <c r="A199" s="51"/>
      <c r="E199" s="10"/>
      <c r="J199" s="16"/>
      <c r="Q199" s="232" t="s">
        <v>67</v>
      </c>
      <c r="R199" s="205" t="s">
        <v>223</v>
      </c>
    </row>
    <row r="200" spans="1:18" x14ac:dyDescent="0.25">
      <c r="A200" s="52">
        <v>2003</v>
      </c>
      <c r="B200" s="6">
        <f>SUM(B3:B14)</f>
        <v>755126020</v>
      </c>
      <c r="E200" s="10"/>
      <c r="J200" s="16"/>
      <c r="M200" s="6">
        <f>SUM(M3:M14)</f>
        <v>755606395.31945324</v>
      </c>
      <c r="N200" s="37">
        <f t="shared" ref="N200:N214" si="41">M200-B200</f>
        <v>480375.31945323944</v>
      </c>
      <c r="O200" s="5">
        <f t="shared" ref="O200:O213" si="42">N200/B200</f>
        <v>6.3615251856006692E-4</v>
      </c>
      <c r="P200" s="5">
        <f t="shared" ref="P200:P211" si="43">ABS(O200)</f>
        <v>6.3615251856006692E-4</v>
      </c>
      <c r="Q200" s="160">
        <f>'Purchased Power Model - WN'!M200</f>
        <v>740140539.30718362</v>
      </c>
      <c r="R200" s="198">
        <f>Q200/M200</f>
        <v>0.97953186194813635</v>
      </c>
    </row>
    <row r="201" spans="1:18" x14ac:dyDescent="0.25">
      <c r="A201" s="41">
        <v>2004</v>
      </c>
      <c r="B201" s="6">
        <f>SUM(B15:B26)</f>
        <v>757685752</v>
      </c>
      <c r="E201" s="10"/>
      <c r="J201" s="16"/>
      <c r="M201" s="6">
        <f>SUM(M15:M26)</f>
        <v>753123367.54559541</v>
      </c>
      <c r="N201" s="37">
        <f t="shared" si="41"/>
        <v>-4562384.4544045925</v>
      </c>
      <c r="O201" s="5">
        <f t="shared" si="42"/>
        <v>-6.021473206222561E-3</v>
      </c>
      <c r="P201" s="5">
        <f t="shared" si="43"/>
        <v>6.021473206222561E-3</v>
      </c>
      <c r="Q201" s="160">
        <f>'Purchased Power Model - WN'!M201</f>
        <v>742993480.27515411</v>
      </c>
      <c r="R201" s="198">
        <f t="shared" ref="R201:R215" si="44">Q201/M201</f>
        <v>0.98654949812080017</v>
      </c>
    </row>
    <row r="202" spans="1:18" x14ac:dyDescent="0.25">
      <c r="A202" s="52">
        <v>2005</v>
      </c>
      <c r="B202" s="6">
        <f>SUM(B27:B38)</f>
        <v>749219032</v>
      </c>
      <c r="E202" s="10"/>
      <c r="J202" s="16"/>
      <c r="M202" s="6">
        <f>SUM(M27:M38)</f>
        <v>750481142.50597298</v>
      </c>
      <c r="N202" s="37">
        <f t="shared" si="41"/>
        <v>1262110.5059729815</v>
      </c>
      <c r="O202" s="5">
        <f t="shared" si="42"/>
        <v>1.684568133038272E-3</v>
      </c>
      <c r="P202" s="5">
        <f t="shared" si="43"/>
        <v>1.684568133038272E-3</v>
      </c>
      <c r="Q202" s="160">
        <f>'Purchased Power Model - WN'!M202</f>
        <v>744300278.18189192</v>
      </c>
      <c r="R202" s="198">
        <f t="shared" si="44"/>
        <v>0.99176413107004635</v>
      </c>
    </row>
    <row r="203" spans="1:18" x14ac:dyDescent="0.25">
      <c r="A203" s="41">
        <v>2006</v>
      </c>
      <c r="B203" s="6">
        <f>SUM(B39:B50)</f>
        <v>728093333</v>
      </c>
      <c r="E203" s="10"/>
      <c r="J203" s="16"/>
      <c r="M203" s="6">
        <f>SUM(M39:M50)</f>
        <v>729078576.82526612</v>
      </c>
      <c r="N203" s="37">
        <f t="shared" si="41"/>
        <v>985243.82526612282</v>
      </c>
      <c r="O203" s="5">
        <f t="shared" si="42"/>
        <v>1.3531834184040286E-3</v>
      </c>
      <c r="P203" s="5">
        <f t="shared" si="43"/>
        <v>1.3531834184040286E-3</v>
      </c>
      <c r="Q203" s="160">
        <f>'Purchased Power Model - WN'!M203</f>
        <v>741222515.52596164</v>
      </c>
      <c r="R203" s="198">
        <f t="shared" si="44"/>
        <v>1.0166565567645338</v>
      </c>
    </row>
    <row r="204" spans="1:18" x14ac:dyDescent="0.25">
      <c r="A204" s="52">
        <v>2007</v>
      </c>
      <c r="B204" s="6">
        <f>SUM(B51:B62)</f>
        <v>738093576</v>
      </c>
      <c r="M204" s="6">
        <f>SUM(M51:M62)</f>
        <v>734873049.45721519</v>
      </c>
      <c r="N204" s="37">
        <f t="shared" si="41"/>
        <v>-3220526.5427848101</v>
      </c>
      <c r="O204" s="5">
        <f t="shared" si="42"/>
        <v>-4.3633038513057184E-3</v>
      </c>
      <c r="P204" s="5">
        <f t="shared" si="43"/>
        <v>4.3633038513057184E-3</v>
      </c>
      <c r="Q204" s="160">
        <f>'Purchased Power Model - WN'!M204</f>
        <v>731482782.66376162</v>
      </c>
      <c r="R204" s="198">
        <f t="shared" si="44"/>
        <v>0.99538659528205908</v>
      </c>
    </row>
    <row r="205" spans="1:18" x14ac:dyDescent="0.25">
      <c r="A205" s="41">
        <v>2008</v>
      </c>
      <c r="B205" s="6">
        <f>SUM(B63:B74)</f>
        <v>740966486</v>
      </c>
      <c r="M205" s="6">
        <f>SUM(M63:M74)</f>
        <v>741457853.42233407</v>
      </c>
      <c r="N205" s="37">
        <f t="shared" si="41"/>
        <v>491367.42233407497</v>
      </c>
      <c r="O205" s="5">
        <f t="shared" si="42"/>
        <v>6.6314392299529048E-4</v>
      </c>
      <c r="P205" s="5">
        <f t="shared" si="43"/>
        <v>6.6314392299529048E-4</v>
      </c>
      <c r="Q205" s="160">
        <f>'Purchased Power Model - WN'!M205</f>
        <v>731266132.92383766</v>
      </c>
      <c r="R205" s="198">
        <f t="shared" si="44"/>
        <v>0.98625448438983465</v>
      </c>
    </row>
    <row r="206" spans="1:18" x14ac:dyDescent="0.25">
      <c r="A206" s="52">
        <v>2009</v>
      </c>
      <c r="B206" s="6">
        <f>SUM(B75:B86)</f>
        <v>732869984</v>
      </c>
      <c r="M206" s="6">
        <f>SUM(M75:M86)</f>
        <v>738417077.78610682</v>
      </c>
      <c r="N206" s="37">
        <f t="shared" si="41"/>
        <v>5547093.7861068249</v>
      </c>
      <c r="O206" s="5">
        <f t="shared" si="42"/>
        <v>7.5690011969528617E-3</v>
      </c>
      <c r="P206" s="5">
        <f t="shared" si="43"/>
        <v>7.5690011969528617E-3</v>
      </c>
      <c r="Q206" s="160">
        <f>'Purchased Power Model - WN'!M206</f>
        <v>728740148.69092798</v>
      </c>
      <c r="R206" s="198">
        <f t="shared" si="44"/>
        <v>0.98689503617089702</v>
      </c>
    </row>
    <row r="207" spans="1:18" x14ac:dyDescent="0.25">
      <c r="A207" s="41">
        <v>2010</v>
      </c>
      <c r="B207" s="6">
        <f>SUM(B87:B98)</f>
        <v>714199062</v>
      </c>
      <c r="M207" s="6">
        <f>SUM(M87:M98)</f>
        <v>729090573.03183043</v>
      </c>
      <c r="N207" s="37">
        <f t="shared" si="41"/>
        <v>14891511.03183043</v>
      </c>
      <c r="O207" s="5">
        <f t="shared" si="42"/>
        <v>2.085064490301785E-2</v>
      </c>
      <c r="P207" s="5">
        <f t="shared" si="43"/>
        <v>2.085064490301785E-2</v>
      </c>
      <c r="Q207" s="160">
        <f>'Purchased Power Model - WN'!M207</f>
        <v>737443268.29944968</v>
      </c>
      <c r="R207" s="198">
        <f t="shared" si="44"/>
        <v>1.0114563204855134</v>
      </c>
    </row>
    <row r="208" spans="1:18" x14ac:dyDescent="0.25">
      <c r="A208" s="52">
        <v>2011</v>
      </c>
      <c r="B208" s="6">
        <f>SUM(B99:B110)</f>
        <v>745049194</v>
      </c>
      <c r="M208" s="27">
        <f>SUM(M99:M110)</f>
        <v>734157347.45087898</v>
      </c>
      <c r="N208" s="37">
        <f t="shared" si="41"/>
        <v>-10891846.549121022</v>
      </c>
      <c r="O208" s="5">
        <f t="shared" si="42"/>
        <v>-1.4618962931353795E-2</v>
      </c>
      <c r="P208" s="5">
        <f t="shared" si="43"/>
        <v>1.4618962931353795E-2</v>
      </c>
      <c r="Q208" s="160">
        <f>'Purchased Power Model - WN'!M208</f>
        <v>734327136.47011805</v>
      </c>
      <c r="R208" s="198">
        <f t="shared" si="44"/>
        <v>1.0002312706122585</v>
      </c>
    </row>
    <row r="209" spans="1:18" x14ac:dyDescent="0.25">
      <c r="A209" s="41">
        <v>2012</v>
      </c>
      <c r="B209" s="6">
        <f>SUM(B111:B122)</f>
        <v>706953513</v>
      </c>
      <c r="M209" s="27">
        <f>SUM(M111:M122)</f>
        <v>694701033.39093661</v>
      </c>
      <c r="N209" s="37">
        <f t="shared" si="41"/>
        <v>-12252479.609063387</v>
      </c>
      <c r="O209" s="5">
        <f t="shared" si="42"/>
        <v>-1.7331379480765643E-2</v>
      </c>
      <c r="P209" s="5">
        <f t="shared" si="43"/>
        <v>1.7331379480765643E-2</v>
      </c>
      <c r="Q209" s="160">
        <f>'Purchased Power Model - WN'!M209</f>
        <v>726505955.17537093</v>
      </c>
      <c r="R209" s="198">
        <f t="shared" si="44"/>
        <v>1.0457821714028406</v>
      </c>
    </row>
    <row r="210" spans="1:18" x14ac:dyDescent="0.25">
      <c r="A210" s="52">
        <v>2013</v>
      </c>
      <c r="B210" s="6">
        <f>SUM(B123:B134)</f>
        <v>730568311</v>
      </c>
      <c r="M210" s="6">
        <f>SUM(M123:M134)</f>
        <v>714650129.51209605</v>
      </c>
      <c r="N210" s="37">
        <f t="shared" si="41"/>
        <v>-15918181.487903953</v>
      </c>
      <c r="O210" s="5">
        <f t="shared" si="42"/>
        <v>-2.1788765332724586E-2</v>
      </c>
      <c r="P210" s="5">
        <f t="shared" si="43"/>
        <v>2.1788765332724586E-2</v>
      </c>
      <c r="Q210" s="160">
        <f>'Purchased Power Model - WN'!M210</f>
        <v>724442600.43860388</v>
      </c>
      <c r="R210" s="198">
        <f t="shared" si="44"/>
        <v>1.0137024685536591</v>
      </c>
    </row>
    <row r="211" spans="1:18" x14ac:dyDescent="0.25">
      <c r="A211" s="41">
        <v>2014</v>
      </c>
      <c r="B211" s="6">
        <f>SUM(B135:B146)</f>
        <v>730490284.99000001</v>
      </c>
      <c r="M211" s="6">
        <f>SUM(M135:M146)</f>
        <v>738289357.05702746</v>
      </c>
      <c r="N211" s="37">
        <f t="shared" si="41"/>
        <v>7799072.0670274496</v>
      </c>
      <c r="O211" s="5">
        <f t="shared" si="42"/>
        <v>1.0676489786765903E-2</v>
      </c>
      <c r="P211" s="5">
        <f t="shared" si="43"/>
        <v>1.0676489786765903E-2</v>
      </c>
      <c r="Q211" s="160">
        <f>'Purchased Power Model - WN'!M211</f>
        <v>707951305.6319896</v>
      </c>
      <c r="R211" s="198">
        <f t="shared" si="44"/>
        <v>0.95890764083885549</v>
      </c>
    </row>
    <row r="212" spans="1:18" x14ac:dyDescent="0.25">
      <c r="A212" s="52">
        <v>2015</v>
      </c>
      <c r="B212" s="160">
        <f>SUM(B147:B158)</f>
        <v>698517377.1099999</v>
      </c>
      <c r="M212" s="6">
        <f>SUM(M147:M158)</f>
        <v>712983673.07175934</v>
      </c>
      <c r="N212" s="37">
        <f t="shared" si="41"/>
        <v>14466295.961759448</v>
      </c>
      <c r="O212" s="5">
        <f t="shared" si="42"/>
        <v>2.0710001548725036E-2</v>
      </c>
      <c r="P212" s="5">
        <f t="shared" ref="P212:P213" si="45">ABS(O212)</f>
        <v>2.0710001548725036E-2</v>
      </c>
      <c r="Q212" s="160">
        <f>'Purchased Power Model - WN'!M212</f>
        <v>700433487.192397</v>
      </c>
      <c r="R212" s="198">
        <f t="shared" si="44"/>
        <v>0.98239765319549022</v>
      </c>
    </row>
    <row r="213" spans="1:18" x14ac:dyDescent="0.25">
      <c r="A213" s="41">
        <v>2016</v>
      </c>
      <c r="B213" s="160">
        <f>SUM(B159:B170)</f>
        <v>669958461.73000014</v>
      </c>
      <c r="M213" s="6">
        <f>SUM(M159:M170)</f>
        <v>672893773.87281346</v>
      </c>
      <c r="N213" s="37">
        <f t="shared" si="41"/>
        <v>2935312.1428133249</v>
      </c>
      <c r="O213" s="5">
        <f t="shared" si="42"/>
        <v>4.3813345311493126E-3</v>
      </c>
      <c r="P213" s="5">
        <f t="shared" si="45"/>
        <v>4.3813345311493126E-3</v>
      </c>
      <c r="Q213" s="160">
        <f>'Purchased Power Model - WN'!M213</f>
        <v>678231397.87291968</v>
      </c>
      <c r="R213" s="198">
        <f t="shared" si="44"/>
        <v>1.0079323426777838</v>
      </c>
    </row>
    <row r="214" spans="1:18" x14ac:dyDescent="0.25">
      <c r="A214" s="41">
        <v>2017</v>
      </c>
      <c r="B214" s="160">
        <f>SUM(B171:B182)</f>
        <v>652970473</v>
      </c>
      <c r="C214" s="203"/>
      <c r="D214" s="160"/>
      <c r="E214" s="50"/>
      <c r="M214" s="160">
        <f>SUM(M171:M182)</f>
        <v>650957509.5807122</v>
      </c>
      <c r="N214" s="37">
        <f t="shared" si="41"/>
        <v>-2012963.4192878008</v>
      </c>
      <c r="O214" s="5">
        <f t="shared" ref="O214" si="46">N214/B214</f>
        <v>-3.0827786286253722E-3</v>
      </c>
      <c r="P214" s="5">
        <f t="shared" ref="P214" si="47">ABS(O214)</f>
        <v>3.0827786286253722E-3</v>
      </c>
      <c r="Q214" s="160">
        <f>'Purchased Power Model - WN'!M214</f>
        <v>658256895.48088109</v>
      </c>
      <c r="R214" s="198">
        <f t="shared" si="44"/>
        <v>1.0112133062338746</v>
      </c>
    </row>
    <row r="215" spans="1:18" x14ac:dyDescent="0.25">
      <c r="A215" s="41">
        <v>2018</v>
      </c>
      <c r="B215" s="160">
        <f>SUM(B183:B194)</f>
        <v>0</v>
      </c>
      <c r="C215" s="203"/>
      <c r="D215" s="203"/>
      <c r="E215" s="203"/>
      <c r="M215" s="160">
        <f>SUM(M183:M194)</f>
        <v>646080810.26982498</v>
      </c>
      <c r="N215" s="37"/>
      <c r="O215" s="5"/>
      <c r="P215" s="5"/>
      <c r="Q215" s="160">
        <f>'Purchased Power Model - WN'!M215</f>
        <v>646080810.26982498</v>
      </c>
      <c r="R215" s="198">
        <f t="shared" si="44"/>
        <v>1</v>
      </c>
    </row>
    <row r="216" spans="1:18" x14ac:dyDescent="0.25">
      <c r="M216" s="6"/>
    </row>
    <row r="217" spans="1:18" x14ac:dyDescent="0.25">
      <c r="A217" s="407" t="s">
        <v>320</v>
      </c>
      <c r="B217" s="27">
        <f>SUM(B200:B214)</f>
        <v>10850760859.83</v>
      </c>
      <c r="M217" s="27">
        <f>SUM(M200:M214)</f>
        <v>10850760859.83</v>
      </c>
      <c r="N217" s="216">
        <f>M217-B217</f>
        <v>0</v>
      </c>
    </row>
    <row r="219" spans="1:18" x14ac:dyDescent="0.25">
      <c r="M219" s="6">
        <f>SUM(M200:M215)</f>
        <v>11496841670.099825</v>
      </c>
      <c r="N219" s="50">
        <f>M198-M219</f>
        <v>0</v>
      </c>
    </row>
    <row r="220" spans="1:18" x14ac:dyDescent="0.25">
      <c r="M220" s="17"/>
      <c r="N220" s="17" t="s">
        <v>142</v>
      </c>
      <c r="O220" s="17"/>
      <c r="P220" s="17"/>
      <c r="Q220" s="17"/>
    </row>
    <row r="223" spans="1:18" x14ac:dyDescent="0.25">
      <c r="B223" s="447" t="s">
        <v>119</v>
      </c>
      <c r="C223" s="448"/>
      <c r="D223" s="448"/>
      <c r="E223" s="119"/>
      <c r="M223" s="119"/>
      <c r="N223" s="119"/>
    </row>
    <row r="224" spans="1:18" x14ac:dyDescent="0.25">
      <c r="C224" s="105">
        <f>'Weather Analysis '!Z8</f>
        <v>810.83473684210594</v>
      </c>
      <c r="D224" s="105">
        <f>'Weather Analysis '!Z28</f>
        <v>0</v>
      </c>
      <c r="E224" s="16">
        <f>E183</f>
        <v>0</v>
      </c>
      <c r="F224" s="16">
        <f t="shared" ref="F224:H224" si="48">F183</f>
        <v>31</v>
      </c>
      <c r="G224" s="16">
        <f t="shared" si="48"/>
        <v>3089873.1700584772</v>
      </c>
      <c r="H224" s="16">
        <f t="shared" si="48"/>
        <v>33625.286197386944</v>
      </c>
      <c r="I224" s="16">
        <v>352</v>
      </c>
      <c r="J224" s="16">
        <v>31</v>
      </c>
      <c r="K224" s="16" t="e">
        <f>#REF!</f>
        <v>#REF!</v>
      </c>
      <c r="L224" s="106" t="e">
        <f>#REF!</f>
        <v>#REF!</v>
      </c>
      <c r="M224" s="410">
        <f>+$T$43+C224*$T$44+D224*$T$45+E224*$T$46+F224*$T$47+G224*$T$48+ H224*$T$49+Q183</f>
        <v>72392650.282515377</v>
      </c>
      <c r="N224" s="119"/>
    </row>
    <row r="225" spans="3:14" x14ac:dyDescent="0.25">
      <c r="C225" s="105">
        <f>'Weather Analysis '!Z9</f>
        <v>801.32526315789437</v>
      </c>
      <c r="D225" s="105">
        <f>'Weather Analysis '!Z29</f>
        <v>0</v>
      </c>
      <c r="E225" s="16">
        <f t="shared" ref="E225:H225" si="49">E184</f>
        <v>0</v>
      </c>
      <c r="F225" s="16">
        <f t="shared" si="49"/>
        <v>28</v>
      </c>
      <c r="G225" s="16">
        <f t="shared" si="49"/>
        <v>3108328.8010752364</v>
      </c>
      <c r="H225" s="16">
        <f t="shared" si="49"/>
        <v>33625.286197386944</v>
      </c>
      <c r="I225" s="16">
        <v>304</v>
      </c>
      <c r="J225" s="16">
        <v>28</v>
      </c>
      <c r="K225" s="16" t="e">
        <f t="shared" ref="K225:K235" si="50">K224</f>
        <v>#REF!</v>
      </c>
      <c r="L225" s="106" t="e">
        <f t="shared" ref="L225:L235" si="51">L224</f>
        <v>#REF!</v>
      </c>
      <c r="M225" s="410">
        <f t="shared" ref="M225:M235" si="52">+$T$43+C225*$T$44+D225*$T$45+E225*$T$46+F225*$T$47+G225*$T$48+ H225*$T$49+Q184</f>
        <v>66565170.270366639</v>
      </c>
      <c r="N225" s="119"/>
    </row>
    <row r="226" spans="3:14" x14ac:dyDescent="0.25">
      <c r="C226" s="105">
        <f>'Weather Analysis '!Z10</f>
        <v>704.08894736842103</v>
      </c>
      <c r="D226" s="105">
        <f>'Weather Analysis '!Z30</f>
        <v>0</v>
      </c>
      <c r="E226" s="16">
        <f t="shared" ref="E226:H226" si="53">E185</f>
        <v>1</v>
      </c>
      <c r="F226" s="16">
        <f t="shared" si="53"/>
        <v>31</v>
      </c>
      <c r="G226" s="16">
        <f t="shared" si="53"/>
        <v>3126784.4320919956</v>
      </c>
      <c r="H226" s="16">
        <f t="shared" si="53"/>
        <v>33625.286197386944</v>
      </c>
      <c r="I226" s="16">
        <v>336</v>
      </c>
      <c r="J226" s="16">
        <v>31</v>
      </c>
      <c r="K226" s="16" t="e">
        <f t="shared" si="50"/>
        <v>#REF!</v>
      </c>
      <c r="L226" s="106" t="e">
        <f t="shared" si="51"/>
        <v>#REF!</v>
      </c>
      <c r="M226" s="410">
        <f t="shared" si="52"/>
        <v>65160032.803808279</v>
      </c>
      <c r="N226" s="119"/>
    </row>
    <row r="227" spans="3:14" x14ac:dyDescent="0.25">
      <c r="C227" s="105">
        <f>'Weather Analysis '!Z11</f>
        <v>464.47105263157937</v>
      </c>
      <c r="D227" s="105">
        <f>'Weather Analysis '!Z31</f>
        <v>-6.6842105263155815E-2</v>
      </c>
      <c r="E227" s="16">
        <f t="shared" ref="E227:H227" si="54">E186</f>
        <v>1</v>
      </c>
      <c r="F227" s="16">
        <f t="shared" si="54"/>
        <v>30</v>
      </c>
      <c r="G227" s="16">
        <f t="shared" si="54"/>
        <v>3145240.0631087548</v>
      </c>
      <c r="H227" s="16">
        <f t="shared" si="54"/>
        <v>33579.152721931212</v>
      </c>
      <c r="I227" s="16">
        <v>320</v>
      </c>
      <c r="J227" s="16">
        <v>30</v>
      </c>
      <c r="K227" s="16" t="e">
        <f t="shared" si="50"/>
        <v>#REF!</v>
      </c>
      <c r="L227" s="106" t="e">
        <f t="shared" si="51"/>
        <v>#REF!</v>
      </c>
      <c r="M227" s="410">
        <f t="shared" si="52"/>
        <v>53805227.009424374</v>
      </c>
      <c r="N227" s="119"/>
    </row>
    <row r="228" spans="3:14" x14ac:dyDescent="0.25">
      <c r="C228" s="105">
        <f>'Weather Analysis '!Z12</f>
        <v>255.98210526315779</v>
      </c>
      <c r="D228" s="105">
        <f>'Weather Analysis '!Z32</f>
        <v>2.9473684210526585</v>
      </c>
      <c r="E228" s="16">
        <f t="shared" ref="E228:H228" si="55">E187</f>
        <v>1</v>
      </c>
      <c r="F228" s="16">
        <f t="shared" si="55"/>
        <v>31</v>
      </c>
      <c r="G228" s="16">
        <f t="shared" si="55"/>
        <v>3163695.694125514</v>
      </c>
      <c r="H228" s="16">
        <f t="shared" si="55"/>
        <v>33579.152721931212</v>
      </c>
      <c r="I228" s="16">
        <v>336</v>
      </c>
      <c r="J228" s="16">
        <v>31</v>
      </c>
      <c r="K228" s="16" t="e">
        <f t="shared" si="50"/>
        <v>#REF!</v>
      </c>
      <c r="L228" s="106" t="e">
        <f t="shared" si="51"/>
        <v>#REF!</v>
      </c>
      <c r="M228" s="410">
        <f t="shared" si="52"/>
        <v>47616545.672999002</v>
      </c>
      <c r="N228" s="119"/>
    </row>
    <row r="229" spans="3:14" x14ac:dyDescent="0.25">
      <c r="C229" s="105">
        <f>'Weather Analysis '!Z13</f>
        <v>108.26842105263131</v>
      </c>
      <c r="D229" s="105">
        <f>'Weather Analysis '!Z33</f>
        <v>2.3105263157895024</v>
      </c>
      <c r="E229" s="16">
        <f t="shared" ref="E229:H229" si="56">E188</f>
        <v>0</v>
      </c>
      <c r="F229" s="16">
        <f t="shared" si="56"/>
        <v>30</v>
      </c>
      <c r="G229" s="16">
        <f t="shared" si="56"/>
        <v>3182151.3251422732</v>
      </c>
      <c r="H229" s="16">
        <f t="shared" si="56"/>
        <v>33579.152721931212</v>
      </c>
      <c r="I229" s="16">
        <v>336</v>
      </c>
      <c r="J229" s="16">
        <v>30</v>
      </c>
      <c r="K229" s="16" t="e">
        <f t="shared" si="50"/>
        <v>#REF!</v>
      </c>
      <c r="L229" s="106" t="e">
        <f t="shared" si="51"/>
        <v>#REF!</v>
      </c>
      <c r="M229" s="410">
        <f t="shared" si="52"/>
        <v>42843567.170857146</v>
      </c>
      <c r="N229" s="119"/>
    </row>
    <row r="230" spans="3:14" x14ac:dyDescent="0.25">
      <c r="C230" s="105">
        <f>'Weather Analysis '!Z14</f>
        <v>47.185263157894951</v>
      </c>
      <c r="D230" s="105">
        <f>'Weather Analysis '!Z34</f>
        <v>27.098421052631693</v>
      </c>
      <c r="E230" s="16">
        <f t="shared" ref="E230:H230" si="57">E189</f>
        <v>0</v>
      </c>
      <c r="F230" s="16">
        <f t="shared" si="57"/>
        <v>31</v>
      </c>
      <c r="G230" s="16">
        <f t="shared" si="57"/>
        <v>3200606.9561590324</v>
      </c>
      <c r="H230" s="16">
        <f t="shared" si="57"/>
        <v>33613.251377702843</v>
      </c>
      <c r="I230" s="16">
        <v>352</v>
      </c>
      <c r="J230" s="16">
        <v>31</v>
      </c>
      <c r="K230" s="16" t="e">
        <f t="shared" si="50"/>
        <v>#REF!</v>
      </c>
      <c r="L230" s="106" t="e">
        <f t="shared" si="51"/>
        <v>#REF!</v>
      </c>
      <c r="M230" s="410">
        <f t="shared" si="52"/>
        <v>44280218.548435748</v>
      </c>
      <c r="N230" s="119"/>
    </row>
    <row r="231" spans="3:14" x14ac:dyDescent="0.25">
      <c r="C231" s="105">
        <f>'Weather Analysis '!Z15</f>
        <v>48.300526315789284</v>
      </c>
      <c r="D231" s="105">
        <f>'Weather Analysis '!Z35</f>
        <v>26.10684210526324</v>
      </c>
      <c r="E231" s="16">
        <f t="shared" ref="E231:H231" si="58">E190</f>
        <v>0</v>
      </c>
      <c r="F231" s="16">
        <f t="shared" si="58"/>
        <v>31</v>
      </c>
      <c r="G231" s="16">
        <f t="shared" si="58"/>
        <v>3219062.5871757916</v>
      </c>
      <c r="H231" s="16">
        <f t="shared" si="58"/>
        <v>33613.251377702843</v>
      </c>
      <c r="I231" s="16">
        <v>320</v>
      </c>
      <c r="J231" s="16">
        <v>31</v>
      </c>
      <c r="K231" s="16" t="e">
        <f t="shared" si="50"/>
        <v>#REF!</v>
      </c>
      <c r="L231" s="106" t="e">
        <f t="shared" si="51"/>
        <v>#REF!</v>
      </c>
      <c r="M231" s="410">
        <f t="shared" si="52"/>
        <v>44182336.701499671</v>
      </c>
      <c r="N231" s="119"/>
    </row>
    <row r="232" spans="3:14" x14ac:dyDescent="0.25">
      <c r="C232" s="105">
        <f>'Weather Analysis '!Z16</f>
        <v>127.10578947368413</v>
      </c>
      <c r="D232" s="105">
        <f>'Weather Analysis '!Z36</f>
        <v>13.282105263157888</v>
      </c>
      <c r="E232" s="16">
        <f t="shared" ref="E232:H232" si="59">E191</f>
        <v>1</v>
      </c>
      <c r="F232" s="16">
        <f t="shared" si="59"/>
        <v>30</v>
      </c>
      <c r="G232" s="16">
        <f t="shared" si="59"/>
        <v>3237518.2181925508</v>
      </c>
      <c r="H232" s="16">
        <f t="shared" si="59"/>
        <v>33613.251377702843</v>
      </c>
      <c r="I232" s="16">
        <v>336</v>
      </c>
      <c r="J232" s="16">
        <v>30</v>
      </c>
      <c r="K232" s="16" t="e">
        <f t="shared" si="50"/>
        <v>#REF!</v>
      </c>
      <c r="L232" s="106" t="e">
        <f t="shared" si="51"/>
        <v>#REF!</v>
      </c>
      <c r="M232" s="410">
        <f t="shared" si="52"/>
        <v>41439721.965500519</v>
      </c>
      <c r="N232" s="119"/>
    </row>
    <row r="233" spans="3:14" x14ac:dyDescent="0.25">
      <c r="C233" s="105">
        <f>'Weather Analysis '!Z17</f>
        <v>293.91157894736853</v>
      </c>
      <c r="D233" s="105">
        <f>'Weather Analysis '!Z37</f>
        <v>0.71842105263157841</v>
      </c>
      <c r="E233" s="16">
        <f t="shared" ref="E233:H233" si="60">E192</f>
        <v>1</v>
      </c>
      <c r="F233" s="16">
        <f t="shared" si="60"/>
        <v>31</v>
      </c>
      <c r="G233" s="16">
        <f t="shared" si="60"/>
        <v>3255973.84920931</v>
      </c>
      <c r="H233" s="16">
        <f t="shared" si="60"/>
        <v>33702.50962369328</v>
      </c>
      <c r="I233" s="16">
        <v>352</v>
      </c>
      <c r="J233" s="16">
        <v>31</v>
      </c>
      <c r="K233" s="16" t="e">
        <f t="shared" si="50"/>
        <v>#REF!</v>
      </c>
      <c r="L233" s="106" t="e">
        <f t="shared" si="51"/>
        <v>#REF!</v>
      </c>
      <c r="M233" s="410">
        <f t="shared" si="52"/>
        <v>48882131.771045692</v>
      </c>
      <c r="N233" s="119"/>
    </row>
    <row r="234" spans="3:14" x14ac:dyDescent="0.25">
      <c r="C234" s="105">
        <f>'Weather Analysis '!Z18</f>
        <v>494.0389473684213</v>
      </c>
      <c r="D234" s="105">
        <f>'Weather Analysis '!Z38</f>
        <v>0</v>
      </c>
      <c r="E234" s="16">
        <f t="shared" ref="E234:H234" si="61">E193</f>
        <v>1</v>
      </c>
      <c r="F234" s="16">
        <f t="shared" si="61"/>
        <v>30</v>
      </c>
      <c r="G234" s="16">
        <f t="shared" si="61"/>
        <v>3274429.4802260692</v>
      </c>
      <c r="H234" s="16">
        <f t="shared" si="61"/>
        <v>33702.50962369328</v>
      </c>
      <c r="I234" s="16">
        <v>304</v>
      </c>
      <c r="J234" s="16">
        <v>30</v>
      </c>
      <c r="K234" s="16" t="e">
        <f t="shared" si="50"/>
        <v>#REF!</v>
      </c>
      <c r="L234" s="106" t="e">
        <f t="shared" si="51"/>
        <v>#REF!</v>
      </c>
      <c r="M234" s="410">
        <f t="shared" si="52"/>
        <v>54808669.746338323</v>
      </c>
      <c r="N234" s="119"/>
    </row>
    <row r="235" spans="3:14" x14ac:dyDescent="0.25">
      <c r="C235" s="105">
        <f>'Weather Analysis '!Z19</f>
        <v>695.58368421052637</v>
      </c>
      <c r="D235" s="105">
        <f>'Weather Analysis '!Z39</f>
        <v>0</v>
      </c>
      <c r="E235" s="16">
        <f t="shared" ref="E235:H235" si="62">E194</f>
        <v>0</v>
      </c>
      <c r="F235" s="16">
        <f t="shared" si="62"/>
        <v>31</v>
      </c>
      <c r="G235" s="16">
        <f t="shared" si="62"/>
        <v>3292885.1112428284</v>
      </c>
      <c r="H235" s="16">
        <f t="shared" si="62"/>
        <v>33702.50962369328</v>
      </c>
      <c r="I235" s="16">
        <v>336</v>
      </c>
      <c r="J235" s="16">
        <v>31</v>
      </c>
      <c r="K235" s="16" t="e">
        <f t="shared" si="50"/>
        <v>#REF!</v>
      </c>
      <c r="L235" s="106" t="e">
        <f t="shared" si="51"/>
        <v>#REF!</v>
      </c>
      <c r="M235" s="410">
        <f t="shared" si="52"/>
        <v>67372553.213543102</v>
      </c>
      <c r="N235" s="50">
        <f>SUM(M224:M235) + SUM(Q182:Q194)</f>
        <v>644077196.94732618</v>
      </c>
    </row>
    <row r="243" spans="18:18" x14ac:dyDescent="0.25">
      <c r="R243" s="5"/>
    </row>
    <row r="244" spans="18:18" x14ac:dyDescent="0.25">
      <c r="R244" s="5"/>
    </row>
    <row r="245" spans="18:18" x14ac:dyDescent="0.25">
      <c r="R245" s="5"/>
    </row>
    <row r="246" spans="18:18" x14ac:dyDescent="0.25">
      <c r="R246" s="5"/>
    </row>
    <row r="247" spans="18:18" x14ac:dyDescent="0.25">
      <c r="R247" s="5"/>
    </row>
    <row r="248" spans="18:18" x14ac:dyDescent="0.25">
      <c r="R248" s="5"/>
    </row>
    <row r="249" spans="18:18" x14ac:dyDescent="0.25">
      <c r="R249" s="5"/>
    </row>
    <row r="250" spans="18:18" x14ac:dyDescent="0.25">
      <c r="R250" s="5"/>
    </row>
    <row r="251" spans="18:18" x14ac:dyDescent="0.25">
      <c r="R251" s="5"/>
    </row>
    <row r="252" spans="18:18" x14ac:dyDescent="0.25">
      <c r="R252" s="5"/>
    </row>
    <row r="253" spans="18:18" x14ac:dyDescent="0.25">
      <c r="R253" s="5"/>
    </row>
    <row r="254" spans="18:18" x14ac:dyDescent="0.25">
      <c r="R254" s="5"/>
    </row>
    <row r="255" spans="18:18" x14ac:dyDescent="0.25">
      <c r="R255" s="5"/>
    </row>
    <row r="256" spans="18:18" x14ac:dyDescent="0.25">
      <c r="R256" s="5"/>
    </row>
    <row r="257" spans="18:18" x14ac:dyDescent="0.25">
      <c r="R257" s="5"/>
    </row>
    <row r="258" spans="18:18" x14ac:dyDescent="0.25">
      <c r="R258" s="5"/>
    </row>
    <row r="259" spans="18:18" x14ac:dyDescent="0.25">
      <c r="R259" s="5"/>
    </row>
    <row r="260" spans="18:18" x14ac:dyDescent="0.25">
      <c r="R260" s="5"/>
    </row>
    <row r="261" spans="18:18" x14ac:dyDescent="0.25">
      <c r="R261" s="5"/>
    </row>
    <row r="266" spans="18:18" x14ac:dyDescent="0.25">
      <c r="R266" s="17"/>
    </row>
  </sheetData>
  <dataConsolidate/>
  <mergeCells count="1">
    <mergeCell ref="B223:D223"/>
  </mergeCells>
  <phoneticPr fontId="0" type="noConversion"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ignoredErrors>
    <ignoredError sqref="B200:B215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B280"/>
  <sheetViews>
    <sheetView zoomScaleNormal="100" workbookViewId="0">
      <pane xSplit="1" ySplit="2" topLeftCell="M3" activePane="bottomRight" state="frozen"/>
      <selection activeCell="M35" sqref="M35"/>
      <selection pane="topRight" activeCell="M35" sqref="M35"/>
      <selection pane="bottomLeft" activeCell="M35" sqref="M35"/>
      <selection pane="bottomRight" activeCell="S8" sqref="S8"/>
    </sheetView>
  </sheetViews>
  <sheetFormatPr defaultRowHeight="13.2" x14ac:dyDescent="0.25"/>
  <cols>
    <col min="1" max="1" width="11.88671875" style="41" customWidth="1"/>
    <col min="2" max="2" width="18" style="160" customWidth="1"/>
    <col min="3" max="3" width="11.6640625" style="205" customWidth="1"/>
    <col min="4" max="4" width="13.44140625" style="205" customWidth="1"/>
    <col min="5" max="5" width="12.44140625" style="205" customWidth="1"/>
    <col min="6" max="6" width="12.33203125" style="182" customWidth="1"/>
    <col min="7" max="7" width="12.6640625" style="161" bestFit="1" customWidth="1"/>
    <col min="8" max="8" width="14.88671875" style="161" customWidth="1"/>
    <col min="9" max="9" width="13" style="161" hidden="1" customWidth="1"/>
    <col min="10" max="10" width="10.109375" style="161" hidden="1" customWidth="1"/>
    <col min="11" max="12" width="14.88671875" style="161" hidden="1" customWidth="1"/>
    <col min="13" max="13" width="16.44140625" style="205" bestFit="1" customWidth="1"/>
    <col min="14" max="14" width="16" style="205" customWidth="1"/>
    <col min="15" max="15" width="9.44140625" style="205" customWidth="1"/>
    <col min="16" max="16" width="8.88671875" style="205" customWidth="1"/>
    <col min="17" max="17" width="14.5546875" style="205" customWidth="1"/>
    <col min="18" max="18" width="8.44140625" style="205" customWidth="1"/>
    <col min="19" max="19" width="42.109375" style="32" customWidth="1"/>
    <col min="20" max="20" width="15.88671875" style="32" bestFit="1" customWidth="1"/>
    <col min="21" max="21" width="15.33203125" style="32" bestFit="1" customWidth="1"/>
    <col min="22" max="22" width="13" style="32" bestFit="1" customWidth="1"/>
    <col min="23" max="23" width="17.109375" style="32" customWidth="1"/>
    <col min="24" max="24" width="17.109375" style="32" bestFit="1" customWidth="1"/>
    <col min="25" max="25" width="16" style="32" bestFit="1" customWidth="1"/>
    <col min="26" max="26" width="15.44140625" customWidth="1"/>
    <col min="27" max="27" width="15" bestFit="1" customWidth="1"/>
    <col min="28" max="28" width="42.44140625" style="32" bestFit="1" customWidth="1"/>
    <col min="29" max="29" width="15.5546875" bestFit="1" customWidth="1"/>
    <col min="30" max="30" width="26.109375" bestFit="1" customWidth="1"/>
    <col min="31" max="31" width="23" bestFit="1" customWidth="1"/>
    <col min="34" max="34" width="40.6640625" bestFit="1" customWidth="1"/>
    <col min="35" max="35" width="42.88671875" bestFit="1" customWidth="1"/>
  </cols>
  <sheetData>
    <row r="2" spans="1:27" s="32" customFormat="1" ht="39.6" x14ac:dyDescent="0.25">
      <c r="A2" s="168"/>
      <c r="B2" s="155" t="s">
        <v>65</v>
      </c>
      <c r="C2" s="156" t="s">
        <v>4</v>
      </c>
      <c r="D2" s="156" t="s">
        <v>5</v>
      </c>
      <c r="E2" s="156" t="s">
        <v>22</v>
      </c>
      <c r="F2" s="157" t="s">
        <v>6</v>
      </c>
      <c r="G2" s="156" t="s">
        <v>114</v>
      </c>
      <c r="H2" s="156" t="s">
        <v>102</v>
      </c>
      <c r="I2" s="158" t="s">
        <v>8</v>
      </c>
      <c r="J2" s="167" t="s">
        <v>7</v>
      </c>
      <c r="K2" s="156" t="s">
        <v>136</v>
      </c>
      <c r="L2" s="156" t="s">
        <v>137</v>
      </c>
      <c r="M2" s="156" t="s">
        <v>13</v>
      </c>
      <c r="N2" s="157" t="s">
        <v>14</v>
      </c>
      <c r="O2" s="156" t="s">
        <v>15</v>
      </c>
      <c r="P2" s="156" t="s">
        <v>103</v>
      </c>
      <c r="S2" t="s">
        <v>23</v>
      </c>
      <c r="T2"/>
      <c r="U2"/>
      <c r="V2"/>
      <c r="W2"/>
      <c r="X2"/>
      <c r="Y2"/>
      <c r="Z2"/>
      <c r="AA2"/>
    </row>
    <row r="3" spans="1:27" ht="13.8" thickBot="1" x14ac:dyDescent="0.3">
      <c r="A3" s="169">
        <v>37652</v>
      </c>
      <c r="B3" s="170">
        <v>85049952</v>
      </c>
      <c r="C3" s="230">
        <f>'Weather Analysis '!Y8</f>
        <v>824.21</v>
      </c>
      <c r="D3" s="230">
        <f>'Weather Analysis '!Y28</f>
        <v>0</v>
      </c>
      <c r="E3" s="171">
        <v>0</v>
      </c>
      <c r="F3" s="185">
        <v>31</v>
      </c>
      <c r="G3" s="16">
        <v>0</v>
      </c>
      <c r="H3" s="297">
        <v>32198</v>
      </c>
      <c r="I3" s="201">
        <v>125.66024937363977</v>
      </c>
      <c r="J3" s="183">
        <v>351.91199999999998</v>
      </c>
      <c r="K3" s="185">
        <v>166.9</v>
      </c>
      <c r="L3" s="187">
        <v>9.1</v>
      </c>
      <c r="M3" s="16">
        <f>+$T$18+C3*$T$19+D3*$T$20+E3*$T$21+F3*$T$22+G3*$T$23+ H3*$T$24</f>
        <v>80470297.953118354</v>
      </c>
      <c r="N3" s="50">
        <f t="shared" ref="N3:N66" si="0">M3-B3</f>
        <v>-4579654.0468816459</v>
      </c>
      <c r="O3" s="103">
        <f t="shared" ref="O3:O66" si="1">N3/B3</f>
        <v>-5.3846638818580941E-2</v>
      </c>
      <c r="P3" s="13">
        <f t="shared" ref="P3:P66" si="2">ABS(O3)</f>
        <v>5.3846638818580941E-2</v>
      </c>
      <c r="Q3" s="13"/>
      <c r="R3" s="13"/>
      <c r="S3"/>
      <c r="T3"/>
      <c r="U3"/>
      <c r="V3"/>
      <c r="W3"/>
      <c r="X3"/>
      <c r="Y3"/>
    </row>
    <row r="4" spans="1:27" x14ac:dyDescent="0.25">
      <c r="A4" s="169">
        <f t="shared" ref="A4:A67" si="3">EOMONTH(A3,1)</f>
        <v>37680</v>
      </c>
      <c r="B4" s="170">
        <v>76788076</v>
      </c>
      <c r="C4" s="230">
        <f>'Weather Analysis '!Y9</f>
        <v>754.1099999999999</v>
      </c>
      <c r="D4" s="230">
        <f>'Weather Analysis '!Y29</f>
        <v>0</v>
      </c>
      <c r="E4" s="171">
        <v>0</v>
      </c>
      <c r="F4" s="185">
        <v>28</v>
      </c>
      <c r="G4" s="16">
        <v>0</v>
      </c>
      <c r="H4" s="297">
        <v>32198</v>
      </c>
      <c r="I4" s="201">
        <v>125.80592062045517</v>
      </c>
      <c r="J4" s="183">
        <v>319.87200000000001</v>
      </c>
      <c r="K4" s="185">
        <v>167.8</v>
      </c>
      <c r="L4" s="187">
        <v>9.3000000000000007</v>
      </c>
      <c r="M4" s="16">
        <f t="shared" ref="M4:M67" si="4">+$T$18+C4*$T$19+D4*$T$20+E4*$T$21+F4*$T$22+G4*$T$23+ H4*$T$24</f>
        <v>72328782.711953372</v>
      </c>
      <c r="N4" s="50">
        <f t="shared" si="0"/>
        <v>-4459293.2880466282</v>
      </c>
      <c r="O4" s="103">
        <f t="shared" si="1"/>
        <v>-5.8072731084532293E-2</v>
      </c>
      <c r="P4" s="13">
        <f t="shared" si="2"/>
        <v>5.8072731084532293E-2</v>
      </c>
      <c r="Q4" s="13"/>
      <c r="R4" s="13"/>
      <c r="S4" s="36" t="s">
        <v>24</v>
      </c>
      <c r="T4" s="36"/>
      <c r="U4"/>
      <c r="V4"/>
      <c r="W4"/>
      <c r="X4"/>
      <c r="Y4"/>
    </row>
    <row r="5" spans="1:27" x14ac:dyDescent="0.25">
      <c r="A5" s="169">
        <f t="shared" si="3"/>
        <v>37711</v>
      </c>
      <c r="B5" s="170">
        <v>75545096</v>
      </c>
      <c r="C5" s="230">
        <f>'Weather Analysis '!Y10</f>
        <v>679.39</v>
      </c>
      <c r="D5" s="230">
        <f>'Weather Analysis '!Y30</f>
        <v>0</v>
      </c>
      <c r="E5" s="171">
        <v>1</v>
      </c>
      <c r="F5" s="185">
        <v>31</v>
      </c>
      <c r="G5" s="16">
        <v>0</v>
      </c>
      <c r="H5" s="297">
        <v>32199</v>
      </c>
      <c r="I5" s="201">
        <v>125.9517607362029</v>
      </c>
      <c r="J5" s="183">
        <v>336.28800000000001</v>
      </c>
      <c r="K5" s="185">
        <v>169.4</v>
      </c>
      <c r="L5" s="187">
        <v>9.3000000000000007</v>
      </c>
      <c r="M5" s="16">
        <f t="shared" si="4"/>
        <v>71869073.650418341</v>
      </c>
      <c r="N5" s="50">
        <f t="shared" si="0"/>
        <v>-3676022.3495816588</v>
      </c>
      <c r="O5" s="103">
        <f t="shared" si="1"/>
        <v>-4.8659973237464134E-2</v>
      </c>
      <c r="P5" s="13">
        <f>ABS(O5)</f>
        <v>4.8659973237464134E-2</v>
      </c>
      <c r="Q5" s="13"/>
      <c r="R5" s="13"/>
      <c r="S5" s="33" t="s">
        <v>25</v>
      </c>
      <c r="T5" s="295">
        <v>0.98146737825638308</v>
      </c>
      <c r="U5"/>
      <c r="V5"/>
      <c r="W5"/>
      <c r="X5"/>
      <c r="Y5"/>
    </row>
    <row r="6" spans="1:27" x14ac:dyDescent="0.25">
      <c r="A6" s="169">
        <f t="shared" si="3"/>
        <v>37741</v>
      </c>
      <c r="B6" s="170">
        <v>63274204</v>
      </c>
      <c r="C6" s="230">
        <f>'Weather Analysis '!Y11</f>
        <v>427.16999999999996</v>
      </c>
      <c r="D6" s="230">
        <f>'Weather Analysis '!Y31</f>
        <v>0.02</v>
      </c>
      <c r="E6" s="171">
        <v>1</v>
      </c>
      <c r="F6" s="185">
        <v>30</v>
      </c>
      <c r="G6" s="16">
        <v>0</v>
      </c>
      <c r="H6" s="297">
        <v>32198</v>
      </c>
      <c r="I6" s="201">
        <v>126.09776991664374</v>
      </c>
      <c r="J6" s="183">
        <v>336.24</v>
      </c>
      <c r="K6" s="185">
        <v>170.5</v>
      </c>
      <c r="L6" s="187">
        <v>9.4</v>
      </c>
      <c r="M6" s="16">
        <f t="shared" si="4"/>
        <v>60184961.415484414</v>
      </c>
      <c r="N6" s="50">
        <f t="shared" si="0"/>
        <v>-3089242.5845155865</v>
      </c>
      <c r="O6" s="103">
        <f t="shared" si="1"/>
        <v>-4.8823096763344294E-2</v>
      </c>
      <c r="P6" s="13">
        <f t="shared" si="2"/>
        <v>4.8823096763344294E-2</v>
      </c>
      <c r="Q6" s="13"/>
      <c r="R6" s="13"/>
      <c r="S6" s="33" t="s">
        <v>26</v>
      </c>
      <c r="T6" s="295">
        <v>0.96327821458145813</v>
      </c>
      <c r="U6"/>
      <c r="V6"/>
      <c r="W6"/>
      <c r="X6"/>
      <c r="Y6"/>
    </row>
    <row r="7" spans="1:27" x14ac:dyDescent="0.25">
      <c r="A7" s="169">
        <f t="shared" si="3"/>
        <v>37772</v>
      </c>
      <c r="B7" s="170">
        <v>52784032</v>
      </c>
      <c r="C7" s="230">
        <f>'Weather Analysis '!Y12</f>
        <v>232.2</v>
      </c>
      <c r="D7" s="230">
        <f>'Weather Analysis '!Y32</f>
        <v>3.9</v>
      </c>
      <c r="E7" s="171">
        <v>1</v>
      </c>
      <c r="F7" s="185">
        <v>31</v>
      </c>
      <c r="G7" s="16">
        <v>0</v>
      </c>
      <c r="H7" s="297">
        <v>32136</v>
      </c>
      <c r="I7" s="201">
        <v>126.2439483577654</v>
      </c>
      <c r="J7" s="183">
        <v>336.28800000000001</v>
      </c>
      <c r="K7" s="185">
        <v>173.3</v>
      </c>
      <c r="L7" s="187">
        <v>9.9</v>
      </c>
      <c r="M7" s="16">
        <f t="shared" si="4"/>
        <v>54524547.397702657</v>
      </c>
      <c r="N7" s="50">
        <f t="shared" si="0"/>
        <v>1740515.3977026567</v>
      </c>
      <c r="O7" s="103">
        <f t="shared" si="1"/>
        <v>3.2974278996016383E-2</v>
      </c>
      <c r="P7" s="13">
        <f t="shared" si="2"/>
        <v>3.2974278996016383E-2</v>
      </c>
      <c r="Q7" s="13"/>
      <c r="R7" s="13"/>
      <c r="S7" s="33" t="s">
        <v>27</v>
      </c>
      <c r="T7" s="295">
        <v>0.96200462664786701</v>
      </c>
      <c r="U7"/>
      <c r="V7"/>
      <c r="W7"/>
      <c r="X7"/>
      <c r="Y7"/>
    </row>
    <row r="8" spans="1:27" x14ac:dyDescent="0.25">
      <c r="A8" s="169">
        <f t="shared" si="3"/>
        <v>37802</v>
      </c>
      <c r="B8" s="170">
        <v>49325848</v>
      </c>
      <c r="C8" s="230">
        <f>'Weather Analysis '!Y13</f>
        <v>101.74</v>
      </c>
      <c r="D8" s="230">
        <f>'Weather Analysis '!Y33</f>
        <v>9.5400000000000009</v>
      </c>
      <c r="E8" s="171">
        <v>0</v>
      </c>
      <c r="F8" s="185">
        <v>30</v>
      </c>
      <c r="G8" s="16">
        <v>0</v>
      </c>
      <c r="H8" s="297">
        <v>32119</v>
      </c>
      <c r="I8" s="201">
        <v>126.3902962557828</v>
      </c>
      <c r="J8" s="183">
        <v>336.24</v>
      </c>
      <c r="K8" s="185">
        <v>175.5</v>
      </c>
      <c r="L8" s="187">
        <v>10.1</v>
      </c>
      <c r="M8" s="16">
        <f t="shared" si="4"/>
        <v>50963753.076456688</v>
      </c>
      <c r="N8" s="50">
        <f t="shared" si="0"/>
        <v>1637905.0764566883</v>
      </c>
      <c r="O8" s="103">
        <f t="shared" si="1"/>
        <v>3.3205816886446402E-2</v>
      </c>
      <c r="P8" s="13">
        <f t="shared" si="2"/>
        <v>3.3205816886446402E-2</v>
      </c>
      <c r="Q8" s="13"/>
      <c r="R8" s="13"/>
      <c r="S8" s="33" t="s">
        <v>28</v>
      </c>
      <c r="T8" s="293">
        <v>2203780.3125988408</v>
      </c>
      <c r="U8"/>
      <c r="V8"/>
      <c r="W8"/>
      <c r="X8"/>
      <c r="Y8"/>
    </row>
    <row r="9" spans="1:27" ht="13.8" thickBot="1" x14ac:dyDescent="0.3">
      <c r="A9" s="169">
        <f t="shared" si="3"/>
        <v>37833</v>
      </c>
      <c r="B9" s="170">
        <v>51148508</v>
      </c>
      <c r="C9" s="230">
        <f>'Weather Analysis '!Y14</f>
        <v>40.76</v>
      </c>
      <c r="D9" s="230">
        <f>'Weather Analysis '!Y34</f>
        <v>36.08</v>
      </c>
      <c r="E9" s="171">
        <v>0</v>
      </c>
      <c r="F9" s="185">
        <v>31</v>
      </c>
      <c r="G9" s="16">
        <v>0</v>
      </c>
      <c r="H9" s="297">
        <v>32132</v>
      </c>
      <c r="I9" s="201">
        <v>126.5368138071383</v>
      </c>
      <c r="J9" s="183">
        <v>351.91199999999998</v>
      </c>
      <c r="K9" s="185">
        <v>176.8</v>
      </c>
      <c r="L9" s="187">
        <v>10.9</v>
      </c>
      <c r="M9" s="16">
        <f t="shared" si="4"/>
        <v>52562791.348875023</v>
      </c>
      <c r="N9" s="50">
        <f t="shared" si="0"/>
        <v>1414283.3488750234</v>
      </c>
      <c r="O9" s="103">
        <f t="shared" si="1"/>
        <v>2.765052988202556E-2</v>
      </c>
      <c r="P9" s="13">
        <f t="shared" si="2"/>
        <v>2.765052988202556E-2</v>
      </c>
      <c r="Q9" s="13"/>
      <c r="R9" s="13"/>
      <c r="S9" s="34" t="s">
        <v>29</v>
      </c>
      <c r="T9" s="294">
        <v>180</v>
      </c>
      <c r="U9"/>
      <c r="V9"/>
      <c r="W9"/>
      <c r="X9"/>
      <c r="Y9"/>
    </row>
    <row r="10" spans="1:27" x14ac:dyDescent="0.25">
      <c r="A10" s="169">
        <f t="shared" si="3"/>
        <v>37864</v>
      </c>
      <c r="B10" s="170">
        <v>50113412</v>
      </c>
      <c r="C10" s="230">
        <f>'Weather Analysis '!Y15</f>
        <v>42.03</v>
      </c>
      <c r="D10" s="230">
        <f>'Weather Analysis '!Y35</f>
        <v>33.799999999999997</v>
      </c>
      <c r="E10" s="171">
        <v>0</v>
      </c>
      <c r="F10" s="185">
        <v>31</v>
      </c>
      <c r="G10" s="16">
        <v>0</v>
      </c>
      <c r="H10" s="297">
        <v>32143</v>
      </c>
      <c r="I10" s="201">
        <v>126.68350120850199</v>
      </c>
      <c r="J10" s="183">
        <v>319.92</v>
      </c>
      <c r="K10" s="185">
        <v>177.7</v>
      </c>
      <c r="L10" s="187">
        <v>10.3</v>
      </c>
      <c r="M10" s="16">
        <f t="shared" si="4"/>
        <v>52450314.670252718</v>
      </c>
      <c r="N10" s="50">
        <f t="shared" si="0"/>
        <v>2336902.670252718</v>
      </c>
      <c r="O10" s="103">
        <f t="shared" si="1"/>
        <v>4.6632280201809408E-2</v>
      </c>
      <c r="P10" s="13">
        <f t="shared" si="2"/>
        <v>4.6632280201809408E-2</v>
      </c>
      <c r="Q10" s="13"/>
      <c r="R10" s="13"/>
      <c r="S10"/>
      <c r="T10"/>
      <c r="U10"/>
      <c r="V10"/>
      <c r="W10"/>
      <c r="X10"/>
      <c r="Y10"/>
    </row>
    <row r="11" spans="1:27" ht="13.8" thickBot="1" x14ac:dyDescent="0.3">
      <c r="A11" s="169">
        <f t="shared" si="3"/>
        <v>37894</v>
      </c>
      <c r="B11" s="170">
        <v>49728476</v>
      </c>
      <c r="C11" s="230">
        <f>'Weather Analysis '!Y16</f>
        <v>129.35999999999999</v>
      </c>
      <c r="D11" s="230">
        <f>'Weather Analysis '!Y36</f>
        <v>11.579999999999998</v>
      </c>
      <c r="E11" s="171">
        <v>1</v>
      </c>
      <c r="F11" s="185">
        <v>30</v>
      </c>
      <c r="G11" s="16">
        <v>0</v>
      </c>
      <c r="H11" s="297">
        <v>32159</v>
      </c>
      <c r="I11" s="201">
        <v>126.83035865677196</v>
      </c>
      <c r="J11" s="183">
        <v>336.24</v>
      </c>
      <c r="K11" s="185">
        <v>176.9</v>
      </c>
      <c r="L11" s="187">
        <v>10.1</v>
      </c>
      <c r="M11" s="16">
        <f t="shared" si="4"/>
        <v>49371105.320142694</v>
      </c>
      <c r="N11" s="50">
        <f t="shared" si="0"/>
        <v>-357370.67985730618</v>
      </c>
      <c r="O11" s="103">
        <f t="shared" si="1"/>
        <v>-7.1864394126477191E-3</v>
      </c>
      <c r="P11" s="13">
        <f t="shared" si="2"/>
        <v>7.1864394126477191E-3</v>
      </c>
      <c r="Q11" s="13"/>
      <c r="R11" s="13"/>
      <c r="S11" t="s">
        <v>30</v>
      </c>
      <c r="T11"/>
      <c r="U11"/>
      <c r="V11"/>
      <c r="W11"/>
      <c r="X11"/>
      <c r="Y11"/>
    </row>
    <row r="12" spans="1:27" x14ac:dyDescent="0.25">
      <c r="A12" s="169">
        <f t="shared" si="3"/>
        <v>37925</v>
      </c>
      <c r="B12" s="170">
        <v>58883124</v>
      </c>
      <c r="C12" s="230">
        <f>'Weather Analysis '!Y17</f>
        <v>306.13</v>
      </c>
      <c r="D12" s="230">
        <f>'Weather Analysis '!Y37</f>
        <v>0.46999999999999992</v>
      </c>
      <c r="E12" s="171">
        <v>1</v>
      </c>
      <c r="F12" s="185">
        <v>31</v>
      </c>
      <c r="G12" s="16">
        <v>0</v>
      </c>
      <c r="H12" s="297">
        <v>32189</v>
      </c>
      <c r="I12" s="201">
        <v>126.97738634907456</v>
      </c>
      <c r="J12" s="183">
        <v>351.91199999999998</v>
      </c>
      <c r="K12" s="185">
        <v>176.6</v>
      </c>
      <c r="L12" s="187">
        <v>8.6999999999999993</v>
      </c>
      <c r="M12" s="16">
        <f t="shared" si="4"/>
        <v>57256254.158205532</v>
      </c>
      <c r="N12" s="50">
        <f t="shared" si="0"/>
        <v>-1626869.8417944685</v>
      </c>
      <c r="O12" s="103">
        <f t="shared" si="1"/>
        <v>-2.7628796355887445E-2</v>
      </c>
      <c r="P12" s="13">
        <f t="shared" si="2"/>
        <v>2.7628796355887445E-2</v>
      </c>
      <c r="Q12" s="13"/>
      <c r="R12" s="13"/>
      <c r="S12" s="35"/>
      <c r="T12" s="35" t="s">
        <v>34</v>
      </c>
      <c r="U12" s="35" t="s">
        <v>35</v>
      </c>
      <c r="V12" s="35" t="s">
        <v>36</v>
      </c>
      <c r="W12" s="35" t="s">
        <v>37</v>
      </c>
      <c r="X12" s="35" t="s">
        <v>38</v>
      </c>
      <c r="Y12"/>
    </row>
    <row r="13" spans="1:27" x14ac:dyDescent="0.25">
      <c r="A13" s="169">
        <f t="shared" si="3"/>
        <v>37955</v>
      </c>
      <c r="B13" s="170">
        <v>66040876</v>
      </c>
      <c r="C13" s="230">
        <f>'Weather Analysis '!Y18</f>
        <v>480.06200000000001</v>
      </c>
      <c r="D13" s="230">
        <f>'Weather Analysis '!Y38</f>
        <v>0</v>
      </c>
      <c r="E13" s="171">
        <v>1</v>
      </c>
      <c r="F13" s="185">
        <v>30</v>
      </c>
      <c r="G13" s="16">
        <v>0</v>
      </c>
      <c r="H13" s="297">
        <v>32230</v>
      </c>
      <c r="I13" s="201">
        <v>127.12458448276465</v>
      </c>
      <c r="J13" s="183">
        <v>319.68</v>
      </c>
      <c r="K13" s="185">
        <v>175</v>
      </c>
      <c r="L13" s="187">
        <v>8.5</v>
      </c>
      <c r="M13" s="16">
        <f t="shared" si="4"/>
        <v>62325013.550290413</v>
      </c>
      <c r="N13" s="50">
        <f t="shared" si="0"/>
        <v>-3715862.4497095868</v>
      </c>
      <c r="O13" s="103">
        <f t="shared" si="1"/>
        <v>-5.6266098737236418E-2</v>
      </c>
      <c r="P13" s="13">
        <f t="shared" si="2"/>
        <v>5.6266098737236418E-2</v>
      </c>
      <c r="Q13" s="13"/>
      <c r="R13" s="13"/>
      <c r="S13" s="33" t="s">
        <v>31</v>
      </c>
      <c r="T13" s="33">
        <v>6</v>
      </c>
      <c r="U13" s="33">
        <v>2.2039952339477152E+16</v>
      </c>
      <c r="V13" s="33">
        <v>3673325389912858.5</v>
      </c>
      <c r="W13" s="33">
        <v>756.34998508926549</v>
      </c>
      <c r="X13" s="33">
        <v>2.6406505469341786E-121</v>
      </c>
      <c r="Y13"/>
    </row>
    <row r="14" spans="1:27" x14ac:dyDescent="0.25">
      <c r="A14" s="169">
        <f t="shared" si="3"/>
        <v>37986</v>
      </c>
      <c r="B14" s="170">
        <v>76444416</v>
      </c>
      <c r="C14" s="230">
        <f>'Weather Analysis '!Y19</f>
        <v>702.73800000000006</v>
      </c>
      <c r="D14" s="230">
        <f>'Weather Analysis '!Y39</f>
        <v>0</v>
      </c>
      <c r="E14" s="171">
        <v>0</v>
      </c>
      <c r="F14" s="185">
        <v>31</v>
      </c>
      <c r="G14" s="16">
        <v>0</v>
      </c>
      <c r="H14" s="297">
        <v>32256</v>
      </c>
      <c r="I14" s="201">
        <v>127.27195325542573</v>
      </c>
      <c r="J14" s="183">
        <v>336.28800000000001</v>
      </c>
      <c r="K14" s="185">
        <v>175.6</v>
      </c>
      <c r="L14" s="187">
        <v>7.8</v>
      </c>
      <c r="M14" s="16">
        <f t="shared" si="4"/>
        <v>75833644.054283351</v>
      </c>
      <c r="N14" s="50">
        <f t="shared" si="0"/>
        <v>-610771.94571664929</v>
      </c>
      <c r="O14" s="103">
        <f t="shared" si="1"/>
        <v>-7.9897522628291032E-3</v>
      </c>
      <c r="P14" s="13">
        <f t="shared" si="2"/>
        <v>7.9897522628291032E-3</v>
      </c>
      <c r="Q14" s="13"/>
      <c r="R14" s="13"/>
      <c r="S14" s="33" t="s">
        <v>32</v>
      </c>
      <c r="T14" s="33">
        <v>173</v>
      </c>
      <c r="U14" s="33">
        <v>840200046252296.37</v>
      </c>
      <c r="V14" s="33">
        <v>4856647666198.2451</v>
      </c>
      <c r="W14" s="33"/>
      <c r="X14" s="33"/>
      <c r="Y14"/>
    </row>
    <row r="15" spans="1:27" ht="13.8" thickBot="1" x14ac:dyDescent="0.3">
      <c r="A15" s="169">
        <f t="shared" si="3"/>
        <v>38017</v>
      </c>
      <c r="B15" s="170">
        <v>89226740</v>
      </c>
      <c r="C15" s="230">
        <f>C3</f>
        <v>824.21</v>
      </c>
      <c r="D15" s="230">
        <f>D3</f>
        <v>0</v>
      </c>
      <c r="E15" s="171">
        <v>0</v>
      </c>
      <c r="F15" s="185">
        <v>31</v>
      </c>
      <c r="G15" s="16">
        <v>0</v>
      </c>
      <c r="H15" s="297">
        <v>32257</v>
      </c>
      <c r="I15" s="201">
        <v>127.53411264087498</v>
      </c>
      <c r="J15" s="186">
        <v>336.28800000000001</v>
      </c>
      <c r="K15" s="185">
        <v>175.8</v>
      </c>
      <c r="L15" s="187">
        <v>8.6</v>
      </c>
      <c r="M15" s="16">
        <f t="shared" si="4"/>
        <v>80596805.475596607</v>
      </c>
      <c r="N15" s="50">
        <f t="shared" si="0"/>
        <v>-8629934.5244033933</v>
      </c>
      <c r="O15" s="103">
        <f t="shared" si="1"/>
        <v>-9.6719150833073059E-2</v>
      </c>
      <c r="P15" s="13">
        <f t="shared" si="2"/>
        <v>9.6719150833073059E-2</v>
      </c>
      <c r="Q15" s="13"/>
      <c r="R15" s="13"/>
      <c r="S15" s="34" t="s">
        <v>12</v>
      </c>
      <c r="T15" s="34">
        <v>179</v>
      </c>
      <c r="U15" s="34">
        <v>2.2880152385729448E+16</v>
      </c>
      <c r="V15" s="34"/>
      <c r="W15" s="34"/>
      <c r="X15" s="34"/>
      <c r="Y15"/>
    </row>
    <row r="16" spans="1:27" ht="13.8" thickBot="1" x14ac:dyDescent="0.3">
      <c r="A16" s="169">
        <f t="shared" si="3"/>
        <v>38046</v>
      </c>
      <c r="B16" s="170">
        <v>73066340</v>
      </c>
      <c r="C16" s="230">
        <f t="shared" ref="C16:D79" si="5">C4</f>
        <v>754.1099999999999</v>
      </c>
      <c r="D16" s="230">
        <f t="shared" si="5"/>
        <v>0</v>
      </c>
      <c r="E16" s="171">
        <v>0</v>
      </c>
      <c r="F16" s="185">
        <v>29</v>
      </c>
      <c r="G16" s="16">
        <v>0</v>
      </c>
      <c r="H16" s="297">
        <v>32250</v>
      </c>
      <c r="I16" s="201">
        <v>127.79681203173486</v>
      </c>
      <c r="J16" s="186">
        <v>320.16000000000003</v>
      </c>
      <c r="K16" s="185">
        <v>175.4</v>
      </c>
      <c r="L16" s="187">
        <v>8.8000000000000007</v>
      </c>
      <c r="M16" s="16">
        <f t="shared" si="4"/>
        <v>74238277.749577701</v>
      </c>
      <c r="N16" s="50">
        <f t="shared" si="0"/>
        <v>1171937.7495777011</v>
      </c>
      <c r="O16" s="103">
        <f t="shared" si="1"/>
        <v>1.603936572678611E-2</v>
      </c>
      <c r="P16" s="13">
        <f t="shared" si="2"/>
        <v>1.603936572678611E-2</v>
      </c>
      <c r="Q16" s="13"/>
      <c r="R16" s="13"/>
      <c r="S16"/>
      <c r="T16"/>
      <c r="U16"/>
      <c r="V16"/>
      <c r="W16"/>
      <c r="X16"/>
      <c r="Y16"/>
    </row>
    <row r="17" spans="1:25" x14ac:dyDescent="0.25">
      <c r="A17" s="169">
        <f t="shared" si="3"/>
        <v>38077</v>
      </c>
      <c r="B17" s="170">
        <v>71196888</v>
      </c>
      <c r="C17" s="230">
        <f t="shared" si="5"/>
        <v>679.39</v>
      </c>
      <c r="D17" s="230">
        <f t="shared" si="5"/>
        <v>0</v>
      </c>
      <c r="E17" s="171">
        <v>1</v>
      </c>
      <c r="F17" s="185">
        <v>31</v>
      </c>
      <c r="G17" s="16">
        <v>0</v>
      </c>
      <c r="H17" s="297">
        <v>32199</v>
      </c>
      <c r="I17" s="201">
        <v>128.06005254032812</v>
      </c>
      <c r="J17" s="186">
        <v>368.28</v>
      </c>
      <c r="K17" s="185">
        <v>173.9</v>
      </c>
      <c r="L17" s="187">
        <v>10.1</v>
      </c>
      <c r="M17" s="16">
        <f t="shared" si="4"/>
        <v>71869073.650418341</v>
      </c>
      <c r="N17" s="50">
        <f t="shared" si="0"/>
        <v>672185.65041834116</v>
      </c>
      <c r="O17" s="103">
        <f t="shared" si="1"/>
        <v>9.4412223525604261E-3</v>
      </c>
      <c r="P17" s="13">
        <f t="shared" si="2"/>
        <v>9.4412223525604261E-3</v>
      </c>
      <c r="Q17" s="13"/>
      <c r="R17" s="13"/>
      <c r="S17" s="35"/>
      <c r="T17" s="35" t="s">
        <v>39</v>
      </c>
      <c r="U17" s="35" t="s">
        <v>28</v>
      </c>
      <c r="V17" s="35" t="s">
        <v>40</v>
      </c>
      <c r="W17" s="35" t="s">
        <v>41</v>
      </c>
      <c r="X17" s="35" t="s">
        <v>42</v>
      </c>
      <c r="Y17" s="35" t="s">
        <v>43</v>
      </c>
    </row>
    <row r="18" spans="1:25" x14ac:dyDescent="0.25">
      <c r="A18" s="169">
        <f t="shared" si="3"/>
        <v>38107</v>
      </c>
      <c r="B18" s="170">
        <v>61357220</v>
      </c>
      <c r="C18" s="230">
        <f t="shared" si="5"/>
        <v>427.16999999999996</v>
      </c>
      <c r="D18" s="230">
        <f t="shared" si="5"/>
        <v>0.02</v>
      </c>
      <c r="E18" s="171">
        <v>1</v>
      </c>
      <c r="F18" s="185">
        <v>30</v>
      </c>
      <c r="G18" s="16">
        <v>0</v>
      </c>
      <c r="H18" s="297">
        <v>32154</v>
      </c>
      <c r="I18" s="201">
        <v>128.32383528126866</v>
      </c>
      <c r="J18" s="186">
        <v>336.24</v>
      </c>
      <c r="K18" s="185">
        <v>173.7</v>
      </c>
      <c r="L18" s="187">
        <v>10.5</v>
      </c>
      <c r="M18" s="16">
        <f t="shared" si="4"/>
        <v>60090616.822449788</v>
      </c>
      <c r="N18" s="50">
        <f t="shared" si="0"/>
        <v>-1266603.1775502115</v>
      </c>
      <c r="O18" s="103">
        <f t="shared" si="1"/>
        <v>-2.0643099174803087E-2</v>
      </c>
      <c r="P18" s="13">
        <f t="shared" si="2"/>
        <v>2.0643099174803087E-2</v>
      </c>
      <c r="Q18" s="13"/>
      <c r="R18" s="13"/>
      <c r="S18" s="33" t="s">
        <v>33</v>
      </c>
      <c r="T18" s="293">
        <v>-76610788.511801451</v>
      </c>
      <c r="U18" s="293">
        <v>24281388.532292072</v>
      </c>
      <c r="V18" s="348">
        <v>-3.1551238682217848</v>
      </c>
      <c r="W18" s="33">
        <v>1.8923548052783776E-3</v>
      </c>
      <c r="X18" s="293">
        <v>-124536697.21666896</v>
      </c>
      <c r="Y18" s="293">
        <v>-28684879.806933932</v>
      </c>
    </row>
    <row r="19" spans="1:25" x14ac:dyDescent="0.25">
      <c r="A19" s="169">
        <f t="shared" si="3"/>
        <v>38138</v>
      </c>
      <c r="B19" s="170">
        <v>55571152</v>
      </c>
      <c r="C19" s="230">
        <f t="shared" si="5"/>
        <v>232.2</v>
      </c>
      <c r="D19" s="230">
        <f t="shared" si="5"/>
        <v>3.9</v>
      </c>
      <c r="E19" s="171">
        <v>1</v>
      </c>
      <c r="F19" s="185">
        <v>31</v>
      </c>
      <c r="G19" s="16">
        <v>0</v>
      </c>
      <c r="H19" s="297">
        <v>32212</v>
      </c>
      <c r="I19" s="201">
        <v>128.58816137146633</v>
      </c>
      <c r="J19" s="186">
        <v>319.92</v>
      </c>
      <c r="K19" s="185">
        <v>174.9</v>
      </c>
      <c r="L19" s="187">
        <v>10</v>
      </c>
      <c r="M19" s="16">
        <f t="shared" si="4"/>
        <v>54687506.240217008</v>
      </c>
      <c r="N19" s="50">
        <f t="shared" si="0"/>
        <v>-883645.7597829923</v>
      </c>
      <c r="O19" s="103">
        <f t="shared" si="1"/>
        <v>-1.5901159648138881E-2</v>
      </c>
      <c r="P19" s="13">
        <f t="shared" si="2"/>
        <v>1.5901159648138881E-2</v>
      </c>
      <c r="Q19" s="13"/>
      <c r="R19" s="13"/>
      <c r="S19" s="33" t="s">
        <v>4</v>
      </c>
      <c r="T19" s="293">
        <v>39194.359408069417</v>
      </c>
      <c r="U19" s="293">
        <v>766.21142001515216</v>
      </c>
      <c r="V19" s="348">
        <v>51.153452407814974</v>
      </c>
      <c r="W19" s="33">
        <v>2.2213586675077025E-106</v>
      </c>
      <c r="X19" s="293">
        <v>37682.033269247622</v>
      </c>
      <c r="Y19" s="293">
        <v>40706.685546891211</v>
      </c>
    </row>
    <row r="20" spans="1:25" x14ac:dyDescent="0.25">
      <c r="A20" s="169">
        <f t="shared" si="3"/>
        <v>38168</v>
      </c>
      <c r="B20" s="170">
        <v>49366380</v>
      </c>
      <c r="C20" s="230">
        <f t="shared" si="5"/>
        <v>101.74</v>
      </c>
      <c r="D20" s="230">
        <f t="shared" si="5"/>
        <v>9.5400000000000009</v>
      </c>
      <c r="E20" s="171">
        <v>0</v>
      </c>
      <c r="F20" s="185">
        <v>30</v>
      </c>
      <c r="G20" s="16">
        <v>0</v>
      </c>
      <c r="H20" s="297">
        <v>32194</v>
      </c>
      <c r="I20" s="201">
        <v>128.85303193013166</v>
      </c>
      <c r="J20" s="186">
        <v>352.08</v>
      </c>
      <c r="K20" s="185">
        <v>176.9</v>
      </c>
      <c r="L20" s="187">
        <v>9.4</v>
      </c>
      <c r="M20" s="16">
        <f t="shared" si="4"/>
        <v>51124567.723674797</v>
      </c>
      <c r="N20" s="50">
        <f t="shared" si="0"/>
        <v>1758187.7236747965</v>
      </c>
      <c r="O20" s="103">
        <f t="shared" si="1"/>
        <v>3.5615083051963634E-2</v>
      </c>
      <c r="P20" s="13">
        <f t="shared" si="2"/>
        <v>3.5615083051963634E-2</v>
      </c>
      <c r="Q20" s="13"/>
      <c r="R20" s="13"/>
      <c r="S20" s="33" t="s">
        <v>5</v>
      </c>
      <c r="T20" s="293">
        <v>81508.624267200837</v>
      </c>
      <c r="U20" s="293">
        <v>14380.531483238521</v>
      </c>
      <c r="V20" s="348">
        <v>5.6679841327286571</v>
      </c>
      <c r="W20" s="33">
        <v>5.9372432802022989E-8</v>
      </c>
      <c r="X20" s="293">
        <v>53124.743416376012</v>
      </c>
      <c r="Y20" s="293">
        <v>109892.50511802567</v>
      </c>
    </row>
    <row r="21" spans="1:25" x14ac:dyDescent="0.25">
      <c r="A21" s="169">
        <f t="shared" si="3"/>
        <v>38199</v>
      </c>
      <c r="B21" s="170">
        <v>51210208</v>
      </c>
      <c r="C21" s="230">
        <f t="shared" si="5"/>
        <v>40.76</v>
      </c>
      <c r="D21" s="230">
        <f t="shared" si="5"/>
        <v>36.08</v>
      </c>
      <c r="E21" s="171">
        <v>0</v>
      </c>
      <c r="F21" s="185">
        <v>31</v>
      </c>
      <c r="G21" s="16">
        <v>0</v>
      </c>
      <c r="H21" s="297">
        <v>32195</v>
      </c>
      <c r="I21" s="201">
        <v>129.11844807878055</v>
      </c>
      <c r="J21" s="186">
        <v>336.28800000000001</v>
      </c>
      <c r="K21" s="185">
        <v>175.7</v>
      </c>
      <c r="L21" s="187">
        <v>8.9</v>
      </c>
      <c r="M21" s="16">
        <f t="shared" si="4"/>
        <v>52697875.652538233</v>
      </c>
      <c r="N21" s="50">
        <f t="shared" si="0"/>
        <v>1487667.6525382325</v>
      </c>
      <c r="O21" s="103">
        <f t="shared" si="1"/>
        <v>2.905021695163262E-2</v>
      </c>
      <c r="P21" s="13">
        <f t="shared" si="2"/>
        <v>2.905021695163262E-2</v>
      </c>
      <c r="Q21" s="13"/>
      <c r="R21" s="13"/>
      <c r="S21" s="33" t="s">
        <v>22</v>
      </c>
      <c r="T21" s="293">
        <v>-2927241.3685196331</v>
      </c>
      <c r="U21" s="293">
        <v>379245.24561215617</v>
      </c>
      <c r="V21" s="348">
        <v>-7.7185974046810948</v>
      </c>
      <c r="W21" s="33">
        <v>8.997158701724998E-13</v>
      </c>
      <c r="X21" s="293">
        <v>-3675784.7639597761</v>
      </c>
      <c r="Y21" s="293">
        <v>-2178697.97307949</v>
      </c>
    </row>
    <row r="22" spans="1:25" x14ac:dyDescent="0.25">
      <c r="A22" s="169">
        <f t="shared" si="3"/>
        <v>38230</v>
      </c>
      <c r="B22" s="170">
        <v>50192756</v>
      </c>
      <c r="C22" s="230">
        <f t="shared" si="5"/>
        <v>42.03</v>
      </c>
      <c r="D22" s="230">
        <f t="shared" si="5"/>
        <v>33.799999999999997</v>
      </c>
      <c r="E22" s="171">
        <v>0</v>
      </c>
      <c r="F22" s="185">
        <v>31</v>
      </c>
      <c r="G22" s="16">
        <v>0</v>
      </c>
      <c r="H22" s="297">
        <v>32205</v>
      </c>
      <c r="I22" s="201">
        <v>129.38441094123903</v>
      </c>
      <c r="J22" s="186">
        <v>336.28800000000001</v>
      </c>
      <c r="K22" s="185">
        <v>172.6</v>
      </c>
      <c r="L22" s="187">
        <v>9.8000000000000007</v>
      </c>
      <c r="M22" s="16">
        <f t="shared" si="4"/>
        <v>52583254.778619684</v>
      </c>
      <c r="N22" s="50">
        <f t="shared" si="0"/>
        <v>2390498.7786196843</v>
      </c>
      <c r="O22" s="103">
        <f t="shared" si="1"/>
        <v>4.7626370200107848E-2</v>
      </c>
      <c r="P22" s="13">
        <f t="shared" si="2"/>
        <v>4.7626370200107848E-2</v>
      </c>
      <c r="Q22" s="13"/>
      <c r="R22" s="13"/>
      <c r="S22" s="33" t="s">
        <v>6</v>
      </c>
      <c r="T22" s="293">
        <v>1797996.8822197667</v>
      </c>
      <c r="U22" s="293">
        <v>209613.10473888047</v>
      </c>
      <c r="V22" s="348">
        <v>8.5776931001502508</v>
      </c>
      <c r="W22" s="33">
        <v>5.3255009825640031E-15</v>
      </c>
      <c r="X22" s="293">
        <v>1384268.5442501621</v>
      </c>
      <c r="Y22" s="293">
        <v>2211725.2201893716</v>
      </c>
    </row>
    <row r="23" spans="1:25" x14ac:dyDescent="0.25">
      <c r="A23" s="169">
        <f t="shared" si="3"/>
        <v>38260</v>
      </c>
      <c r="B23" s="170">
        <v>50272804</v>
      </c>
      <c r="C23" s="230">
        <f t="shared" si="5"/>
        <v>129.35999999999999</v>
      </c>
      <c r="D23" s="230">
        <f t="shared" si="5"/>
        <v>11.579999999999998</v>
      </c>
      <c r="E23" s="171">
        <v>1</v>
      </c>
      <c r="F23" s="185">
        <v>30</v>
      </c>
      <c r="G23" s="16">
        <v>0</v>
      </c>
      <c r="H23" s="297">
        <v>32206</v>
      </c>
      <c r="I23" s="201">
        <v>129.65092164364802</v>
      </c>
      <c r="J23" s="186">
        <v>336.24</v>
      </c>
      <c r="K23" s="185">
        <v>168.7</v>
      </c>
      <c r="L23" s="187">
        <v>10.5</v>
      </c>
      <c r="M23" s="16">
        <f t="shared" si="4"/>
        <v>49471882.499066032</v>
      </c>
      <c r="N23" s="50">
        <f t="shared" si="0"/>
        <v>-800921.50093396753</v>
      </c>
      <c r="O23" s="103">
        <f t="shared" si="1"/>
        <v>-1.5931506444994942E-2</v>
      </c>
      <c r="P23" s="13">
        <f t="shared" si="2"/>
        <v>1.5931506444994942E-2</v>
      </c>
      <c r="Q23" s="13"/>
      <c r="R23" s="13"/>
      <c r="S23" s="33" t="s">
        <v>114</v>
      </c>
      <c r="T23" s="348">
        <v>-3.2928506250304119</v>
      </c>
      <c r="U23" s="293">
        <v>0.39039485389244505</v>
      </c>
      <c r="V23" s="348">
        <v>-8.4346670869222109</v>
      </c>
      <c r="W23" s="33">
        <v>1.2701876457520298E-14</v>
      </c>
      <c r="X23" s="293">
        <v>-4.0634007977117133</v>
      </c>
      <c r="Y23" s="293">
        <v>-2.522300452349111</v>
      </c>
    </row>
    <row r="24" spans="1:25" ht="13.8" thickBot="1" x14ac:dyDescent="0.3">
      <c r="A24" s="169">
        <f t="shared" si="3"/>
        <v>38291</v>
      </c>
      <c r="B24" s="170">
        <v>57641764</v>
      </c>
      <c r="C24" s="230">
        <f t="shared" si="5"/>
        <v>306.13</v>
      </c>
      <c r="D24" s="230">
        <f t="shared" si="5"/>
        <v>0.46999999999999992</v>
      </c>
      <c r="E24" s="171">
        <v>1</v>
      </c>
      <c r="F24" s="185">
        <v>31</v>
      </c>
      <c r="G24" s="16">
        <v>0</v>
      </c>
      <c r="H24" s="297">
        <v>32231</v>
      </c>
      <c r="I24" s="201">
        <v>129.91798131446814</v>
      </c>
      <c r="J24" s="186">
        <v>319.92</v>
      </c>
      <c r="K24" s="185">
        <v>168.5</v>
      </c>
      <c r="L24" s="187">
        <v>9.9</v>
      </c>
      <c r="M24" s="16">
        <f t="shared" si="4"/>
        <v>57346310.360647671</v>
      </c>
      <c r="N24" s="50">
        <f t="shared" si="0"/>
        <v>-295453.63935232908</v>
      </c>
      <c r="O24" s="103">
        <f t="shared" si="1"/>
        <v>-5.1256869819655253E-3</v>
      </c>
      <c r="P24" s="13">
        <f t="shared" si="2"/>
        <v>5.1256869819655253E-3</v>
      </c>
      <c r="Q24" s="13"/>
      <c r="R24" s="13"/>
      <c r="S24" s="34" t="s">
        <v>102</v>
      </c>
      <c r="T24" s="294">
        <v>2144.195296241448</v>
      </c>
      <c r="U24" s="294">
        <v>722.54349481001361</v>
      </c>
      <c r="V24" s="349">
        <v>2.96756570593061</v>
      </c>
      <c r="W24" s="34">
        <v>3.4269754500553746E-3</v>
      </c>
      <c r="X24" s="294">
        <v>718.05965653090357</v>
      </c>
      <c r="Y24" s="294">
        <v>3570.3309359519926</v>
      </c>
    </row>
    <row r="25" spans="1:25" x14ac:dyDescent="0.25">
      <c r="A25" s="169">
        <f t="shared" si="3"/>
        <v>38321</v>
      </c>
      <c r="B25" s="170">
        <v>64887008</v>
      </c>
      <c r="C25" s="230">
        <f t="shared" si="5"/>
        <v>480.06200000000001</v>
      </c>
      <c r="D25" s="230">
        <f t="shared" si="5"/>
        <v>0</v>
      </c>
      <c r="E25" s="171">
        <v>1</v>
      </c>
      <c r="F25" s="185">
        <v>30</v>
      </c>
      <c r="G25" s="16">
        <v>0</v>
      </c>
      <c r="H25" s="297">
        <v>32250</v>
      </c>
      <c r="I25" s="201">
        <v>130.18559108448443</v>
      </c>
      <c r="J25" s="186">
        <v>352.08</v>
      </c>
      <c r="K25" s="185">
        <v>169.9</v>
      </c>
      <c r="L25" s="187">
        <v>10</v>
      </c>
      <c r="M25" s="16">
        <f t="shared" si="4"/>
        <v>62367897.45621524</v>
      </c>
      <c r="N25" s="50">
        <f t="shared" si="0"/>
        <v>-2519110.5437847599</v>
      </c>
      <c r="O25" s="103">
        <f t="shared" si="1"/>
        <v>-3.8823034401351347E-2</v>
      </c>
      <c r="P25" s="13">
        <f t="shared" si="2"/>
        <v>3.8823034401351347E-2</v>
      </c>
      <c r="Q25" s="13"/>
      <c r="R25" s="13"/>
    </row>
    <row r="26" spans="1:25" x14ac:dyDescent="0.25">
      <c r="A26" s="169">
        <f t="shared" si="3"/>
        <v>38352</v>
      </c>
      <c r="B26" s="170">
        <v>83696492</v>
      </c>
      <c r="C26" s="230">
        <f t="shared" si="5"/>
        <v>702.73800000000006</v>
      </c>
      <c r="D26" s="230">
        <f t="shared" si="5"/>
        <v>0</v>
      </c>
      <c r="E26" s="171">
        <v>0</v>
      </c>
      <c r="F26" s="185">
        <v>31</v>
      </c>
      <c r="G26" s="16">
        <v>0</v>
      </c>
      <c r="H26" s="297">
        <v>32296</v>
      </c>
      <c r="I26" s="201">
        <v>130.45375208681136</v>
      </c>
      <c r="J26" s="186">
        <v>336.28800000000001</v>
      </c>
      <c r="K26" s="185">
        <v>172.3</v>
      </c>
      <c r="L26" s="187">
        <v>9.5</v>
      </c>
      <c r="M26" s="16">
        <f t="shared" si="4"/>
        <v>75919411.866133004</v>
      </c>
      <c r="N26" s="50">
        <f t="shared" si="0"/>
        <v>-7777080.1338669956</v>
      </c>
      <c r="O26" s="103">
        <f t="shared" si="1"/>
        <v>-9.2920025057525654E-2</v>
      </c>
      <c r="P26" s="13">
        <f t="shared" si="2"/>
        <v>9.2920025057525654E-2</v>
      </c>
      <c r="Q26" s="13"/>
      <c r="R26" s="13"/>
    </row>
    <row r="27" spans="1:25" x14ac:dyDescent="0.25">
      <c r="A27" s="169">
        <f t="shared" si="3"/>
        <v>38383</v>
      </c>
      <c r="B27" s="170">
        <v>88287600</v>
      </c>
      <c r="C27" s="230">
        <f t="shared" si="5"/>
        <v>824.21</v>
      </c>
      <c r="D27" s="230">
        <f t="shared" si="5"/>
        <v>0</v>
      </c>
      <c r="E27" s="171">
        <v>0</v>
      </c>
      <c r="F27" s="185">
        <v>31</v>
      </c>
      <c r="G27" s="16">
        <v>0</v>
      </c>
      <c r="H27" s="297">
        <v>32294</v>
      </c>
      <c r="I27" s="201">
        <v>130.74370215685079</v>
      </c>
      <c r="J27" s="186">
        <v>319.92</v>
      </c>
      <c r="K27" s="185">
        <v>173.3</v>
      </c>
      <c r="L27" s="187">
        <v>11.1</v>
      </c>
      <c r="M27" s="16">
        <f t="shared" si="4"/>
        <v>80676140.701557532</v>
      </c>
      <c r="N27" s="50">
        <f t="shared" si="0"/>
        <v>-7611459.298442468</v>
      </c>
      <c r="O27" s="103">
        <f t="shared" si="1"/>
        <v>-8.6212098850149604E-2</v>
      </c>
      <c r="P27" s="13">
        <f t="shared" si="2"/>
        <v>8.6212098850149604E-2</v>
      </c>
      <c r="Q27" s="13"/>
      <c r="R27" s="13"/>
    </row>
    <row r="28" spans="1:25" x14ac:dyDescent="0.25">
      <c r="A28" s="169">
        <f t="shared" si="3"/>
        <v>38411</v>
      </c>
      <c r="B28" s="170">
        <v>71065788</v>
      </c>
      <c r="C28" s="230">
        <f t="shared" si="5"/>
        <v>754.1099999999999</v>
      </c>
      <c r="D28" s="230">
        <f t="shared" si="5"/>
        <v>0</v>
      </c>
      <c r="E28" s="171">
        <v>0</v>
      </c>
      <c r="F28" s="185">
        <v>28</v>
      </c>
      <c r="G28" s="16">
        <v>0</v>
      </c>
      <c r="H28" s="297">
        <v>32296</v>
      </c>
      <c r="I28" s="201">
        <v>131.0342966778299</v>
      </c>
      <c r="J28" s="186">
        <v>319.87200000000001</v>
      </c>
      <c r="K28" s="185">
        <v>175.1</v>
      </c>
      <c r="L28" s="187">
        <v>11.9</v>
      </c>
      <c r="M28" s="16">
        <f t="shared" si="4"/>
        <v>72538913.85098505</v>
      </c>
      <c r="N28" s="50">
        <f t="shared" si="0"/>
        <v>1473125.8509850502</v>
      </c>
      <c r="O28" s="103">
        <f t="shared" si="1"/>
        <v>2.0729044065268792E-2</v>
      </c>
      <c r="P28" s="13">
        <f t="shared" si="2"/>
        <v>2.0729044065268792E-2</v>
      </c>
      <c r="Q28" s="13"/>
      <c r="R28" s="13"/>
      <c r="S28" s="289"/>
      <c r="T28" s="289"/>
      <c r="U28" s="289"/>
      <c r="V28" s="289"/>
      <c r="W28" s="289"/>
      <c r="X28" s="289"/>
      <c r="Y28" s="289"/>
    </row>
    <row r="29" spans="1:25" x14ac:dyDescent="0.25">
      <c r="A29" s="169">
        <f t="shared" si="3"/>
        <v>38442</v>
      </c>
      <c r="B29" s="170">
        <v>73186104</v>
      </c>
      <c r="C29" s="230">
        <f t="shared" si="5"/>
        <v>679.39</v>
      </c>
      <c r="D29" s="230">
        <f t="shared" si="5"/>
        <v>0</v>
      </c>
      <c r="E29" s="171">
        <v>1</v>
      </c>
      <c r="F29" s="185">
        <v>31</v>
      </c>
      <c r="G29" s="16">
        <v>0</v>
      </c>
      <c r="H29" s="297">
        <v>32283</v>
      </c>
      <c r="I29" s="201">
        <v>131.32553708212293</v>
      </c>
      <c r="J29" s="186">
        <v>351.91199999999998</v>
      </c>
      <c r="K29" s="185">
        <v>176.4</v>
      </c>
      <c r="L29" s="187">
        <v>14.8</v>
      </c>
      <c r="M29" s="16">
        <f t="shared" si="4"/>
        <v>72049186.05530262</v>
      </c>
      <c r="N29" s="50">
        <f t="shared" si="0"/>
        <v>-1136917.9446973801</v>
      </c>
      <c r="O29" s="103">
        <f t="shared" si="1"/>
        <v>-1.5534614941347063E-2</v>
      </c>
      <c r="P29" s="13">
        <f t="shared" si="2"/>
        <v>1.5534614941347063E-2</v>
      </c>
      <c r="Q29" s="13"/>
      <c r="R29" s="13"/>
      <c r="S29" s="289"/>
      <c r="T29" s="289"/>
      <c r="U29" s="289"/>
      <c r="V29" s="289"/>
      <c r="W29" s="289"/>
      <c r="X29" s="289"/>
      <c r="Y29" s="289"/>
    </row>
    <row r="30" spans="1:25" x14ac:dyDescent="0.25">
      <c r="A30" s="169">
        <f t="shared" si="3"/>
        <v>38472</v>
      </c>
      <c r="B30" s="170">
        <v>56446820</v>
      </c>
      <c r="C30" s="230">
        <f t="shared" si="5"/>
        <v>427.16999999999996</v>
      </c>
      <c r="D30" s="230">
        <f t="shared" si="5"/>
        <v>0.02</v>
      </c>
      <c r="E30" s="171">
        <v>1</v>
      </c>
      <c r="F30" s="185">
        <v>30</v>
      </c>
      <c r="G30" s="16">
        <v>0</v>
      </c>
      <c r="H30" s="297">
        <v>32297</v>
      </c>
      <c r="I30" s="201">
        <v>131.61742480528775</v>
      </c>
      <c r="J30" s="186">
        <v>336.24</v>
      </c>
      <c r="K30" s="185">
        <v>178.3</v>
      </c>
      <c r="L30" s="187">
        <v>14.5</v>
      </c>
      <c r="M30" s="16">
        <f t="shared" si="4"/>
        <v>60397236.74981232</v>
      </c>
      <c r="N30" s="50">
        <f t="shared" si="0"/>
        <v>3950416.7498123199</v>
      </c>
      <c r="O30" s="103">
        <f t="shared" si="1"/>
        <v>6.9984752902153211E-2</v>
      </c>
      <c r="P30" s="13">
        <f t="shared" si="2"/>
        <v>6.9984752902153211E-2</v>
      </c>
      <c r="Q30" s="13"/>
      <c r="R30" s="13"/>
      <c r="S30" s="289"/>
      <c r="T30" s="289"/>
      <c r="U30" s="289"/>
      <c r="V30" s="289"/>
      <c r="W30" s="289"/>
      <c r="X30" s="289"/>
      <c r="Y30" s="289"/>
    </row>
    <row r="31" spans="1:25" x14ac:dyDescent="0.25">
      <c r="A31" s="169">
        <f t="shared" si="3"/>
        <v>38503</v>
      </c>
      <c r="B31" s="170">
        <v>53664344</v>
      </c>
      <c r="C31" s="230">
        <f t="shared" si="5"/>
        <v>232.2</v>
      </c>
      <c r="D31" s="230">
        <f t="shared" si="5"/>
        <v>3.9</v>
      </c>
      <c r="E31" s="171">
        <v>1</v>
      </c>
      <c r="F31" s="185">
        <v>31</v>
      </c>
      <c r="G31" s="16">
        <v>0</v>
      </c>
      <c r="H31" s="297">
        <v>32300</v>
      </c>
      <c r="I31" s="201">
        <v>131.90996128607298</v>
      </c>
      <c r="J31" s="186">
        <v>336.28800000000001</v>
      </c>
      <c r="K31" s="185">
        <v>178.7</v>
      </c>
      <c r="L31" s="187">
        <v>13.2</v>
      </c>
      <c r="M31" s="16">
        <f t="shared" si="4"/>
        <v>54876195.426286258</v>
      </c>
      <c r="N31" s="50">
        <f t="shared" si="0"/>
        <v>1211851.4262862578</v>
      </c>
      <c r="O31" s="103">
        <f t="shared" si="1"/>
        <v>2.2582059817711699E-2</v>
      </c>
      <c r="P31" s="13">
        <f t="shared" si="2"/>
        <v>2.2582059817711699E-2</v>
      </c>
      <c r="Q31" s="13"/>
      <c r="R31" s="13"/>
      <c r="S31" s="289"/>
      <c r="T31" s="289"/>
      <c r="U31" s="289"/>
      <c r="V31" s="289"/>
      <c r="W31" s="289"/>
      <c r="X31" s="289"/>
      <c r="Y31" s="289"/>
    </row>
    <row r="32" spans="1:25" x14ac:dyDescent="0.25">
      <c r="A32" s="169">
        <f t="shared" si="3"/>
        <v>38533</v>
      </c>
      <c r="B32" s="170">
        <v>51111168</v>
      </c>
      <c r="C32" s="230">
        <f t="shared" si="5"/>
        <v>101.74</v>
      </c>
      <c r="D32" s="230">
        <f t="shared" si="5"/>
        <v>9.5400000000000009</v>
      </c>
      <c r="E32" s="171">
        <v>0</v>
      </c>
      <c r="F32" s="185">
        <v>30</v>
      </c>
      <c r="G32" s="16">
        <v>0</v>
      </c>
      <c r="H32" s="297">
        <v>32310</v>
      </c>
      <c r="I32" s="201">
        <v>132.20314796642501</v>
      </c>
      <c r="J32" s="186">
        <v>352.08</v>
      </c>
      <c r="K32" s="185">
        <v>178.3</v>
      </c>
      <c r="L32" s="187">
        <v>11.3</v>
      </c>
      <c r="M32" s="16">
        <f t="shared" si="4"/>
        <v>51373294.378038816</v>
      </c>
      <c r="N32" s="50">
        <f t="shared" si="0"/>
        <v>262126.37803881615</v>
      </c>
      <c r="O32" s="103">
        <f t="shared" si="1"/>
        <v>5.1285538620212349E-3</v>
      </c>
      <c r="P32" s="13">
        <f t="shared" si="2"/>
        <v>5.1285538620212349E-3</v>
      </c>
      <c r="Q32" s="13"/>
      <c r="R32" s="13"/>
      <c r="S32" s="289"/>
      <c r="T32" s="289"/>
      <c r="U32" s="289"/>
      <c r="V32" s="289"/>
      <c r="W32" s="289"/>
      <c r="X32" s="289"/>
      <c r="Y32" s="289"/>
    </row>
    <row r="33" spans="1:48" x14ac:dyDescent="0.25">
      <c r="A33" s="169">
        <f t="shared" si="3"/>
        <v>38564</v>
      </c>
      <c r="B33" s="170">
        <v>53387012</v>
      </c>
      <c r="C33" s="230">
        <f t="shared" si="5"/>
        <v>40.76</v>
      </c>
      <c r="D33" s="230">
        <f t="shared" si="5"/>
        <v>36.08</v>
      </c>
      <c r="E33" s="171">
        <v>0</v>
      </c>
      <c r="F33" s="185">
        <v>31</v>
      </c>
      <c r="G33" s="16">
        <v>0</v>
      </c>
      <c r="H33" s="297">
        <v>32356</v>
      </c>
      <c r="I33" s="201">
        <v>132.49698629149512</v>
      </c>
      <c r="J33" s="186">
        <v>319.92</v>
      </c>
      <c r="K33" s="185">
        <v>176.6</v>
      </c>
      <c r="L33" s="187">
        <v>11.3</v>
      </c>
      <c r="M33" s="16">
        <f t="shared" si="4"/>
        <v>53043091.095233105</v>
      </c>
      <c r="N33" s="50">
        <f t="shared" si="0"/>
        <v>-343920.90476689488</v>
      </c>
      <c r="O33" s="103">
        <f t="shared" si="1"/>
        <v>-6.4420332189951907E-3</v>
      </c>
      <c r="P33" s="13">
        <f t="shared" si="2"/>
        <v>6.4420332189951907E-3</v>
      </c>
      <c r="Q33" s="13"/>
      <c r="R33" s="13"/>
      <c r="S33" s="289"/>
      <c r="T33" s="289"/>
      <c r="U33" s="289"/>
      <c r="V33" s="289"/>
      <c r="W33" s="289"/>
      <c r="X33" s="289"/>
      <c r="Y33" s="289"/>
    </row>
    <row r="34" spans="1:48" x14ac:dyDescent="0.25">
      <c r="A34" s="169">
        <f t="shared" si="3"/>
        <v>38595</v>
      </c>
      <c r="B34" s="170">
        <v>52102684</v>
      </c>
      <c r="C34" s="230">
        <f t="shared" si="5"/>
        <v>42.03</v>
      </c>
      <c r="D34" s="230">
        <f t="shared" si="5"/>
        <v>33.799999999999997</v>
      </c>
      <c r="E34" s="171">
        <v>0</v>
      </c>
      <c r="F34" s="185">
        <v>31</v>
      </c>
      <c r="G34" s="16">
        <v>0</v>
      </c>
      <c r="H34" s="297">
        <v>32376</v>
      </c>
      <c r="I34" s="201">
        <v>132.79147770964664</v>
      </c>
      <c r="J34" s="186">
        <v>351.91199999999998</v>
      </c>
      <c r="K34" s="185">
        <v>175.5</v>
      </c>
      <c r="L34" s="187">
        <v>12.8</v>
      </c>
      <c r="M34" s="16">
        <f t="shared" si="4"/>
        <v>52949912.17427697</v>
      </c>
      <c r="N34" s="50">
        <f t="shared" si="0"/>
        <v>847228.17427697033</v>
      </c>
      <c r="O34" s="103">
        <f t="shared" si="1"/>
        <v>1.6260739548023484E-2</v>
      </c>
      <c r="P34" s="13">
        <f t="shared" si="2"/>
        <v>1.6260739548023484E-2</v>
      </c>
      <c r="Q34" s="13"/>
      <c r="R34" s="13"/>
      <c r="S34" s="289"/>
      <c r="T34" s="289"/>
      <c r="U34" s="289"/>
      <c r="V34" s="289"/>
      <c r="W34" s="289"/>
      <c r="X34" s="289"/>
      <c r="Y34" s="289"/>
    </row>
    <row r="35" spans="1:48" x14ac:dyDescent="0.25">
      <c r="A35" s="169">
        <f t="shared" si="3"/>
        <v>38625</v>
      </c>
      <c r="B35" s="170">
        <v>49504120</v>
      </c>
      <c r="C35" s="230">
        <f t="shared" si="5"/>
        <v>129.35999999999999</v>
      </c>
      <c r="D35" s="230">
        <f t="shared" si="5"/>
        <v>11.579999999999998</v>
      </c>
      <c r="E35" s="171">
        <v>1</v>
      </c>
      <c r="F35" s="185">
        <v>30</v>
      </c>
      <c r="G35" s="16">
        <v>0</v>
      </c>
      <c r="H35" s="297">
        <v>32360</v>
      </c>
      <c r="I35" s="201">
        <v>133.08662367246211</v>
      </c>
      <c r="J35" s="186">
        <v>336.24</v>
      </c>
      <c r="K35" s="185">
        <v>174.1</v>
      </c>
      <c r="L35" s="187">
        <v>11.7</v>
      </c>
      <c r="M35" s="16">
        <f t="shared" si="4"/>
        <v>49802088.57468722</v>
      </c>
      <c r="N35" s="50">
        <f t="shared" si="0"/>
        <v>297968.57468722016</v>
      </c>
      <c r="O35" s="103">
        <f t="shared" si="1"/>
        <v>6.0190661845361589E-3</v>
      </c>
      <c r="P35" s="13">
        <f t="shared" si="2"/>
        <v>6.0190661845361589E-3</v>
      </c>
      <c r="Q35" s="13"/>
      <c r="R35" s="13"/>
      <c r="S35" s="289"/>
      <c r="T35" s="289"/>
      <c r="U35" s="289"/>
      <c r="V35" s="289"/>
      <c r="W35" s="289"/>
      <c r="X35" s="289"/>
      <c r="Y35" s="289"/>
    </row>
    <row r="36" spans="1:48" x14ac:dyDescent="0.25">
      <c r="A36" s="169">
        <f t="shared" si="3"/>
        <v>38656</v>
      </c>
      <c r="B36" s="170">
        <v>55381484</v>
      </c>
      <c r="C36" s="230">
        <f t="shared" si="5"/>
        <v>306.13</v>
      </c>
      <c r="D36" s="230">
        <f t="shared" si="5"/>
        <v>0.46999999999999992</v>
      </c>
      <c r="E36" s="171">
        <v>1</v>
      </c>
      <c r="F36" s="185">
        <v>31</v>
      </c>
      <c r="G36" s="16">
        <v>0</v>
      </c>
      <c r="H36" s="297">
        <v>32400</v>
      </c>
      <c r="I36" s="201">
        <v>133.38242563475035</v>
      </c>
      <c r="J36" s="186">
        <v>319.92</v>
      </c>
      <c r="K36" s="185">
        <v>173.7</v>
      </c>
      <c r="L36" s="187">
        <v>11.2</v>
      </c>
      <c r="M36" s="16">
        <f t="shared" si="4"/>
        <v>57708679.365712471</v>
      </c>
      <c r="N36" s="50">
        <f t="shared" si="0"/>
        <v>2327195.3657124713</v>
      </c>
      <c r="O36" s="103">
        <f t="shared" si="1"/>
        <v>4.2021181045139043E-2</v>
      </c>
      <c r="P36" s="13">
        <f t="shared" si="2"/>
        <v>4.2021181045139043E-2</v>
      </c>
      <c r="Q36" s="13"/>
      <c r="R36" s="13"/>
    </row>
    <row r="37" spans="1:48" x14ac:dyDescent="0.25">
      <c r="A37" s="169">
        <f t="shared" si="3"/>
        <v>38686</v>
      </c>
      <c r="B37" s="170">
        <v>65851664</v>
      </c>
      <c r="C37" s="230">
        <f t="shared" si="5"/>
        <v>480.06200000000001</v>
      </c>
      <c r="D37" s="230">
        <f t="shared" si="5"/>
        <v>0</v>
      </c>
      <c r="E37" s="171">
        <v>1</v>
      </c>
      <c r="F37" s="185">
        <v>30</v>
      </c>
      <c r="G37" s="16">
        <v>0</v>
      </c>
      <c r="H37" s="297">
        <v>32410</v>
      </c>
      <c r="I37" s="201">
        <v>133.67888505455369</v>
      </c>
      <c r="J37" s="186">
        <v>352.08</v>
      </c>
      <c r="K37" s="185">
        <v>173.7</v>
      </c>
      <c r="L37" s="187">
        <v>10.6</v>
      </c>
      <c r="M37" s="16">
        <f t="shared" si="4"/>
        <v>62710968.70361387</v>
      </c>
      <c r="N37" s="50">
        <f t="shared" si="0"/>
        <v>-3140695.2963861302</v>
      </c>
      <c r="O37" s="103">
        <f t="shared" si="1"/>
        <v>-4.7693484197850036E-2</v>
      </c>
      <c r="P37" s="13">
        <f t="shared" si="2"/>
        <v>4.7693484197850036E-2</v>
      </c>
      <c r="Q37" s="13"/>
      <c r="R37" s="13"/>
    </row>
    <row r="38" spans="1:48" x14ac:dyDescent="0.25">
      <c r="A38" s="169">
        <f t="shared" si="3"/>
        <v>38717</v>
      </c>
      <c r="B38" s="170">
        <v>79230244</v>
      </c>
      <c r="C38" s="230">
        <f t="shared" si="5"/>
        <v>702.73800000000006</v>
      </c>
      <c r="D38" s="230">
        <f t="shared" si="5"/>
        <v>0</v>
      </c>
      <c r="E38" s="171">
        <v>0</v>
      </c>
      <c r="F38" s="185">
        <v>31</v>
      </c>
      <c r="G38" s="16">
        <v>0</v>
      </c>
      <c r="H38" s="297">
        <v>32415</v>
      </c>
      <c r="I38" s="201">
        <v>133.97600339315525</v>
      </c>
      <c r="J38" s="186">
        <v>319.92</v>
      </c>
      <c r="K38" s="185">
        <v>174.6</v>
      </c>
      <c r="L38" s="187">
        <v>11.3</v>
      </c>
      <c r="M38" s="16">
        <f t="shared" si="4"/>
        <v>76174571.106385738</v>
      </c>
      <c r="N38" s="50">
        <f t="shared" si="0"/>
        <v>-3055672.8936142623</v>
      </c>
      <c r="O38" s="103">
        <f t="shared" si="1"/>
        <v>-3.8567000924725946E-2</v>
      </c>
      <c r="P38" s="13">
        <f t="shared" si="2"/>
        <v>3.8567000924725946E-2</v>
      </c>
      <c r="Q38" s="13"/>
      <c r="R38" s="13"/>
    </row>
    <row r="39" spans="1:48" x14ac:dyDescent="0.25">
      <c r="A39" s="169">
        <f>EOMONTH(A38,1)</f>
        <v>38748</v>
      </c>
      <c r="B39" s="172">
        <v>76234176</v>
      </c>
      <c r="C39" s="230">
        <f t="shared" si="5"/>
        <v>824.21</v>
      </c>
      <c r="D39" s="230">
        <f t="shared" si="5"/>
        <v>0</v>
      </c>
      <c r="E39" s="171">
        <v>0</v>
      </c>
      <c r="F39" s="185">
        <v>31</v>
      </c>
      <c r="G39" s="16">
        <f>'CDM Activity'!H21</f>
        <v>20147.711936101357</v>
      </c>
      <c r="H39" s="297">
        <v>32395</v>
      </c>
      <c r="I39" s="201">
        <v>134.25197202423305</v>
      </c>
      <c r="J39" s="186">
        <v>336.28800000000001</v>
      </c>
      <c r="K39" s="185">
        <v>174.1</v>
      </c>
      <c r="L39" s="187">
        <v>12.5</v>
      </c>
      <c r="M39" s="16">
        <f t="shared" si="4"/>
        <v>80826361.020636201</v>
      </c>
      <c r="N39" s="50">
        <f t="shared" si="0"/>
        <v>4592185.0206362009</v>
      </c>
      <c r="O39" s="103">
        <f t="shared" si="1"/>
        <v>6.023787835833893E-2</v>
      </c>
      <c r="P39" s="13">
        <f t="shared" si="2"/>
        <v>6.023787835833893E-2</v>
      </c>
      <c r="Q39" s="13"/>
      <c r="R39" s="13"/>
    </row>
    <row r="40" spans="1:48" x14ac:dyDescent="0.25">
      <c r="A40" s="169">
        <f t="shared" si="3"/>
        <v>38776</v>
      </c>
      <c r="B40" s="172">
        <v>71202696</v>
      </c>
      <c r="C40" s="230">
        <f t="shared" si="5"/>
        <v>754.1099999999999</v>
      </c>
      <c r="D40" s="230">
        <f t="shared" si="5"/>
        <v>0</v>
      </c>
      <c r="E40" s="171">
        <v>0</v>
      </c>
      <c r="F40" s="185">
        <v>28</v>
      </c>
      <c r="G40" s="16">
        <f>'CDM Activity'!H22</f>
        <v>40295.423872202715</v>
      </c>
      <c r="H40" s="297">
        <v>32399</v>
      </c>
      <c r="I40" s="201">
        <v>134.52850910550649</v>
      </c>
      <c r="J40" s="186">
        <v>319.87200000000001</v>
      </c>
      <c r="K40" s="185">
        <v>172.9</v>
      </c>
      <c r="L40" s="187">
        <v>12.6</v>
      </c>
      <c r="M40" s="16">
        <f t="shared" si="4"/>
        <v>72627079.154814452</v>
      </c>
      <c r="N40" s="50">
        <f t="shared" si="0"/>
        <v>1424383.1548144519</v>
      </c>
      <c r="O40" s="103">
        <f t="shared" si="1"/>
        <v>2.000462390938753E-2</v>
      </c>
      <c r="P40" s="13">
        <f t="shared" si="2"/>
        <v>2.000462390938753E-2</v>
      </c>
      <c r="Q40" s="13"/>
      <c r="R40" s="13"/>
    </row>
    <row r="41" spans="1:48" x14ac:dyDescent="0.25">
      <c r="A41" s="169">
        <f t="shared" si="3"/>
        <v>38807</v>
      </c>
      <c r="B41" s="172">
        <v>70367240</v>
      </c>
      <c r="C41" s="230">
        <f t="shared" si="5"/>
        <v>679.39</v>
      </c>
      <c r="D41" s="230">
        <f t="shared" si="5"/>
        <v>0</v>
      </c>
      <c r="E41" s="171">
        <v>1</v>
      </c>
      <c r="F41" s="185">
        <v>31</v>
      </c>
      <c r="G41" s="16">
        <f>'CDM Activity'!H23</f>
        <v>60443.135808304069</v>
      </c>
      <c r="H41" s="297">
        <v>32453</v>
      </c>
      <c r="I41" s="201">
        <v>134.80561580788986</v>
      </c>
      <c r="J41" s="186">
        <v>368.28</v>
      </c>
      <c r="K41" s="185">
        <v>172.6</v>
      </c>
      <c r="L41" s="187">
        <v>13.1</v>
      </c>
      <c r="M41" s="16">
        <f t="shared" si="4"/>
        <v>72214669.038138494</v>
      </c>
      <c r="N41" s="50">
        <f t="shared" si="0"/>
        <v>1847429.0381384939</v>
      </c>
      <c r="O41" s="103">
        <f t="shared" si="1"/>
        <v>2.6254106856237275E-2</v>
      </c>
      <c r="P41" s="13">
        <f t="shared" si="2"/>
        <v>2.6254106856237275E-2</v>
      </c>
      <c r="Q41" s="13"/>
      <c r="R41" s="13"/>
    </row>
    <row r="42" spans="1:48" x14ac:dyDescent="0.25">
      <c r="A42" s="169">
        <f t="shared" si="3"/>
        <v>38837</v>
      </c>
      <c r="B42" s="172">
        <v>56652640</v>
      </c>
      <c r="C42" s="230">
        <f t="shared" si="5"/>
        <v>427.16999999999996</v>
      </c>
      <c r="D42" s="230">
        <f t="shared" si="5"/>
        <v>0.02</v>
      </c>
      <c r="E42" s="171">
        <v>1</v>
      </c>
      <c r="F42" s="185">
        <v>30</v>
      </c>
      <c r="G42" s="16">
        <f>'CDM Activity'!H24</f>
        <v>80590.84774440543</v>
      </c>
      <c r="H42" s="297">
        <v>32445</v>
      </c>
      <c r="I42" s="201">
        <v>135.08329330470943</v>
      </c>
      <c r="J42" s="186">
        <v>303.83999999999997</v>
      </c>
      <c r="K42" s="185">
        <v>173.6</v>
      </c>
      <c r="L42" s="187">
        <v>11.8</v>
      </c>
      <c r="M42" s="16">
        <f t="shared" si="4"/>
        <v>60449204.030289158</v>
      </c>
      <c r="N42" s="50">
        <f t="shared" si="0"/>
        <v>3796564.0302891582</v>
      </c>
      <c r="O42" s="103">
        <f t="shared" si="1"/>
        <v>6.7014776898113804E-2</v>
      </c>
      <c r="P42" s="13">
        <f t="shared" si="2"/>
        <v>6.7014776898113804E-2</v>
      </c>
      <c r="Q42" s="13"/>
      <c r="R42" s="13"/>
    </row>
    <row r="43" spans="1:48" x14ac:dyDescent="0.25">
      <c r="A43" s="169">
        <f t="shared" si="3"/>
        <v>38868</v>
      </c>
      <c r="B43" s="172">
        <v>52446572</v>
      </c>
      <c r="C43" s="230">
        <f t="shared" si="5"/>
        <v>232.2</v>
      </c>
      <c r="D43" s="230">
        <f t="shared" si="5"/>
        <v>3.9</v>
      </c>
      <c r="E43" s="171">
        <v>1</v>
      </c>
      <c r="F43" s="185">
        <v>31</v>
      </c>
      <c r="G43" s="16">
        <f>'CDM Activity'!H25</f>
        <v>100738.55968050679</v>
      </c>
      <c r="H43" s="297">
        <v>32425</v>
      </c>
      <c r="I43" s="201">
        <v>135.36154277170829</v>
      </c>
      <c r="J43" s="186">
        <v>351.91199999999998</v>
      </c>
      <c r="K43" s="185">
        <v>175.7</v>
      </c>
      <c r="L43" s="187">
        <v>11.5</v>
      </c>
      <c r="M43" s="16">
        <f t="shared" si="4"/>
        <v>54812502.80910781</v>
      </c>
      <c r="N43" s="50">
        <f t="shared" si="0"/>
        <v>2365930.8091078103</v>
      </c>
      <c r="O43" s="103">
        <f t="shared" si="1"/>
        <v>4.5111257397486539E-2</v>
      </c>
      <c r="P43" s="13">
        <f t="shared" si="2"/>
        <v>4.5111257397486539E-2</v>
      </c>
      <c r="Q43" s="13"/>
      <c r="R43" s="13"/>
      <c r="AB43" s="28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</row>
    <row r="44" spans="1:48" x14ac:dyDescent="0.25">
      <c r="A44" s="169">
        <f t="shared" si="3"/>
        <v>38898</v>
      </c>
      <c r="B44" s="172">
        <v>49917449</v>
      </c>
      <c r="C44" s="230">
        <f t="shared" si="5"/>
        <v>101.74</v>
      </c>
      <c r="D44" s="230">
        <f t="shared" si="5"/>
        <v>9.5400000000000009</v>
      </c>
      <c r="E44" s="171">
        <v>0</v>
      </c>
      <c r="F44" s="185">
        <v>30</v>
      </c>
      <c r="G44" s="16">
        <f>'CDM Activity'!H26</f>
        <v>120886.27161660815</v>
      </c>
      <c r="H44" s="297">
        <v>32422</v>
      </c>
      <c r="I44" s="201">
        <v>135.64036538705133</v>
      </c>
      <c r="J44" s="186">
        <v>352.08</v>
      </c>
      <c r="K44" s="185">
        <v>178.6</v>
      </c>
      <c r="L44" s="187">
        <v>11.2</v>
      </c>
      <c r="M44" s="16">
        <f t="shared" si="4"/>
        <v>51215383.816167504</v>
      </c>
      <c r="N44" s="50">
        <f t="shared" si="0"/>
        <v>1297934.8161675036</v>
      </c>
      <c r="O44" s="103">
        <f t="shared" si="1"/>
        <v>2.600162552712787E-2</v>
      </c>
      <c r="P44" s="13">
        <f t="shared" si="2"/>
        <v>2.600162552712787E-2</v>
      </c>
      <c r="Q44" s="13"/>
      <c r="R44" s="13"/>
      <c r="AB44" s="28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</row>
    <row r="45" spans="1:48" x14ac:dyDescent="0.25">
      <c r="A45" s="169">
        <f t="shared" si="3"/>
        <v>38929</v>
      </c>
      <c r="B45" s="172">
        <v>53606640</v>
      </c>
      <c r="C45" s="230">
        <f t="shared" si="5"/>
        <v>40.76</v>
      </c>
      <c r="D45" s="230">
        <f t="shared" si="5"/>
        <v>36.08</v>
      </c>
      <c r="E45" s="171">
        <v>0</v>
      </c>
      <c r="F45" s="185">
        <v>31</v>
      </c>
      <c r="G45" s="16">
        <f>'CDM Activity'!H27</f>
        <v>141033.98355270951</v>
      </c>
      <c r="H45" s="297">
        <v>32399</v>
      </c>
      <c r="I45" s="201">
        <v>135.9197623313303</v>
      </c>
      <c r="J45" s="186">
        <v>319.92</v>
      </c>
      <c r="K45" s="185">
        <v>180.2</v>
      </c>
      <c r="L45" s="187">
        <v>12.6</v>
      </c>
      <c r="M45" s="16">
        <f t="shared" si="4"/>
        <v>52670887.652079418</v>
      </c>
      <c r="N45" s="50">
        <f t="shared" si="0"/>
        <v>-935752.3479205817</v>
      </c>
      <c r="O45" s="103">
        <f t="shared" si="1"/>
        <v>-1.745590374477083E-2</v>
      </c>
      <c r="P45" s="13">
        <f t="shared" si="2"/>
        <v>1.745590374477083E-2</v>
      </c>
      <c r="Q45" s="13"/>
      <c r="R45" s="13"/>
      <c r="AB45" s="28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</row>
    <row r="46" spans="1:48" x14ac:dyDescent="0.25">
      <c r="A46" s="169">
        <f t="shared" si="3"/>
        <v>38960</v>
      </c>
      <c r="B46" s="172">
        <v>51038392</v>
      </c>
      <c r="C46" s="230">
        <f t="shared" si="5"/>
        <v>42.03</v>
      </c>
      <c r="D46" s="230">
        <f t="shared" si="5"/>
        <v>33.799999999999997</v>
      </c>
      <c r="E46" s="171">
        <v>0</v>
      </c>
      <c r="F46" s="185">
        <v>31</v>
      </c>
      <c r="G46" s="16">
        <f>'CDM Activity'!H28</f>
        <v>161181.69548881086</v>
      </c>
      <c r="H46" s="297">
        <v>32410</v>
      </c>
      <c r="I46" s="201">
        <v>136.19973478756879</v>
      </c>
      <c r="J46" s="186">
        <v>351.91199999999998</v>
      </c>
      <c r="K46" s="185">
        <v>180.4</v>
      </c>
      <c r="L46" s="187">
        <v>12.9</v>
      </c>
      <c r="M46" s="16">
        <f t="shared" si="4"/>
        <v>52492067.56761539</v>
      </c>
      <c r="N46" s="50">
        <f t="shared" si="0"/>
        <v>1453675.5676153898</v>
      </c>
      <c r="O46" s="103">
        <f t="shared" si="1"/>
        <v>2.8482001698160668E-2</v>
      </c>
      <c r="P46" s="13">
        <f t="shared" si="2"/>
        <v>2.8482001698160668E-2</v>
      </c>
      <c r="Q46" s="13"/>
      <c r="R46" s="13"/>
      <c r="AB46" s="118"/>
      <c r="AC46" s="118"/>
      <c r="AD46" s="118"/>
      <c r="AE46" s="118"/>
      <c r="AF46" s="118"/>
      <c r="AG46" s="118"/>
      <c r="AH46" s="118"/>
      <c r="AI46" s="118"/>
      <c r="AJ46" s="118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</row>
    <row r="47" spans="1:48" x14ac:dyDescent="0.25">
      <c r="A47" s="169">
        <f t="shared" si="3"/>
        <v>38990</v>
      </c>
      <c r="B47" s="172">
        <v>49455772</v>
      </c>
      <c r="C47" s="230">
        <f t="shared" si="5"/>
        <v>129.35999999999999</v>
      </c>
      <c r="D47" s="230">
        <f t="shared" si="5"/>
        <v>11.579999999999998</v>
      </c>
      <c r="E47" s="171">
        <v>1</v>
      </c>
      <c r="F47" s="185">
        <v>30</v>
      </c>
      <c r="G47" s="16">
        <f>'CDM Activity'!H29</f>
        <v>181329.40742491221</v>
      </c>
      <c r="H47" s="297">
        <v>32415</v>
      </c>
      <c r="I47" s="201">
        <v>136.48028394122719</v>
      </c>
      <c r="J47" s="186">
        <v>319.68</v>
      </c>
      <c r="K47" s="185">
        <v>176.2</v>
      </c>
      <c r="L47" s="187">
        <v>13.7</v>
      </c>
      <c r="M47" s="16">
        <f t="shared" si="4"/>
        <v>49322928.663404986</v>
      </c>
      <c r="N47" s="50">
        <f t="shared" si="0"/>
        <v>-132843.33659501374</v>
      </c>
      <c r="O47" s="103">
        <f t="shared" si="1"/>
        <v>-2.6861037897662125E-3</v>
      </c>
      <c r="P47" s="13">
        <f t="shared" si="2"/>
        <v>2.6861037897662125E-3</v>
      </c>
      <c r="Q47" s="13"/>
      <c r="R47" s="13"/>
      <c r="AB47" s="33"/>
      <c r="AC47" s="33"/>
      <c r="AD47" s="33"/>
      <c r="AE47" s="33"/>
      <c r="AF47" s="33"/>
      <c r="AG47" s="33"/>
      <c r="AH47" s="33"/>
      <c r="AI47" s="33"/>
      <c r="AJ47" s="33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</row>
    <row r="48" spans="1:48" x14ac:dyDescent="0.25">
      <c r="A48" s="169">
        <f t="shared" si="3"/>
        <v>39021</v>
      </c>
      <c r="B48" s="172">
        <v>58920568</v>
      </c>
      <c r="C48" s="230">
        <f t="shared" si="5"/>
        <v>306.13</v>
      </c>
      <c r="D48" s="230">
        <f t="shared" si="5"/>
        <v>0.46999999999999992</v>
      </c>
      <c r="E48" s="171">
        <v>1</v>
      </c>
      <c r="F48" s="185">
        <v>31</v>
      </c>
      <c r="G48" s="16">
        <f>'CDM Activity'!H30</f>
        <v>201477.11936101355</v>
      </c>
      <c r="H48" s="297">
        <v>32423</v>
      </c>
      <c r="I48" s="201">
        <v>136.76141098020776</v>
      </c>
      <c r="J48" s="186">
        <v>336.28800000000001</v>
      </c>
      <c r="K48" s="185">
        <v>174.8</v>
      </c>
      <c r="L48" s="187">
        <v>12.5</v>
      </c>
      <c r="M48" s="16">
        <f t="shared" si="4"/>
        <v>57094561.799108788</v>
      </c>
      <c r="N48" s="50">
        <f t="shared" si="0"/>
        <v>-1826006.2008912116</v>
      </c>
      <c r="O48" s="103">
        <f t="shared" si="1"/>
        <v>-3.0990980957468224E-2</v>
      </c>
      <c r="P48" s="13">
        <f t="shared" si="2"/>
        <v>3.0990980957468224E-2</v>
      </c>
      <c r="Q48" s="13"/>
      <c r="R48" s="13"/>
      <c r="AB48" s="102"/>
      <c r="AC48" s="102"/>
      <c r="AD48" s="102"/>
      <c r="AE48" s="102"/>
      <c r="AF48" s="102"/>
      <c r="AG48" s="102"/>
      <c r="AH48" s="102"/>
      <c r="AI48" s="102"/>
      <c r="AJ48" s="102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</row>
    <row r="49" spans="1:48" x14ac:dyDescent="0.25">
      <c r="A49" s="169">
        <f t="shared" si="3"/>
        <v>39051</v>
      </c>
      <c r="B49" s="172">
        <v>63979576</v>
      </c>
      <c r="C49" s="230">
        <f t="shared" si="5"/>
        <v>480.06200000000001</v>
      </c>
      <c r="D49" s="230">
        <f t="shared" si="5"/>
        <v>0</v>
      </c>
      <c r="E49" s="171">
        <v>1</v>
      </c>
      <c r="F49" s="185">
        <v>30</v>
      </c>
      <c r="G49" s="16">
        <f>'CDM Activity'!H31</f>
        <v>221624.8312971149</v>
      </c>
      <c r="H49" s="297">
        <v>32436</v>
      </c>
      <c r="I49" s="201">
        <v>137.04311709485967</v>
      </c>
      <c r="J49" s="186">
        <v>352.08</v>
      </c>
      <c r="K49" s="185">
        <v>173</v>
      </c>
      <c r="L49" s="187">
        <v>12.4</v>
      </c>
      <c r="M49" s="16">
        <f t="shared" si="4"/>
        <v>62036940.317057192</v>
      </c>
      <c r="N49" s="50">
        <f t="shared" si="0"/>
        <v>-1942635.6829428077</v>
      </c>
      <c r="O49" s="103">
        <f t="shared" si="1"/>
        <v>-3.0363372257152934E-2</v>
      </c>
      <c r="P49" s="13">
        <f t="shared" si="2"/>
        <v>3.0363372257152934E-2</v>
      </c>
      <c r="Q49" s="13"/>
      <c r="R49" s="13"/>
      <c r="AB49" s="102"/>
      <c r="AC49" s="102"/>
      <c r="AD49" s="102"/>
      <c r="AE49" s="102"/>
      <c r="AF49" s="102"/>
      <c r="AG49" s="102"/>
      <c r="AH49" s="102"/>
      <c r="AI49" s="102"/>
      <c r="AJ49" s="102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</row>
    <row r="50" spans="1:48" x14ac:dyDescent="0.25">
      <c r="A50" s="169">
        <f t="shared" si="3"/>
        <v>39082</v>
      </c>
      <c r="B50" s="172">
        <v>74271612</v>
      </c>
      <c r="C50" s="230">
        <f t="shared" si="5"/>
        <v>702.73800000000006</v>
      </c>
      <c r="D50" s="230">
        <f t="shared" si="5"/>
        <v>0</v>
      </c>
      <c r="E50" s="171">
        <v>0</v>
      </c>
      <c r="F50" s="185">
        <v>31</v>
      </c>
      <c r="G50" s="16">
        <f>'CDM Activity'!H32</f>
        <v>241772.54323321625</v>
      </c>
      <c r="H50" s="297">
        <v>32453</v>
      </c>
      <c r="I50" s="201">
        <v>137.32540347798411</v>
      </c>
      <c r="J50" s="186">
        <v>304.29599999999999</v>
      </c>
      <c r="K50" s="185">
        <v>174.8</v>
      </c>
      <c r="L50" s="187">
        <v>11.3</v>
      </c>
      <c r="M50" s="16">
        <f t="shared" si="4"/>
        <v>75459929.657542229</v>
      </c>
      <c r="N50" s="50">
        <f t="shared" si="0"/>
        <v>1188317.6575422287</v>
      </c>
      <c r="O50" s="103">
        <f t="shared" si="1"/>
        <v>1.599962119500286E-2</v>
      </c>
      <c r="P50" s="13">
        <f t="shared" si="2"/>
        <v>1.599962119500286E-2</v>
      </c>
      <c r="Q50" s="13"/>
      <c r="R50" s="13"/>
      <c r="AB50" s="102"/>
      <c r="AC50" s="102"/>
      <c r="AD50" s="102"/>
      <c r="AE50" s="102"/>
      <c r="AF50" s="102"/>
      <c r="AG50" s="102"/>
      <c r="AH50" s="102"/>
      <c r="AI50" s="102"/>
      <c r="AJ50" s="102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</row>
    <row r="51" spans="1:48" x14ac:dyDescent="0.25">
      <c r="A51" s="169">
        <f t="shared" si="3"/>
        <v>39113</v>
      </c>
      <c r="B51" s="172">
        <v>78292016</v>
      </c>
      <c r="C51" s="230">
        <f t="shared" si="5"/>
        <v>824.21</v>
      </c>
      <c r="D51" s="230">
        <f t="shared" si="5"/>
        <v>0</v>
      </c>
      <c r="E51" s="171">
        <v>0</v>
      </c>
      <c r="F51" s="185">
        <v>31</v>
      </c>
      <c r="G51" s="16">
        <f>'CDM Activity'!H33</f>
        <v>262929.37637663796</v>
      </c>
      <c r="H51" s="297">
        <v>32399</v>
      </c>
      <c r="I51" s="201">
        <v>137.552207546647</v>
      </c>
      <c r="J51" s="186">
        <v>351.91199999999998</v>
      </c>
      <c r="K51" s="185">
        <v>174.6</v>
      </c>
      <c r="L51" s="187">
        <v>12</v>
      </c>
      <c r="M51" s="16">
        <f t="shared" si="4"/>
        <v>80035494.046322212</v>
      </c>
      <c r="N51" s="50">
        <f t="shared" si="0"/>
        <v>1743478.0463222116</v>
      </c>
      <c r="O51" s="103">
        <f t="shared" si="1"/>
        <v>2.2268912405093919E-2</v>
      </c>
      <c r="P51" s="13">
        <f t="shared" si="2"/>
        <v>2.2268912405093919E-2</v>
      </c>
      <c r="Q51" s="13"/>
      <c r="R51" s="13"/>
      <c r="AC51" s="102"/>
      <c r="AD51" s="102"/>
      <c r="AE51" s="102"/>
      <c r="AF51" s="102"/>
      <c r="AG51" s="102"/>
      <c r="AH51" s="102"/>
      <c r="AI51" s="102"/>
      <c r="AJ51" s="102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</row>
    <row r="52" spans="1:48" x14ac:dyDescent="0.25">
      <c r="A52" s="169">
        <f t="shared" si="3"/>
        <v>39141</v>
      </c>
      <c r="B52" s="172">
        <v>75583244</v>
      </c>
      <c r="C52" s="230">
        <f t="shared" si="5"/>
        <v>754.1099999999999</v>
      </c>
      <c r="D52" s="230">
        <f t="shared" si="5"/>
        <v>0</v>
      </c>
      <c r="E52" s="171">
        <v>0</v>
      </c>
      <c r="F52" s="185">
        <v>28</v>
      </c>
      <c r="G52" s="16">
        <f>'CDM Activity'!H34</f>
        <v>284086.2095200597</v>
      </c>
      <c r="H52" s="297">
        <v>32404</v>
      </c>
      <c r="I52" s="201">
        <v>137.77938620066888</v>
      </c>
      <c r="J52" s="186">
        <v>319.87200000000001</v>
      </c>
      <c r="K52" s="185">
        <v>174.3</v>
      </c>
      <c r="L52" s="187">
        <v>12</v>
      </c>
      <c r="M52" s="16">
        <f t="shared" si="4"/>
        <v>71835033.490398467</v>
      </c>
      <c r="N52" s="50">
        <f t="shared" si="0"/>
        <v>-3748210.5096015334</v>
      </c>
      <c r="O52" s="103">
        <f t="shared" si="1"/>
        <v>-4.9590495343141576E-2</v>
      </c>
      <c r="P52" s="13">
        <f t="shared" si="2"/>
        <v>4.9590495343141576E-2</v>
      </c>
      <c r="Q52" s="13"/>
      <c r="R52" s="13"/>
      <c r="AC52" s="102"/>
      <c r="AD52" s="102"/>
      <c r="AE52" s="102"/>
      <c r="AF52" s="102"/>
      <c r="AG52" s="102"/>
      <c r="AH52" s="102"/>
      <c r="AI52" s="102"/>
      <c r="AJ52" s="102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</row>
    <row r="53" spans="1:48" x14ac:dyDescent="0.25">
      <c r="A53" s="169">
        <f t="shared" si="3"/>
        <v>39172</v>
      </c>
      <c r="B53" s="172">
        <v>71668468</v>
      </c>
      <c r="C53" s="230">
        <f t="shared" si="5"/>
        <v>679.39</v>
      </c>
      <c r="D53" s="230">
        <f t="shared" si="5"/>
        <v>0</v>
      </c>
      <c r="E53" s="171">
        <v>1</v>
      </c>
      <c r="F53" s="185">
        <v>31</v>
      </c>
      <c r="G53" s="16">
        <f>'CDM Activity'!H35</f>
        <v>305243.04266348144</v>
      </c>
      <c r="H53" s="297">
        <v>32410</v>
      </c>
      <c r="I53" s="201">
        <v>138.00694005870795</v>
      </c>
      <c r="J53" s="186">
        <v>351.91199999999998</v>
      </c>
      <c r="K53" s="185">
        <v>174.9</v>
      </c>
      <c r="L53" s="187">
        <v>12.4</v>
      </c>
      <c r="M53" s="16">
        <f t="shared" si="4"/>
        <v>71316379.114104658</v>
      </c>
      <c r="N53" s="50">
        <f t="shared" si="0"/>
        <v>-352088.88589534163</v>
      </c>
      <c r="O53" s="103">
        <f t="shared" si="1"/>
        <v>-4.9127446940172024E-3</v>
      </c>
      <c r="P53" s="13">
        <f t="shared" si="2"/>
        <v>4.9127446940172024E-3</v>
      </c>
      <c r="Q53" s="13"/>
      <c r="R53" s="13"/>
      <c r="AC53" s="102"/>
      <c r="AD53" s="102"/>
      <c r="AE53" s="102"/>
      <c r="AF53" s="102"/>
      <c r="AG53" s="102"/>
      <c r="AH53" s="102"/>
      <c r="AI53" s="102"/>
      <c r="AJ53" s="102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</row>
    <row r="54" spans="1:48" x14ac:dyDescent="0.25">
      <c r="A54" s="169">
        <f t="shared" si="3"/>
        <v>39202</v>
      </c>
      <c r="B54" s="172">
        <v>60506916</v>
      </c>
      <c r="C54" s="230">
        <f t="shared" si="5"/>
        <v>427.16999999999996</v>
      </c>
      <c r="D54" s="230">
        <f t="shared" si="5"/>
        <v>0.02</v>
      </c>
      <c r="E54" s="171">
        <v>1</v>
      </c>
      <c r="F54" s="185">
        <v>30</v>
      </c>
      <c r="G54" s="16">
        <f>'CDM Activity'!H36</f>
        <v>326399.87580690318</v>
      </c>
      <c r="H54" s="297">
        <v>32393</v>
      </c>
      <c r="I54" s="201">
        <v>138.23486974044414</v>
      </c>
      <c r="J54" s="186">
        <v>319.68</v>
      </c>
      <c r="K54" s="185">
        <v>176.5</v>
      </c>
      <c r="L54" s="187">
        <v>12</v>
      </c>
      <c r="M54" s="16">
        <f t="shared" si="4"/>
        <v>59528293.463190883</v>
      </c>
      <c r="N54" s="50">
        <f t="shared" si="0"/>
        <v>-978622.5368091166</v>
      </c>
      <c r="O54" s="103">
        <f t="shared" si="1"/>
        <v>-1.617373023621162E-2</v>
      </c>
      <c r="P54" s="13">
        <f t="shared" si="2"/>
        <v>1.617373023621162E-2</v>
      </c>
      <c r="Q54" s="13"/>
      <c r="R54" s="13"/>
      <c r="AC54" s="102"/>
      <c r="AD54" s="102"/>
      <c r="AE54" s="102"/>
      <c r="AF54" s="102"/>
      <c r="AG54" s="102"/>
      <c r="AH54" s="102"/>
      <c r="AI54" s="102"/>
      <c r="AJ54" s="102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</row>
    <row r="55" spans="1:48" x14ac:dyDescent="0.25">
      <c r="A55" s="169">
        <f t="shared" si="3"/>
        <v>39233</v>
      </c>
      <c r="B55" s="172">
        <v>51273936</v>
      </c>
      <c r="C55" s="230">
        <f t="shared" si="5"/>
        <v>232.2</v>
      </c>
      <c r="D55" s="230">
        <f t="shared" si="5"/>
        <v>3.9</v>
      </c>
      <c r="E55" s="171">
        <v>1</v>
      </c>
      <c r="F55" s="185">
        <v>31</v>
      </c>
      <c r="G55" s="16">
        <f>'CDM Activity'!H37</f>
        <v>347556.70895032492</v>
      </c>
      <c r="H55" s="297">
        <v>32375</v>
      </c>
      <c r="I55" s="201">
        <v>138.46317586658083</v>
      </c>
      <c r="J55" s="186">
        <v>351.91199999999998</v>
      </c>
      <c r="K55" s="185">
        <v>180.9</v>
      </c>
      <c r="L55" s="187">
        <v>11.1</v>
      </c>
      <c r="M55" s="16">
        <f t="shared" si="4"/>
        <v>53892557.747203775</v>
      </c>
      <c r="N55" s="50">
        <f t="shared" si="0"/>
        <v>2618621.7472037748</v>
      </c>
      <c r="O55" s="103">
        <f t="shared" si="1"/>
        <v>5.1071205986678588E-2</v>
      </c>
      <c r="P55" s="13">
        <f t="shared" si="2"/>
        <v>5.1071205986678588E-2</v>
      </c>
      <c r="Q55" s="13"/>
      <c r="R55" s="13"/>
      <c r="AC55" s="102"/>
      <c r="AD55" s="102"/>
      <c r="AE55" s="102"/>
      <c r="AF55" s="102"/>
      <c r="AG55" s="102"/>
      <c r="AH55" s="102"/>
      <c r="AI55" s="102"/>
      <c r="AJ55" s="102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</row>
    <row r="56" spans="1:48" x14ac:dyDescent="0.25">
      <c r="A56" s="169">
        <f t="shared" si="3"/>
        <v>39263</v>
      </c>
      <c r="B56" s="172">
        <v>50644216</v>
      </c>
      <c r="C56" s="230">
        <f t="shared" si="5"/>
        <v>101.74</v>
      </c>
      <c r="D56" s="230">
        <f t="shared" si="5"/>
        <v>9.5400000000000009</v>
      </c>
      <c r="E56" s="171">
        <v>0</v>
      </c>
      <c r="F56" s="185">
        <v>30</v>
      </c>
      <c r="G56" s="16">
        <f>'CDM Activity'!H38</f>
        <v>368713.54209374666</v>
      </c>
      <c r="H56" s="297">
        <v>32366</v>
      </c>
      <c r="I56" s="201">
        <v>138.69185905884657</v>
      </c>
      <c r="J56" s="186">
        <v>336.24</v>
      </c>
      <c r="K56" s="185">
        <v>182.1</v>
      </c>
      <c r="L56" s="187">
        <v>10.9</v>
      </c>
      <c r="M56" s="16">
        <f t="shared" si="4"/>
        <v>50279250.69708775</v>
      </c>
      <c r="N56" s="50">
        <f t="shared" si="0"/>
        <v>-364965.30291225016</v>
      </c>
      <c r="O56" s="103">
        <f t="shared" si="1"/>
        <v>-7.2064557759616652E-3</v>
      </c>
      <c r="P56" s="13">
        <f t="shared" si="2"/>
        <v>7.2064557759616652E-3</v>
      </c>
      <c r="Q56" s="13"/>
      <c r="R56" s="13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</row>
    <row r="57" spans="1:48" x14ac:dyDescent="0.25">
      <c r="A57" s="169">
        <f t="shared" si="3"/>
        <v>39294</v>
      </c>
      <c r="B57" s="172">
        <v>51622068</v>
      </c>
      <c r="C57" s="230">
        <f t="shared" si="5"/>
        <v>40.76</v>
      </c>
      <c r="D57" s="230">
        <f t="shared" si="5"/>
        <v>36.08</v>
      </c>
      <c r="E57" s="171">
        <v>0</v>
      </c>
      <c r="F57" s="185">
        <v>31</v>
      </c>
      <c r="G57" s="16">
        <f>'CDM Activity'!H39</f>
        <v>389870.37523716839</v>
      </c>
      <c r="H57" s="297">
        <v>32389</v>
      </c>
      <c r="I57" s="201">
        <v>138.92091993999671</v>
      </c>
      <c r="J57" s="186">
        <v>336.28800000000001</v>
      </c>
      <c r="K57" s="185">
        <v>182.7</v>
      </c>
      <c r="L57" s="187">
        <v>11.7</v>
      </c>
      <c r="M57" s="16">
        <f t="shared" si="4"/>
        <v>51830064.631228521</v>
      </c>
      <c r="N57" s="50">
        <f t="shared" si="0"/>
        <v>207996.63122852147</v>
      </c>
      <c r="O57" s="103">
        <f t="shared" si="1"/>
        <v>4.0292192716595834E-3</v>
      </c>
      <c r="P57" s="13">
        <f t="shared" si="2"/>
        <v>4.0292192716595834E-3</v>
      </c>
      <c r="Q57" s="13"/>
      <c r="R57" s="13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</row>
    <row r="58" spans="1:48" x14ac:dyDescent="0.25">
      <c r="A58" s="169">
        <f t="shared" si="3"/>
        <v>39325</v>
      </c>
      <c r="B58" s="172">
        <v>51764316</v>
      </c>
      <c r="C58" s="230">
        <f t="shared" si="5"/>
        <v>42.03</v>
      </c>
      <c r="D58" s="230">
        <f t="shared" si="5"/>
        <v>33.799999999999997</v>
      </c>
      <c r="E58" s="171">
        <v>0</v>
      </c>
      <c r="F58" s="185">
        <v>31</v>
      </c>
      <c r="G58" s="16">
        <f>'CDM Activity'!H40</f>
        <v>411027.20838059013</v>
      </c>
      <c r="H58" s="297">
        <v>32395</v>
      </c>
      <c r="I58" s="201">
        <v>139.15035913381516</v>
      </c>
      <c r="J58" s="186">
        <v>351.91199999999998</v>
      </c>
      <c r="K58" s="185">
        <v>180.2</v>
      </c>
      <c r="L58" s="187">
        <v>13.3</v>
      </c>
      <c r="M58" s="16">
        <f t="shared" si="4"/>
        <v>51637200.68488504</v>
      </c>
      <c r="N58" s="50">
        <f t="shared" si="0"/>
        <v>-127115.31511496007</v>
      </c>
      <c r="O58" s="103">
        <f t="shared" si="1"/>
        <v>-2.4556552648152459E-3</v>
      </c>
      <c r="P58" s="13">
        <f t="shared" si="2"/>
        <v>2.4556552648152459E-3</v>
      </c>
      <c r="Q58" s="13"/>
      <c r="R58" s="13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</row>
    <row r="59" spans="1:48" x14ac:dyDescent="0.25">
      <c r="A59" s="169">
        <f t="shared" si="3"/>
        <v>39355</v>
      </c>
      <c r="B59" s="172">
        <v>48836864</v>
      </c>
      <c r="C59" s="230">
        <f t="shared" si="5"/>
        <v>129.35999999999999</v>
      </c>
      <c r="D59" s="230">
        <f t="shared" si="5"/>
        <v>11.579999999999998</v>
      </c>
      <c r="E59" s="171">
        <v>1</v>
      </c>
      <c r="F59" s="185">
        <v>30</v>
      </c>
      <c r="G59" s="16">
        <f>'CDM Activity'!H41</f>
        <v>432184.04152401187</v>
      </c>
      <c r="H59" s="297">
        <v>32450</v>
      </c>
      <c r="I59" s="201">
        <v>139.38017726511606</v>
      </c>
      <c r="J59" s="186">
        <v>303.83999999999997</v>
      </c>
      <c r="K59" s="185">
        <v>179</v>
      </c>
      <c r="L59" s="187">
        <v>13.5</v>
      </c>
      <c r="M59" s="16">
        <f t="shared" si="4"/>
        <v>48571948.660088442</v>
      </c>
      <c r="N59" s="50">
        <f t="shared" si="0"/>
        <v>-264915.33991155773</v>
      </c>
      <c r="O59" s="103">
        <f t="shared" si="1"/>
        <v>-5.4244953138587633E-3</v>
      </c>
      <c r="P59" s="13">
        <f t="shared" si="2"/>
        <v>5.4244953138587633E-3</v>
      </c>
      <c r="Q59" s="13"/>
      <c r="R59" s="13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</row>
    <row r="60" spans="1:48" x14ac:dyDescent="0.25">
      <c r="A60" s="169">
        <f t="shared" si="3"/>
        <v>39386</v>
      </c>
      <c r="B60" s="172">
        <v>54192940</v>
      </c>
      <c r="C60" s="230">
        <f t="shared" si="5"/>
        <v>306.13</v>
      </c>
      <c r="D60" s="230">
        <f t="shared" si="5"/>
        <v>0.46999999999999992</v>
      </c>
      <c r="E60" s="171">
        <v>1</v>
      </c>
      <c r="F60" s="185">
        <v>31</v>
      </c>
      <c r="G60" s="16">
        <f>'CDM Activity'!H42</f>
        <v>453340.87466743361</v>
      </c>
      <c r="H60" s="297">
        <v>32485</v>
      </c>
      <c r="I60" s="201">
        <v>139.61037495974546</v>
      </c>
      <c r="J60" s="186">
        <v>351.91199999999998</v>
      </c>
      <c r="K60" s="185">
        <v>179.1</v>
      </c>
      <c r="L60" s="187">
        <v>12.3</v>
      </c>
      <c r="M60" s="16">
        <f t="shared" si="4"/>
        <v>56398152.183392502</v>
      </c>
      <c r="N60" s="50">
        <f t="shared" si="0"/>
        <v>2205212.1833925024</v>
      </c>
      <c r="O60" s="103">
        <f t="shared" si="1"/>
        <v>4.0691872103497291E-2</v>
      </c>
      <c r="P60" s="13">
        <f t="shared" si="2"/>
        <v>4.0691872103497291E-2</v>
      </c>
      <c r="Q60" s="13"/>
      <c r="R60" s="13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</row>
    <row r="61" spans="1:48" x14ac:dyDescent="0.25">
      <c r="A61" s="169">
        <f t="shared" si="3"/>
        <v>39416</v>
      </c>
      <c r="B61" s="172">
        <v>65729492</v>
      </c>
      <c r="C61" s="230">
        <f t="shared" si="5"/>
        <v>480.06200000000001</v>
      </c>
      <c r="D61" s="230">
        <f t="shared" si="5"/>
        <v>0</v>
      </c>
      <c r="E61" s="171">
        <v>1</v>
      </c>
      <c r="F61" s="185">
        <v>30</v>
      </c>
      <c r="G61" s="16">
        <f>'CDM Activity'!H43</f>
        <v>474497.70781085535</v>
      </c>
      <c r="H61" s="297">
        <v>32507</v>
      </c>
      <c r="I61" s="201">
        <v>139.84095284458306</v>
      </c>
      <c r="J61" s="186">
        <v>352.08</v>
      </c>
      <c r="K61" s="185">
        <v>180.5</v>
      </c>
      <c r="L61" s="187">
        <v>10.3</v>
      </c>
      <c r="M61" s="16">
        <f t="shared" si="4"/>
        <v>61356505.573608816</v>
      </c>
      <c r="N61" s="50">
        <f t="shared" si="0"/>
        <v>-4372986.4263911843</v>
      </c>
      <c r="O61" s="103">
        <f t="shared" si="1"/>
        <v>-6.653005056529547E-2</v>
      </c>
      <c r="P61" s="13">
        <f t="shared" si="2"/>
        <v>6.653005056529547E-2</v>
      </c>
      <c r="Q61" s="13"/>
      <c r="R61" s="13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</row>
    <row r="62" spans="1:48" x14ac:dyDescent="0.25">
      <c r="A62" s="169">
        <f t="shared" si="3"/>
        <v>39447</v>
      </c>
      <c r="B62" s="172">
        <v>77979100</v>
      </c>
      <c r="C62" s="230">
        <f t="shared" si="5"/>
        <v>702.73800000000006</v>
      </c>
      <c r="D62" s="230">
        <f t="shared" si="5"/>
        <v>0</v>
      </c>
      <c r="E62" s="171">
        <v>0</v>
      </c>
      <c r="F62" s="185">
        <v>31</v>
      </c>
      <c r="G62" s="16">
        <f>'CDM Activity'!H44</f>
        <v>495654.54095427709</v>
      </c>
      <c r="H62" s="297">
        <v>32536</v>
      </c>
      <c r="I62" s="201">
        <v>140.07191154754381</v>
      </c>
      <c r="J62" s="186">
        <v>304.29599999999999</v>
      </c>
      <c r="K62" s="185">
        <v>181.7</v>
      </c>
      <c r="L62" s="187">
        <v>10.6</v>
      </c>
      <c r="M62" s="16">
        <f t="shared" si="4"/>
        <v>74801902.372250512</v>
      </c>
      <c r="N62" s="50">
        <f t="shared" si="0"/>
        <v>-3177197.6277494878</v>
      </c>
      <c r="O62" s="103">
        <f t="shared" si="1"/>
        <v>-4.0744220281453462E-2</v>
      </c>
      <c r="P62" s="13">
        <f t="shared" si="2"/>
        <v>4.0744220281453462E-2</v>
      </c>
      <c r="Q62" s="13"/>
      <c r="R62" s="13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</row>
    <row r="63" spans="1:48" x14ac:dyDescent="0.25">
      <c r="A63" s="169">
        <f t="shared" si="3"/>
        <v>39478</v>
      </c>
      <c r="B63" s="173">
        <v>79006867</v>
      </c>
      <c r="C63" s="230">
        <f t="shared" si="5"/>
        <v>824.21</v>
      </c>
      <c r="D63" s="230">
        <f t="shared" si="5"/>
        <v>0</v>
      </c>
      <c r="E63" s="171">
        <v>0</v>
      </c>
      <c r="F63" s="185">
        <v>31</v>
      </c>
      <c r="G63" s="16">
        <f>'CDM Activity'!H45</f>
        <v>504346.77588558081</v>
      </c>
      <c r="H63" s="297">
        <v>32538</v>
      </c>
      <c r="I63" s="201">
        <v>139.96642175819056</v>
      </c>
      <c r="J63" s="186">
        <v>352</v>
      </c>
      <c r="K63" s="185">
        <v>181</v>
      </c>
      <c r="L63" s="187">
        <v>10.8</v>
      </c>
      <c r="M63" s="16">
        <f t="shared" si="4"/>
        <v>79538585.757633537</v>
      </c>
      <c r="N63" s="50">
        <f t="shared" si="0"/>
        <v>531718.75763353705</v>
      </c>
      <c r="O63" s="103">
        <f t="shared" si="1"/>
        <v>6.7300321835763602E-3</v>
      </c>
      <c r="P63" s="13">
        <f t="shared" si="2"/>
        <v>6.7300321835763602E-3</v>
      </c>
      <c r="Q63" s="13"/>
      <c r="R63" s="13"/>
    </row>
    <row r="64" spans="1:48" x14ac:dyDescent="0.25">
      <c r="A64" s="169">
        <f t="shared" si="3"/>
        <v>39507</v>
      </c>
      <c r="B64" s="173">
        <v>75126905</v>
      </c>
      <c r="C64" s="230">
        <f t="shared" si="5"/>
        <v>754.1099999999999</v>
      </c>
      <c r="D64" s="230">
        <f t="shared" si="5"/>
        <v>0</v>
      </c>
      <c r="E64" s="171">
        <v>0</v>
      </c>
      <c r="F64" s="185">
        <v>29</v>
      </c>
      <c r="G64" s="16">
        <f>'CDM Activity'!H46</f>
        <v>513039.01081688452</v>
      </c>
      <c r="H64" s="297">
        <v>32549</v>
      </c>
      <c r="I64" s="201">
        <v>139.86101141442734</v>
      </c>
      <c r="J64" s="186">
        <v>320</v>
      </c>
      <c r="K64" s="185">
        <v>180.7</v>
      </c>
      <c r="L64" s="187">
        <v>12.3</v>
      </c>
      <c r="M64" s="16">
        <f t="shared" si="4"/>
        <v>73190031.315720528</v>
      </c>
      <c r="N64" s="50">
        <f t="shared" si="0"/>
        <v>-1936873.6842794716</v>
      </c>
      <c r="O64" s="103">
        <f t="shared" si="1"/>
        <v>-2.5781358679416805E-2</v>
      </c>
      <c r="P64" s="13">
        <f t="shared" si="2"/>
        <v>2.5781358679416805E-2</v>
      </c>
      <c r="Q64" s="13"/>
      <c r="R64" s="13"/>
    </row>
    <row r="65" spans="1:54" x14ac:dyDescent="0.25">
      <c r="A65" s="169">
        <f t="shared" si="3"/>
        <v>39538</v>
      </c>
      <c r="B65" s="173">
        <v>74573962</v>
      </c>
      <c r="C65" s="230">
        <f t="shared" si="5"/>
        <v>679.39</v>
      </c>
      <c r="D65" s="230">
        <f t="shared" si="5"/>
        <v>0</v>
      </c>
      <c r="E65" s="171">
        <v>1</v>
      </c>
      <c r="F65" s="185">
        <v>31</v>
      </c>
      <c r="G65" s="16">
        <f>'CDM Activity'!H47</f>
        <v>521731.24574818823</v>
      </c>
      <c r="H65" s="297">
        <v>32544</v>
      </c>
      <c r="I65" s="201">
        <v>139.75568045642274</v>
      </c>
      <c r="J65" s="186">
        <v>304</v>
      </c>
      <c r="K65" s="185">
        <v>179.4</v>
      </c>
      <c r="L65" s="187">
        <v>13.5</v>
      </c>
      <c r="M65" s="16">
        <f t="shared" si="4"/>
        <v>70890837.968961835</v>
      </c>
      <c r="N65" s="50">
        <f t="shared" si="0"/>
        <v>-3683124.0310381651</v>
      </c>
      <c r="O65" s="103">
        <f t="shared" si="1"/>
        <v>-4.9388874243240087E-2</v>
      </c>
      <c r="P65" s="13">
        <f t="shared" si="2"/>
        <v>4.9388874243240087E-2</v>
      </c>
      <c r="Q65" s="13"/>
      <c r="R65" s="13"/>
    </row>
    <row r="66" spans="1:54" x14ac:dyDescent="0.25">
      <c r="A66" s="169">
        <f t="shared" si="3"/>
        <v>39568</v>
      </c>
      <c r="B66" s="173">
        <v>58751936</v>
      </c>
      <c r="C66" s="230">
        <f t="shared" si="5"/>
        <v>427.16999999999996</v>
      </c>
      <c r="D66" s="230">
        <f t="shared" si="5"/>
        <v>0.02</v>
      </c>
      <c r="E66" s="171">
        <v>1</v>
      </c>
      <c r="F66" s="185">
        <v>30</v>
      </c>
      <c r="G66" s="16">
        <f>'CDM Activity'!H48</f>
        <v>530423.48067949188</v>
      </c>
      <c r="H66" s="297">
        <v>32526</v>
      </c>
      <c r="I66" s="201">
        <v>139.65042882439042</v>
      </c>
      <c r="J66" s="186">
        <v>352</v>
      </c>
      <c r="K66" s="185">
        <v>178.9</v>
      </c>
      <c r="L66" s="187">
        <v>15.5</v>
      </c>
      <c r="M66" s="16">
        <f t="shared" si="4"/>
        <v>59141652.182765327</v>
      </c>
      <c r="N66" s="50">
        <f t="shared" si="0"/>
        <v>389716.18276532739</v>
      </c>
      <c r="O66" s="103">
        <f t="shared" si="1"/>
        <v>6.6332483539832182E-3</v>
      </c>
      <c r="P66" s="13">
        <f t="shared" si="2"/>
        <v>6.6332483539832182E-3</v>
      </c>
      <c r="Q66" s="13"/>
      <c r="R66" s="13"/>
    </row>
    <row r="67" spans="1:54" x14ac:dyDescent="0.25">
      <c r="A67" s="169">
        <f t="shared" si="3"/>
        <v>39599</v>
      </c>
      <c r="B67" s="173">
        <v>53931566</v>
      </c>
      <c r="C67" s="230">
        <f t="shared" si="5"/>
        <v>232.2</v>
      </c>
      <c r="D67" s="230">
        <f t="shared" si="5"/>
        <v>3.9</v>
      </c>
      <c r="E67" s="171">
        <v>1</v>
      </c>
      <c r="F67" s="185">
        <v>31</v>
      </c>
      <c r="G67" s="16">
        <f>'CDM Activity'!H49</f>
        <v>539115.71561079554</v>
      </c>
      <c r="H67" s="297">
        <v>32565</v>
      </c>
      <c r="I67" s="201">
        <v>139.54525645858905</v>
      </c>
      <c r="J67" s="186">
        <v>336</v>
      </c>
      <c r="K67" s="185">
        <v>181.6</v>
      </c>
      <c r="L67" s="187">
        <v>15.5</v>
      </c>
      <c r="M67" s="16">
        <f t="shared" si="4"/>
        <v>53669179.658677511</v>
      </c>
      <c r="N67" s="50">
        <f t="shared" ref="N67:N130" si="6">M67-B67</f>
        <v>-262386.34132248908</v>
      </c>
      <c r="O67" s="103">
        <f t="shared" ref="O67:O130" si="7">N67/B67</f>
        <v>-4.8651719351611089E-3</v>
      </c>
      <c r="P67" s="13">
        <f t="shared" ref="P67:P130" si="8">ABS(O67)</f>
        <v>4.8651719351611089E-3</v>
      </c>
      <c r="Q67" s="13"/>
      <c r="R67" s="13"/>
    </row>
    <row r="68" spans="1:54" x14ac:dyDescent="0.25">
      <c r="A68" s="169">
        <f t="shared" ref="A68:A131" si="9">EOMONTH(A67,1)</f>
        <v>39629</v>
      </c>
      <c r="B68" s="173">
        <v>48466638</v>
      </c>
      <c r="C68" s="230">
        <f t="shared" si="5"/>
        <v>101.74</v>
      </c>
      <c r="D68" s="230">
        <f t="shared" si="5"/>
        <v>9.5400000000000009</v>
      </c>
      <c r="E68" s="171">
        <v>0</v>
      </c>
      <c r="F68" s="185">
        <v>30</v>
      </c>
      <c r="G68" s="16">
        <f>'CDM Activity'!H50</f>
        <v>547807.95054209919</v>
      </c>
      <c r="H68" s="297">
        <v>32555</v>
      </c>
      <c r="I68" s="201">
        <v>139.44016329932234</v>
      </c>
      <c r="J68" s="186">
        <v>336</v>
      </c>
      <c r="K68" s="185">
        <v>186.6</v>
      </c>
      <c r="L68" s="187">
        <v>13.8</v>
      </c>
      <c r="M68" s="16">
        <f t="shared" ref="M68:M131" si="10">+$T$18+C68*$T$19+D68*$T$20+E68*$T$21+F68*$T$22+G68*$T$23+ H68*$T$24</f>
        <v>50094772.473278791</v>
      </c>
      <c r="N68" s="50">
        <f t="shared" si="6"/>
        <v>1628134.4732787907</v>
      </c>
      <c r="O68" s="103">
        <f t="shared" si="7"/>
        <v>3.3592890707186886E-2</v>
      </c>
      <c r="P68" s="13">
        <f t="shared" si="8"/>
        <v>3.3592890707186886E-2</v>
      </c>
      <c r="Q68" s="13"/>
      <c r="R68" s="13"/>
    </row>
    <row r="69" spans="1:54" x14ac:dyDescent="0.25">
      <c r="A69" s="169">
        <f t="shared" si="9"/>
        <v>39660</v>
      </c>
      <c r="B69" s="173">
        <v>50725082</v>
      </c>
      <c r="C69" s="230">
        <f t="shared" si="5"/>
        <v>40.76</v>
      </c>
      <c r="D69" s="230">
        <f t="shared" si="5"/>
        <v>36.08</v>
      </c>
      <c r="E69" s="171">
        <v>0</v>
      </c>
      <c r="F69" s="185">
        <v>31</v>
      </c>
      <c r="G69" s="16">
        <f>'CDM Activity'!H51</f>
        <v>556500.18547340285</v>
      </c>
      <c r="H69" s="297">
        <v>32552</v>
      </c>
      <c r="I69" s="201">
        <v>139.3351492869389</v>
      </c>
      <c r="J69" s="186">
        <v>352</v>
      </c>
      <c r="K69" s="185">
        <v>189.4</v>
      </c>
      <c r="L69" s="187">
        <v>12.7</v>
      </c>
      <c r="M69" s="16">
        <f t="shared" si="10"/>
        <v>51630881.389730796</v>
      </c>
      <c r="N69" s="50">
        <f t="shared" si="6"/>
        <v>905799.38973079622</v>
      </c>
      <c r="O69" s="103">
        <f t="shared" si="7"/>
        <v>1.7857031551586178E-2</v>
      </c>
      <c r="P69" s="13">
        <f t="shared" si="8"/>
        <v>1.7857031551586178E-2</v>
      </c>
      <c r="Q69" s="13"/>
      <c r="R69" s="13"/>
    </row>
    <row r="70" spans="1:54" x14ac:dyDescent="0.25">
      <c r="A70" s="169">
        <f t="shared" si="9"/>
        <v>39691</v>
      </c>
      <c r="B70" s="173">
        <v>50225177</v>
      </c>
      <c r="C70" s="230">
        <f t="shared" si="5"/>
        <v>42.03</v>
      </c>
      <c r="D70" s="230">
        <f t="shared" si="5"/>
        <v>33.799999999999997</v>
      </c>
      <c r="E70" s="171">
        <v>0</v>
      </c>
      <c r="F70" s="185">
        <v>31</v>
      </c>
      <c r="G70" s="16">
        <f>'CDM Activity'!H52</f>
        <v>565192.4204047065</v>
      </c>
      <c r="H70" s="297">
        <v>32581</v>
      </c>
      <c r="I70" s="201">
        <v>139.23021436183228</v>
      </c>
      <c r="J70" s="186">
        <v>320</v>
      </c>
      <c r="K70" s="185">
        <v>189.1</v>
      </c>
      <c r="L70" s="187">
        <v>12.9</v>
      </c>
      <c r="M70" s="16">
        <f t="shared" si="10"/>
        <v>51528377.99521438</v>
      </c>
      <c r="N70" s="50">
        <f t="shared" si="6"/>
        <v>1303200.9952143803</v>
      </c>
      <c r="O70" s="103">
        <f t="shared" si="7"/>
        <v>2.5947165805197268E-2</v>
      </c>
      <c r="P70" s="13">
        <f t="shared" si="8"/>
        <v>2.5947165805197268E-2</v>
      </c>
      <c r="Q70" s="13"/>
      <c r="R70" s="13"/>
    </row>
    <row r="71" spans="1:54" x14ac:dyDescent="0.25">
      <c r="A71" s="169">
        <f t="shared" si="9"/>
        <v>39721</v>
      </c>
      <c r="B71" s="173">
        <v>48690797</v>
      </c>
      <c r="C71" s="230">
        <f t="shared" si="5"/>
        <v>129.35999999999999</v>
      </c>
      <c r="D71" s="230">
        <f t="shared" si="5"/>
        <v>11.579999999999998</v>
      </c>
      <c r="E71" s="171">
        <v>1</v>
      </c>
      <c r="F71" s="185">
        <v>30</v>
      </c>
      <c r="G71" s="16">
        <f>'CDM Activity'!H53</f>
        <v>573884.65533601015</v>
      </c>
      <c r="H71" s="297">
        <v>32677</v>
      </c>
      <c r="I71" s="201">
        <v>139.12535846444095</v>
      </c>
      <c r="J71" s="186">
        <v>336</v>
      </c>
      <c r="K71" s="185">
        <v>186.4</v>
      </c>
      <c r="L71" s="187">
        <v>14.8</v>
      </c>
      <c r="M71" s="16">
        <f t="shared" si="10"/>
        <v>48592082.037577212</v>
      </c>
      <c r="N71" s="50">
        <f t="shared" si="6"/>
        <v>-98714.962422788143</v>
      </c>
      <c r="O71" s="103">
        <f t="shared" si="7"/>
        <v>-2.0273844033152333E-3</v>
      </c>
      <c r="P71" s="13">
        <f t="shared" si="8"/>
        <v>2.0273844033152333E-3</v>
      </c>
      <c r="Q71" s="13"/>
      <c r="R71" s="13"/>
    </row>
    <row r="72" spans="1:54" x14ac:dyDescent="0.25">
      <c r="A72" s="169">
        <f t="shared" si="9"/>
        <v>39752</v>
      </c>
      <c r="B72" s="173">
        <v>56073867</v>
      </c>
      <c r="C72" s="230">
        <f t="shared" si="5"/>
        <v>306.13</v>
      </c>
      <c r="D72" s="230">
        <f t="shared" si="5"/>
        <v>0.46999999999999992</v>
      </c>
      <c r="E72" s="171">
        <v>1</v>
      </c>
      <c r="F72" s="185">
        <v>31</v>
      </c>
      <c r="G72" s="16">
        <f>'CDM Activity'!H54</f>
        <v>582576.89026731381</v>
      </c>
      <c r="H72" s="297">
        <v>32716</v>
      </c>
      <c r="I72" s="201">
        <v>139.02058153524823</v>
      </c>
      <c r="J72" s="186">
        <v>352</v>
      </c>
      <c r="K72" s="185">
        <v>187.3</v>
      </c>
      <c r="L72" s="187">
        <v>15.2</v>
      </c>
      <c r="M72" s="16">
        <f t="shared" si="10"/>
        <v>56467906.402079776</v>
      </c>
      <c r="N72" s="50">
        <f t="shared" si="6"/>
        <v>394039.40207977593</v>
      </c>
      <c r="O72" s="103">
        <f t="shared" si="7"/>
        <v>7.0271487086805686E-3</v>
      </c>
      <c r="P72" s="13">
        <f t="shared" si="8"/>
        <v>7.0271487086805686E-3</v>
      </c>
      <c r="Q72" s="13"/>
      <c r="R72" s="13"/>
    </row>
    <row r="73" spans="1:54" x14ac:dyDescent="0.25">
      <c r="A73" s="169">
        <f t="shared" si="9"/>
        <v>39782</v>
      </c>
      <c r="B73" s="173">
        <v>63785625</v>
      </c>
      <c r="C73" s="230">
        <f t="shared" si="5"/>
        <v>480.06200000000001</v>
      </c>
      <c r="D73" s="230">
        <f t="shared" si="5"/>
        <v>0</v>
      </c>
      <c r="E73" s="171">
        <v>1</v>
      </c>
      <c r="F73" s="185">
        <v>30</v>
      </c>
      <c r="G73" s="16">
        <f>'CDM Activity'!H55</f>
        <v>591269.12519861746</v>
      </c>
      <c r="H73" s="297">
        <v>32770</v>
      </c>
      <c r="I73" s="201">
        <v>138.91588351478222</v>
      </c>
      <c r="J73" s="186">
        <v>304</v>
      </c>
      <c r="K73" s="185">
        <v>185.3</v>
      </c>
      <c r="L73" s="187">
        <v>15.8</v>
      </c>
      <c r="M73" s="16">
        <f t="shared" si="10"/>
        <v>61535918.101789348</v>
      </c>
      <c r="N73" s="50">
        <f t="shared" si="6"/>
        <v>-2249706.8982106522</v>
      </c>
      <c r="O73" s="103">
        <f t="shared" si="7"/>
        <v>-3.5269810372018026E-2</v>
      </c>
      <c r="P73" s="13">
        <f t="shared" si="8"/>
        <v>3.5269810372018026E-2</v>
      </c>
      <c r="Q73" s="13"/>
      <c r="R73" s="13"/>
    </row>
    <row r="74" spans="1:54" x14ac:dyDescent="0.25">
      <c r="A74" s="169">
        <f t="shared" si="9"/>
        <v>39813</v>
      </c>
      <c r="B74" s="173">
        <v>81608064</v>
      </c>
      <c r="C74" s="230">
        <f t="shared" si="5"/>
        <v>702.73800000000006</v>
      </c>
      <c r="D74" s="230">
        <f t="shared" si="5"/>
        <v>0</v>
      </c>
      <c r="E74" s="171">
        <v>0</v>
      </c>
      <c r="F74" s="185">
        <v>31</v>
      </c>
      <c r="G74" s="16">
        <f>'CDM Activity'!H56</f>
        <v>599961.36012992112</v>
      </c>
      <c r="H74" s="297">
        <v>32782</v>
      </c>
      <c r="I74" s="201">
        <v>138.8112643436159</v>
      </c>
      <c r="J74" s="186">
        <v>336</v>
      </c>
      <c r="K74" s="185">
        <v>184.3</v>
      </c>
      <c r="L74" s="187">
        <v>14.7</v>
      </c>
      <c r="M74" s="16">
        <f t="shared" si="10"/>
        <v>74985907.640408456</v>
      </c>
      <c r="N74" s="50">
        <f t="shared" si="6"/>
        <v>-6622156.3595915437</v>
      </c>
      <c r="O74" s="103">
        <f t="shared" si="7"/>
        <v>-8.1145857835710253E-2</v>
      </c>
      <c r="P74" s="13">
        <f t="shared" si="8"/>
        <v>8.1145857835710253E-2</v>
      </c>
      <c r="Q74" s="13"/>
      <c r="R74" s="13"/>
    </row>
    <row r="75" spans="1:54" s="14" customFormat="1" x14ac:dyDescent="0.25">
      <c r="A75" s="169">
        <f t="shared" si="9"/>
        <v>39844</v>
      </c>
      <c r="B75" s="172">
        <v>85774977</v>
      </c>
      <c r="C75" s="230">
        <f t="shared" si="5"/>
        <v>824.21</v>
      </c>
      <c r="D75" s="230">
        <f t="shared" si="5"/>
        <v>0</v>
      </c>
      <c r="E75" s="171">
        <v>0</v>
      </c>
      <c r="F75" s="185">
        <v>31</v>
      </c>
      <c r="G75" s="16">
        <f>'CDM Activity'!H57</f>
        <v>613781.96710080863</v>
      </c>
      <c r="H75" s="297">
        <v>32783</v>
      </c>
      <c r="I75" s="201">
        <v>138.43555825854429</v>
      </c>
      <c r="J75" s="186">
        <v>336</v>
      </c>
      <c r="K75" s="185">
        <v>179.9</v>
      </c>
      <c r="L75" s="187">
        <v>15.6</v>
      </c>
      <c r="M75" s="16">
        <f t="shared" si="10"/>
        <v>79703559.867419317</v>
      </c>
      <c r="N75" s="50">
        <f t="shared" si="6"/>
        <v>-6071417.1325806826</v>
      </c>
      <c r="O75" s="103">
        <f t="shared" si="7"/>
        <v>-7.078308085796027E-2</v>
      </c>
      <c r="P75" s="13">
        <f t="shared" si="8"/>
        <v>7.078308085796027E-2</v>
      </c>
      <c r="Q75" s="13"/>
      <c r="R75" s="13"/>
      <c r="S75" s="32"/>
      <c r="T75" s="32"/>
      <c r="U75" s="32"/>
      <c r="V75" s="32"/>
      <c r="W75" s="32"/>
      <c r="X75" s="32"/>
      <c r="Y75" s="32"/>
      <c r="Z75"/>
      <c r="AA75"/>
      <c r="AB75" s="32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x14ac:dyDescent="0.25">
      <c r="A76" s="169">
        <f t="shared" si="9"/>
        <v>39872</v>
      </c>
      <c r="B76" s="172">
        <v>71566146</v>
      </c>
      <c r="C76" s="230">
        <f t="shared" si="5"/>
        <v>754.1099999999999</v>
      </c>
      <c r="D76" s="230">
        <f t="shared" si="5"/>
        <v>0</v>
      </c>
      <c r="E76" s="171">
        <v>0</v>
      </c>
      <c r="F76" s="185">
        <v>28</v>
      </c>
      <c r="G76" s="16">
        <f>'CDM Activity'!H58</f>
        <v>627602.57407169614</v>
      </c>
      <c r="H76" s="297">
        <v>32787</v>
      </c>
      <c r="I76" s="201">
        <v>138.06086905825526</v>
      </c>
      <c r="J76" s="186">
        <v>304</v>
      </c>
      <c r="K76" s="185">
        <v>176.6</v>
      </c>
      <c r="L76" s="187">
        <v>16</v>
      </c>
      <c r="M76" s="16">
        <f t="shared" si="10"/>
        <v>71525112.213136911</v>
      </c>
      <c r="N76" s="50">
        <f t="shared" si="6"/>
        <v>-41033.786863088608</v>
      </c>
      <c r="O76" s="103">
        <f t="shared" si="7"/>
        <v>-5.7336868277199963E-4</v>
      </c>
      <c r="P76" s="13">
        <f t="shared" si="8"/>
        <v>5.7336868277199963E-4</v>
      </c>
      <c r="Q76" s="13"/>
      <c r="R76" s="13"/>
    </row>
    <row r="77" spans="1:54" x14ac:dyDescent="0.25">
      <c r="A77" s="169">
        <f t="shared" si="9"/>
        <v>39903</v>
      </c>
      <c r="B77" s="172">
        <v>72767317</v>
      </c>
      <c r="C77" s="230">
        <f t="shared" si="5"/>
        <v>679.39</v>
      </c>
      <c r="D77" s="230">
        <f t="shared" si="5"/>
        <v>0</v>
      </c>
      <c r="E77" s="171">
        <v>1</v>
      </c>
      <c r="F77" s="185">
        <v>31</v>
      </c>
      <c r="G77" s="16">
        <f>'CDM Activity'!H59</f>
        <v>641423.18104258366</v>
      </c>
      <c r="H77" s="297">
        <v>32784</v>
      </c>
      <c r="I77" s="201">
        <v>137.68719399045199</v>
      </c>
      <c r="J77" s="186">
        <v>352</v>
      </c>
      <c r="K77" s="185">
        <v>174.1</v>
      </c>
      <c r="L77" s="187">
        <v>16.899999999999999</v>
      </c>
      <c r="M77" s="16">
        <f t="shared" si="10"/>
        <v>71011317.176114529</v>
      </c>
      <c r="N77" s="50">
        <f t="shared" si="6"/>
        <v>-1755999.8238854706</v>
      </c>
      <c r="O77" s="103">
        <f t="shared" si="7"/>
        <v>-2.413171044750036E-2</v>
      </c>
      <c r="P77" s="13">
        <f t="shared" si="8"/>
        <v>2.413171044750036E-2</v>
      </c>
      <c r="Q77" s="13"/>
      <c r="R77" s="13"/>
    </row>
    <row r="78" spans="1:54" x14ac:dyDescent="0.25">
      <c r="A78" s="169">
        <f t="shared" si="9"/>
        <v>39933</v>
      </c>
      <c r="B78" s="172">
        <v>59966273</v>
      </c>
      <c r="C78" s="230">
        <f t="shared" si="5"/>
        <v>427.16999999999996</v>
      </c>
      <c r="D78" s="230">
        <f t="shared" si="5"/>
        <v>0.02</v>
      </c>
      <c r="E78" s="171">
        <v>1</v>
      </c>
      <c r="F78" s="185">
        <v>30</v>
      </c>
      <c r="G78" s="16">
        <f>'CDM Activity'!H60</f>
        <v>655243.78801347117</v>
      </c>
      <c r="H78" s="297">
        <v>32749</v>
      </c>
      <c r="I78" s="201">
        <v>137.31453031028698</v>
      </c>
      <c r="J78" s="186">
        <v>320</v>
      </c>
      <c r="K78" s="185">
        <v>174.4</v>
      </c>
      <c r="L78" s="187">
        <v>15</v>
      </c>
      <c r="M78" s="16">
        <f t="shared" si="10"/>
        <v>59208793.106806003</v>
      </c>
      <c r="N78" s="50">
        <f t="shared" si="6"/>
        <v>-757479.89319399744</v>
      </c>
      <c r="O78" s="103">
        <f t="shared" si="7"/>
        <v>-1.2631765412434376E-2</v>
      </c>
      <c r="P78" s="13">
        <f t="shared" si="8"/>
        <v>1.2631765412434376E-2</v>
      </c>
      <c r="Q78" s="13"/>
      <c r="R78" s="13"/>
    </row>
    <row r="79" spans="1:54" x14ac:dyDescent="0.25">
      <c r="A79" s="169">
        <f t="shared" si="9"/>
        <v>39964</v>
      </c>
      <c r="B79" s="172">
        <v>52676063</v>
      </c>
      <c r="C79" s="230">
        <f t="shared" si="5"/>
        <v>232.2</v>
      </c>
      <c r="D79" s="230">
        <f t="shared" si="5"/>
        <v>3.9</v>
      </c>
      <c r="E79" s="171">
        <v>1</v>
      </c>
      <c r="F79" s="185">
        <v>31</v>
      </c>
      <c r="G79" s="16">
        <f>'CDM Activity'!H61</f>
        <v>669064.39498435869</v>
      </c>
      <c r="H79" s="297">
        <v>32756</v>
      </c>
      <c r="I79" s="201">
        <v>136.94287528034204</v>
      </c>
      <c r="J79" s="186">
        <v>320</v>
      </c>
      <c r="K79" s="185">
        <v>176.9</v>
      </c>
      <c r="L79" s="187">
        <v>15.1</v>
      </c>
      <c r="M79" s="16">
        <f t="shared" si="10"/>
        <v>53650819.370162509</v>
      </c>
      <c r="N79" s="50">
        <f t="shared" si="6"/>
        <v>974756.37016250938</v>
      </c>
      <c r="O79" s="103">
        <f t="shared" si="7"/>
        <v>1.8504730890053597E-2</v>
      </c>
      <c r="P79" s="13">
        <f t="shared" si="8"/>
        <v>1.8504730890053597E-2</v>
      </c>
      <c r="Q79" s="13"/>
      <c r="R79" s="13"/>
    </row>
    <row r="80" spans="1:54" x14ac:dyDescent="0.25">
      <c r="A80" s="169">
        <f t="shared" si="9"/>
        <v>39994</v>
      </c>
      <c r="B80" s="172">
        <v>49196438</v>
      </c>
      <c r="C80" s="230">
        <f t="shared" ref="C80:D143" si="11">C68</f>
        <v>101.74</v>
      </c>
      <c r="D80" s="230">
        <f t="shared" si="11"/>
        <v>9.5400000000000009</v>
      </c>
      <c r="E80" s="171">
        <v>0</v>
      </c>
      <c r="F80" s="185">
        <v>30</v>
      </c>
      <c r="G80" s="16">
        <f>'CDM Activity'!H62</f>
        <v>682885.0019552462</v>
      </c>
      <c r="H80" s="297">
        <v>32739</v>
      </c>
      <c r="I80" s="201">
        <v>136.57222617060793</v>
      </c>
      <c r="J80" s="186">
        <v>352</v>
      </c>
      <c r="K80" s="185">
        <v>178.9</v>
      </c>
      <c r="L80" s="187">
        <v>16</v>
      </c>
      <c r="M80" s="16">
        <f t="shared" si="10"/>
        <v>50044515.854614168</v>
      </c>
      <c r="N80" s="50">
        <f t="shared" si="6"/>
        <v>848077.85461416841</v>
      </c>
      <c r="O80" s="103">
        <f t="shared" si="7"/>
        <v>1.7238602815394244E-2</v>
      </c>
      <c r="P80" s="13">
        <f t="shared" si="8"/>
        <v>1.7238602815394244E-2</v>
      </c>
      <c r="Q80" s="13"/>
      <c r="R80" s="13"/>
    </row>
    <row r="81" spans="1:40" x14ac:dyDescent="0.25">
      <c r="A81" s="169">
        <f t="shared" si="9"/>
        <v>40025</v>
      </c>
      <c r="B81" s="172">
        <v>48238905</v>
      </c>
      <c r="C81" s="230">
        <f t="shared" si="11"/>
        <v>40.76</v>
      </c>
      <c r="D81" s="230">
        <f t="shared" si="11"/>
        <v>36.08</v>
      </c>
      <c r="E81" s="171">
        <v>0</v>
      </c>
      <c r="F81" s="185">
        <v>31</v>
      </c>
      <c r="G81" s="16">
        <f>'CDM Activity'!H63</f>
        <v>696705.60892613372</v>
      </c>
      <c r="H81" s="297">
        <v>32752</v>
      </c>
      <c r="I81" s="201">
        <v>136.20258025846454</v>
      </c>
      <c r="J81" s="186">
        <v>352</v>
      </c>
      <c r="K81" s="185">
        <v>180.2</v>
      </c>
      <c r="L81" s="187">
        <v>19</v>
      </c>
      <c r="M81" s="16">
        <f t="shared" si="10"/>
        <v>51598044.932730101</v>
      </c>
      <c r="N81" s="50">
        <f t="shared" si="6"/>
        <v>3359139.932730101</v>
      </c>
      <c r="O81" s="103">
        <f t="shared" si="7"/>
        <v>6.9635493026429629E-2</v>
      </c>
      <c r="P81" s="13">
        <f t="shared" si="8"/>
        <v>6.9635493026429629E-2</v>
      </c>
      <c r="Q81" s="13"/>
      <c r="R81" s="13"/>
    </row>
    <row r="82" spans="1:40" x14ac:dyDescent="0.25">
      <c r="A82" s="169">
        <f t="shared" si="9"/>
        <v>40056</v>
      </c>
      <c r="B82" s="172">
        <v>49652791</v>
      </c>
      <c r="C82" s="230">
        <f t="shared" si="11"/>
        <v>42.03</v>
      </c>
      <c r="D82" s="230">
        <f t="shared" si="11"/>
        <v>33.799999999999997</v>
      </c>
      <c r="E82" s="171">
        <v>0</v>
      </c>
      <c r="F82" s="185">
        <v>31</v>
      </c>
      <c r="G82" s="16">
        <f>'CDM Activity'!H64</f>
        <v>710526.21589702123</v>
      </c>
      <c r="H82" s="297">
        <v>32766</v>
      </c>
      <c r="I82" s="201">
        <v>135.83393482866074</v>
      </c>
      <c r="J82" s="186">
        <v>320</v>
      </c>
      <c r="K82" s="185">
        <v>181.6</v>
      </c>
      <c r="L82" s="187">
        <v>20.2</v>
      </c>
      <c r="M82" s="16">
        <f t="shared" si="10"/>
        <v>51446491.645694137</v>
      </c>
      <c r="N82" s="50">
        <f t="shared" si="6"/>
        <v>1793700.6456941366</v>
      </c>
      <c r="O82" s="103">
        <f t="shared" si="7"/>
        <v>3.6124870517231081E-2</v>
      </c>
      <c r="P82" s="13">
        <f t="shared" si="8"/>
        <v>3.6124870517231081E-2</v>
      </c>
      <c r="Q82" s="13"/>
      <c r="R82" s="13"/>
    </row>
    <row r="83" spans="1:40" x14ac:dyDescent="0.25">
      <c r="A83" s="169">
        <f t="shared" si="9"/>
        <v>40086</v>
      </c>
      <c r="B83" s="172">
        <v>48812970</v>
      </c>
      <c r="C83" s="230">
        <f t="shared" si="11"/>
        <v>129.35999999999999</v>
      </c>
      <c r="D83" s="230">
        <f t="shared" si="11"/>
        <v>11.579999999999998</v>
      </c>
      <c r="E83" s="171">
        <v>1</v>
      </c>
      <c r="F83" s="185">
        <v>30</v>
      </c>
      <c r="G83" s="16">
        <f>'CDM Activity'!H65</f>
        <v>724346.82286790875</v>
      </c>
      <c r="H83" s="297">
        <v>32815</v>
      </c>
      <c r="I83" s="201">
        <v>135.46628717329455</v>
      </c>
      <c r="J83" s="186">
        <v>336</v>
      </c>
      <c r="K83" s="185">
        <v>182.3</v>
      </c>
      <c r="L83" s="187">
        <v>19.399999999999999</v>
      </c>
      <c r="M83" s="16">
        <f t="shared" si="10"/>
        <v>48392531.546057701</v>
      </c>
      <c r="N83" s="50">
        <f t="shared" si="6"/>
        <v>-420438.45394229889</v>
      </c>
      <c r="O83" s="103">
        <f t="shared" si="7"/>
        <v>-8.6132528699298348E-3</v>
      </c>
      <c r="P83" s="13">
        <f t="shared" si="8"/>
        <v>8.6132528699298348E-3</v>
      </c>
      <c r="Q83" s="13"/>
      <c r="R83" s="13"/>
    </row>
    <row r="84" spans="1:40" x14ac:dyDescent="0.25">
      <c r="A84" s="169">
        <f t="shared" si="9"/>
        <v>40117</v>
      </c>
      <c r="B84" s="172">
        <v>57724020</v>
      </c>
      <c r="C84" s="230">
        <f t="shared" si="11"/>
        <v>306.13</v>
      </c>
      <c r="D84" s="230">
        <f t="shared" si="11"/>
        <v>0.46999999999999992</v>
      </c>
      <c r="E84" s="171">
        <v>1</v>
      </c>
      <c r="F84" s="185">
        <v>31</v>
      </c>
      <c r="G84" s="16">
        <f>'CDM Activity'!H66</f>
        <v>738167.42983879626</v>
      </c>
      <c r="H84" s="297">
        <v>32815</v>
      </c>
      <c r="I84" s="201">
        <v>135.09963459179312</v>
      </c>
      <c r="J84" s="186">
        <v>336</v>
      </c>
      <c r="K84" s="185">
        <v>181.1</v>
      </c>
      <c r="L84" s="187">
        <v>18.5</v>
      </c>
      <c r="M84" s="16">
        <f t="shared" si="10"/>
        <v>56167845.330930904</v>
      </c>
      <c r="N84" s="50">
        <f t="shared" si="6"/>
        <v>-1556174.6690690964</v>
      </c>
      <c r="O84" s="103">
        <f t="shared" si="7"/>
        <v>-2.6958875509174456E-2</v>
      </c>
      <c r="P84" s="13">
        <f t="shared" si="8"/>
        <v>2.6958875509174456E-2</v>
      </c>
      <c r="Q84" s="13"/>
      <c r="R84" s="13"/>
    </row>
    <row r="85" spans="1:40" x14ac:dyDescent="0.25">
      <c r="A85" s="169">
        <f t="shared" si="9"/>
        <v>40147</v>
      </c>
      <c r="B85" s="172">
        <v>59532749</v>
      </c>
      <c r="C85" s="230">
        <f t="shared" si="11"/>
        <v>480.06200000000001</v>
      </c>
      <c r="D85" s="230">
        <f t="shared" si="11"/>
        <v>0</v>
      </c>
      <c r="E85" s="171">
        <v>1</v>
      </c>
      <c r="F85" s="185">
        <v>30</v>
      </c>
      <c r="G85" s="16">
        <f>'CDM Activity'!H67</f>
        <v>751988.03680968378</v>
      </c>
      <c r="H85" s="297">
        <v>32883</v>
      </c>
      <c r="I85" s="201">
        <v>134.733974390893</v>
      </c>
      <c r="J85" s="186">
        <v>320</v>
      </c>
      <c r="K85" s="185">
        <v>178.1</v>
      </c>
      <c r="L85" s="187">
        <v>17.899999999999999</v>
      </c>
      <c r="M85" s="16">
        <f t="shared" si="10"/>
        <v>61248988.801711917</v>
      </c>
      <c r="N85" s="50">
        <f t="shared" si="6"/>
        <v>1716239.8017119169</v>
      </c>
      <c r="O85" s="103">
        <f t="shared" si="7"/>
        <v>2.8828499112512292E-2</v>
      </c>
      <c r="P85" s="13">
        <f t="shared" si="8"/>
        <v>2.8828499112512292E-2</v>
      </c>
      <c r="Q85" s="13"/>
      <c r="R85" s="13"/>
    </row>
    <row r="86" spans="1:40" s="32" customFormat="1" x14ac:dyDescent="0.25">
      <c r="A86" s="169">
        <f t="shared" si="9"/>
        <v>40178</v>
      </c>
      <c r="B86" s="172">
        <v>76961335</v>
      </c>
      <c r="C86" s="230">
        <f t="shared" si="11"/>
        <v>702.73800000000006</v>
      </c>
      <c r="D86" s="230">
        <f t="shared" si="11"/>
        <v>0</v>
      </c>
      <c r="E86" s="171">
        <v>0</v>
      </c>
      <c r="F86" s="185">
        <v>31</v>
      </c>
      <c r="G86" s="16">
        <f>'CDM Activity'!H68</f>
        <v>765808.64378057129</v>
      </c>
      <c r="H86" s="297">
        <v>32923</v>
      </c>
      <c r="I86" s="201">
        <v>134.36930388462019</v>
      </c>
      <c r="J86" s="186">
        <v>352</v>
      </c>
      <c r="K86" s="185">
        <v>176.9</v>
      </c>
      <c r="L86" s="187">
        <v>18.2</v>
      </c>
      <c r="M86" s="16">
        <f t="shared" si="10"/>
        <v>74742128.845549852</v>
      </c>
      <c r="N86" s="50">
        <f t="shared" si="6"/>
        <v>-2219206.1544501483</v>
      </c>
      <c r="O86" s="103">
        <f t="shared" si="7"/>
        <v>-2.8835338608018537E-2</v>
      </c>
      <c r="P86" s="13">
        <f t="shared" si="8"/>
        <v>2.8835338608018537E-2</v>
      </c>
      <c r="Q86" s="13"/>
      <c r="R86" s="13"/>
      <c r="Z86"/>
      <c r="AA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0" x14ac:dyDescent="0.25">
      <c r="A87" s="169">
        <f>EOMONTH(A86,1)</f>
        <v>40209</v>
      </c>
      <c r="B87" s="172">
        <v>79854695</v>
      </c>
      <c r="C87" s="230">
        <f t="shared" si="11"/>
        <v>824.21</v>
      </c>
      <c r="D87" s="230">
        <f t="shared" si="11"/>
        <v>0</v>
      </c>
      <c r="E87" s="171">
        <v>0</v>
      </c>
      <c r="F87" s="185">
        <v>31</v>
      </c>
      <c r="G87" s="16">
        <f>'CDM Activity'!H69</f>
        <v>738136.30876040738</v>
      </c>
      <c r="H87" s="297">
        <v>32936</v>
      </c>
      <c r="I87" s="201">
        <v>134.73334561620703</v>
      </c>
      <c r="J87" s="186">
        <v>320</v>
      </c>
      <c r="K87" s="185">
        <v>176.5</v>
      </c>
      <c r="L87" s="187">
        <v>20</v>
      </c>
      <c r="M87" s="16">
        <f t="shared" si="10"/>
        <v>79622141.476085186</v>
      </c>
      <c r="N87" s="50">
        <f t="shared" si="6"/>
        <v>-232553.523914814</v>
      </c>
      <c r="O87" s="103">
        <f t="shared" si="7"/>
        <v>-2.9122085296902581E-3</v>
      </c>
      <c r="P87" s="13">
        <f t="shared" si="8"/>
        <v>2.9122085296902581E-3</v>
      </c>
      <c r="Q87" s="13"/>
      <c r="R87" s="13"/>
    </row>
    <row r="88" spans="1:40" x14ac:dyDescent="0.25">
      <c r="A88" s="169">
        <f t="shared" si="9"/>
        <v>40237</v>
      </c>
      <c r="B88" s="172">
        <v>68437902</v>
      </c>
      <c r="C88" s="230">
        <f t="shared" si="11"/>
        <v>754.1099999999999</v>
      </c>
      <c r="D88" s="230">
        <f t="shared" si="11"/>
        <v>0</v>
      </c>
      <c r="E88" s="171">
        <v>0</v>
      </c>
      <c r="F88" s="185">
        <v>28</v>
      </c>
      <c r="G88" s="16">
        <f>'CDM Activity'!H70</f>
        <v>710463.97374024347</v>
      </c>
      <c r="H88" s="297">
        <v>32950</v>
      </c>
      <c r="I88" s="201">
        <v>135.09837363244745</v>
      </c>
      <c r="J88" s="186">
        <v>304</v>
      </c>
      <c r="K88" s="185">
        <v>178.7</v>
      </c>
      <c r="L88" s="187">
        <v>20.6</v>
      </c>
      <c r="M88" s="16">
        <f t="shared" si="10"/>
        <v>71601765.834734797</v>
      </c>
      <c r="N88" s="50">
        <f t="shared" si="6"/>
        <v>3163863.8347347975</v>
      </c>
      <c r="O88" s="103">
        <f t="shared" si="7"/>
        <v>4.6229702288869072E-2</v>
      </c>
      <c r="P88" s="13">
        <f t="shared" si="8"/>
        <v>4.6229702288869072E-2</v>
      </c>
      <c r="Q88" s="13"/>
      <c r="R88" s="13"/>
    </row>
    <row r="89" spans="1:40" x14ac:dyDescent="0.25">
      <c r="A89" s="169">
        <f t="shared" si="9"/>
        <v>40268</v>
      </c>
      <c r="B89" s="172">
        <v>63113132</v>
      </c>
      <c r="C89" s="230">
        <f t="shared" si="11"/>
        <v>679.39</v>
      </c>
      <c r="D89" s="230">
        <f t="shared" si="11"/>
        <v>0</v>
      </c>
      <c r="E89" s="171">
        <v>1</v>
      </c>
      <c r="F89" s="185">
        <v>31</v>
      </c>
      <c r="G89" s="16">
        <f>'CDM Activity'!H71</f>
        <v>682791.63872007956</v>
      </c>
      <c r="H89" s="297">
        <v>32936</v>
      </c>
      <c r="I89" s="201">
        <v>135.46439060544563</v>
      </c>
      <c r="J89" s="186">
        <v>368</v>
      </c>
      <c r="K89" s="185">
        <v>179.9</v>
      </c>
      <c r="L89" s="187">
        <v>21.6</v>
      </c>
      <c r="M89" s="16">
        <f t="shared" si="10"/>
        <v>71201014.709423333</v>
      </c>
      <c r="N89" s="50">
        <f t="shared" si="6"/>
        <v>8087882.7094233334</v>
      </c>
      <c r="O89" s="103">
        <f t="shared" si="7"/>
        <v>0.12814896762568104</v>
      </c>
      <c r="P89" s="13">
        <f t="shared" si="8"/>
        <v>0.12814896762568104</v>
      </c>
      <c r="Q89" s="13"/>
      <c r="R89" s="13"/>
    </row>
    <row r="90" spans="1:40" x14ac:dyDescent="0.25">
      <c r="A90" s="169">
        <f t="shared" si="9"/>
        <v>40298</v>
      </c>
      <c r="B90" s="172">
        <v>53091250</v>
      </c>
      <c r="C90" s="230">
        <f t="shared" si="11"/>
        <v>427.16999999999996</v>
      </c>
      <c r="D90" s="230">
        <f t="shared" si="11"/>
        <v>0.02</v>
      </c>
      <c r="E90" s="171">
        <v>1</v>
      </c>
      <c r="F90" s="185">
        <v>30</v>
      </c>
      <c r="G90" s="16">
        <f>'CDM Activity'!H72</f>
        <v>655119.30369991565</v>
      </c>
      <c r="H90" s="297">
        <v>32921</v>
      </c>
      <c r="I90" s="201">
        <v>135.83139921454512</v>
      </c>
      <c r="J90" s="186">
        <v>320</v>
      </c>
      <c r="K90" s="185">
        <v>183.3</v>
      </c>
      <c r="L90" s="187">
        <v>19.8</v>
      </c>
      <c r="M90" s="16">
        <f t="shared" si="10"/>
        <v>59578004.60600923</v>
      </c>
      <c r="N90" s="50">
        <f t="shared" si="6"/>
        <v>6486754.60600923</v>
      </c>
      <c r="O90" s="103">
        <f t="shared" si="7"/>
        <v>0.12218123713435321</v>
      </c>
      <c r="P90" s="13">
        <f t="shared" si="8"/>
        <v>0.12218123713435321</v>
      </c>
      <c r="Q90" s="13"/>
      <c r="R90" s="13"/>
    </row>
    <row r="91" spans="1:40" x14ac:dyDescent="0.25">
      <c r="A91" s="169">
        <f t="shared" si="9"/>
        <v>40329</v>
      </c>
      <c r="B91" s="172">
        <v>51133107</v>
      </c>
      <c r="C91" s="230">
        <f t="shared" si="11"/>
        <v>232.2</v>
      </c>
      <c r="D91" s="230">
        <f t="shared" si="11"/>
        <v>3.9</v>
      </c>
      <c r="E91" s="171">
        <v>1</v>
      </c>
      <c r="F91" s="185">
        <v>31</v>
      </c>
      <c r="G91" s="16">
        <f>'CDM Activity'!H73</f>
        <v>627446.96867975174</v>
      </c>
      <c r="H91" s="297">
        <v>32906</v>
      </c>
      <c r="I91" s="201">
        <v>136.19940214634852</v>
      </c>
      <c r="J91" s="186">
        <v>320</v>
      </c>
      <c r="K91" s="185">
        <v>186.1</v>
      </c>
      <c r="L91" s="187">
        <v>19.8</v>
      </c>
      <c r="M91" s="16">
        <f t="shared" si="10"/>
        <v>54109488.632818006</v>
      </c>
      <c r="N91" s="50">
        <f t="shared" si="6"/>
        <v>2976381.632818006</v>
      </c>
      <c r="O91" s="103">
        <f t="shared" si="7"/>
        <v>5.8208503403049727E-2</v>
      </c>
      <c r="P91" s="13">
        <f t="shared" si="8"/>
        <v>5.8208503403049727E-2</v>
      </c>
      <c r="Q91" s="13"/>
      <c r="R91" s="13"/>
    </row>
    <row r="92" spans="1:40" x14ac:dyDescent="0.25">
      <c r="A92" s="169">
        <f t="shared" si="9"/>
        <v>40359</v>
      </c>
      <c r="B92" s="172">
        <v>47900766</v>
      </c>
      <c r="C92" s="230">
        <f t="shared" si="11"/>
        <v>101.74</v>
      </c>
      <c r="D92" s="230">
        <f t="shared" si="11"/>
        <v>9.5400000000000009</v>
      </c>
      <c r="E92" s="171">
        <v>0</v>
      </c>
      <c r="F92" s="185">
        <v>30</v>
      </c>
      <c r="G92" s="16">
        <f>'CDM Activity'!H74</f>
        <v>599774.63365958782</v>
      </c>
      <c r="H92" s="297">
        <v>32935</v>
      </c>
      <c r="I92" s="201">
        <v>136.56840209473719</v>
      </c>
      <c r="J92" s="186">
        <v>352</v>
      </c>
      <c r="K92" s="185">
        <v>189.4</v>
      </c>
      <c r="L92" s="187">
        <v>20</v>
      </c>
      <c r="M92" s="16">
        <f t="shared" si="10"/>
        <v>50738448.16086635</v>
      </c>
      <c r="N92" s="50">
        <f t="shared" si="6"/>
        <v>2837682.1608663499</v>
      </c>
      <c r="O92" s="103">
        <f t="shared" si="7"/>
        <v>5.9240851406558923E-2</v>
      </c>
      <c r="P92" s="13">
        <f t="shared" si="8"/>
        <v>5.9240851406558923E-2</v>
      </c>
      <c r="Q92" s="13"/>
      <c r="R92" s="13"/>
    </row>
    <row r="93" spans="1:40" x14ac:dyDescent="0.25">
      <c r="A93" s="169">
        <f t="shared" si="9"/>
        <v>40390</v>
      </c>
      <c r="B93" s="172">
        <v>53067071</v>
      </c>
      <c r="C93" s="230">
        <f t="shared" si="11"/>
        <v>40.76</v>
      </c>
      <c r="D93" s="230">
        <f t="shared" si="11"/>
        <v>36.08</v>
      </c>
      <c r="E93" s="171">
        <v>0</v>
      </c>
      <c r="F93" s="185">
        <v>31</v>
      </c>
      <c r="G93" s="16">
        <f>'CDM Activity'!H75</f>
        <v>572102.29863942391</v>
      </c>
      <c r="H93" s="297">
        <v>32948</v>
      </c>
      <c r="I93" s="201">
        <v>136.93840176089088</v>
      </c>
      <c r="J93" s="186">
        <v>336</v>
      </c>
      <c r="K93" s="185">
        <v>191.6</v>
      </c>
      <c r="L93" s="187">
        <v>22.1</v>
      </c>
      <c r="M93" s="16">
        <f t="shared" si="10"/>
        <v>52428607.298951879</v>
      </c>
      <c r="N93" s="50">
        <f t="shared" si="6"/>
        <v>-638463.70104812086</v>
      </c>
      <c r="O93" s="103">
        <f t="shared" si="7"/>
        <v>-1.2031259480066666E-2</v>
      </c>
      <c r="P93" s="13">
        <f t="shared" si="8"/>
        <v>1.2031259480066666E-2</v>
      </c>
      <c r="Q93" s="13"/>
      <c r="R93" s="13"/>
    </row>
    <row r="94" spans="1:40" x14ac:dyDescent="0.25">
      <c r="A94" s="169">
        <f t="shared" si="9"/>
        <v>40421</v>
      </c>
      <c r="B94" s="172">
        <v>53169361</v>
      </c>
      <c r="C94" s="230">
        <f t="shared" si="11"/>
        <v>42.03</v>
      </c>
      <c r="D94" s="230">
        <f t="shared" si="11"/>
        <v>33.799999999999997</v>
      </c>
      <c r="E94" s="171">
        <v>0</v>
      </c>
      <c r="F94" s="185">
        <v>31</v>
      </c>
      <c r="G94" s="16">
        <f>'CDM Activity'!H76</f>
        <v>544429.96361926</v>
      </c>
      <c r="H94" s="297">
        <v>32962</v>
      </c>
      <c r="I94" s="201">
        <v>137.30940385330757</v>
      </c>
      <c r="J94" s="186">
        <v>336</v>
      </c>
      <c r="K94" s="185">
        <v>192.4</v>
      </c>
      <c r="L94" s="187">
        <v>23.1</v>
      </c>
      <c r="M94" s="16">
        <f t="shared" si="10"/>
        <v>52413684.071885496</v>
      </c>
      <c r="N94" s="50">
        <f t="shared" si="6"/>
        <v>-755676.92811450362</v>
      </c>
      <c r="O94" s="103">
        <f t="shared" si="7"/>
        <v>-1.4212638893939381E-2</v>
      </c>
      <c r="P94" s="13">
        <f t="shared" si="8"/>
        <v>1.4212638893939381E-2</v>
      </c>
      <c r="Q94" s="13"/>
      <c r="R94" s="13"/>
      <c r="AC94" s="54"/>
    </row>
    <row r="95" spans="1:40" x14ac:dyDescent="0.25">
      <c r="A95" s="169">
        <f t="shared" si="9"/>
        <v>40451</v>
      </c>
      <c r="B95" s="172">
        <v>48479950</v>
      </c>
      <c r="C95" s="230">
        <f t="shared" si="11"/>
        <v>129.35999999999999</v>
      </c>
      <c r="D95" s="230">
        <f t="shared" si="11"/>
        <v>11.579999999999998</v>
      </c>
      <c r="E95" s="171">
        <v>1</v>
      </c>
      <c r="F95" s="185">
        <v>30</v>
      </c>
      <c r="G95" s="16">
        <f>'CDM Activity'!H77</f>
        <v>516757.62859909603</v>
      </c>
      <c r="H95" s="297">
        <v>32989</v>
      </c>
      <c r="I95" s="201">
        <v>137.68141108782325</v>
      </c>
      <c r="J95" s="186">
        <v>336</v>
      </c>
      <c r="K95" s="185">
        <v>192.5</v>
      </c>
      <c r="L95" s="187">
        <v>23.5</v>
      </c>
      <c r="M95" s="16">
        <f t="shared" si="10"/>
        <v>49449181.735701315</v>
      </c>
      <c r="N95" s="50">
        <f t="shared" si="6"/>
        <v>969231.7357013151</v>
      </c>
      <c r="O95" s="103">
        <f t="shared" si="7"/>
        <v>1.9992424408468143E-2</v>
      </c>
      <c r="P95" s="13">
        <f t="shared" si="8"/>
        <v>1.9992424408468143E-2</v>
      </c>
      <c r="Q95" s="13"/>
      <c r="R95" s="13"/>
      <c r="AC95" s="54"/>
    </row>
    <row r="96" spans="1:40" x14ac:dyDescent="0.25">
      <c r="A96" s="169">
        <f t="shared" si="9"/>
        <v>40482</v>
      </c>
      <c r="B96" s="172">
        <v>54414298</v>
      </c>
      <c r="C96" s="230">
        <f t="shared" si="11"/>
        <v>306.13</v>
      </c>
      <c r="D96" s="230">
        <f t="shared" si="11"/>
        <v>0.46999999999999992</v>
      </c>
      <c r="E96" s="171">
        <v>1</v>
      </c>
      <c r="F96" s="185">
        <v>31</v>
      </c>
      <c r="G96" s="16">
        <f>'CDM Activity'!H78</f>
        <v>489085.29357893206</v>
      </c>
      <c r="H96" s="297">
        <v>33019</v>
      </c>
      <c r="I96" s="201">
        <v>138.0544261876318</v>
      </c>
      <c r="J96" s="186">
        <v>320</v>
      </c>
      <c r="K96" s="185">
        <v>192.2</v>
      </c>
      <c r="L96" s="187">
        <v>22.1</v>
      </c>
      <c r="M96" s="16">
        <f t="shared" si="10"/>
        <v>57425451.439431369</v>
      </c>
      <c r="N96" s="50">
        <f t="shared" si="6"/>
        <v>3011153.4394313693</v>
      </c>
      <c r="O96" s="103">
        <f t="shared" si="7"/>
        <v>5.5337540868971045E-2</v>
      </c>
      <c r="P96" s="13">
        <f t="shared" si="8"/>
        <v>5.5337540868971045E-2</v>
      </c>
      <c r="Q96" s="13"/>
      <c r="R96" s="13"/>
      <c r="AC96" s="204"/>
      <c r="AD96" s="59"/>
    </row>
    <row r="97" spans="1:30" x14ac:dyDescent="0.25">
      <c r="A97" s="169">
        <f t="shared" si="9"/>
        <v>40512</v>
      </c>
      <c r="B97" s="172">
        <v>63109939</v>
      </c>
      <c r="C97" s="230">
        <f t="shared" si="11"/>
        <v>480.06200000000001</v>
      </c>
      <c r="D97" s="230">
        <f t="shared" si="11"/>
        <v>0</v>
      </c>
      <c r="E97" s="171">
        <v>1</v>
      </c>
      <c r="F97" s="185">
        <v>30</v>
      </c>
      <c r="G97" s="16">
        <f>'CDM Activity'!H79</f>
        <v>461412.95855876809</v>
      </c>
      <c r="H97" s="297">
        <v>33077</v>
      </c>
      <c r="I97" s="201">
        <v>138.42845188330503</v>
      </c>
      <c r="J97" s="186">
        <v>336</v>
      </c>
      <c r="K97" s="185">
        <v>192.2</v>
      </c>
      <c r="L97" s="187">
        <v>20.399999999999999</v>
      </c>
      <c r="M97" s="16">
        <f t="shared" si="10"/>
        <v>62621783.017219543</v>
      </c>
      <c r="N97" s="50">
        <f t="shared" si="6"/>
        <v>-488155.98278045654</v>
      </c>
      <c r="O97" s="103">
        <f t="shared" si="7"/>
        <v>-7.7350095803524156E-3</v>
      </c>
      <c r="P97" s="13">
        <f t="shared" si="8"/>
        <v>7.7350095803524156E-3</v>
      </c>
      <c r="Q97" s="13"/>
      <c r="R97" s="13"/>
      <c r="AC97" s="204"/>
      <c r="AD97" s="59"/>
    </row>
    <row r="98" spans="1:30" x14ac:dyDescent="0.25">
      <c r="A98" s="169">
        <f t="shared" si="9"/>
        <v>40543</v>
      </c>
      <c r="B98" s="172">
        <v>78427591</v>
      </c>
      <c r="C98" s="230">
        <f t="shared" si="11"/>
        <v>702.73800000000006</v>
      </c>
      <c r="D98" s="230">
        <f t="shared" si="11"/>
        <v>0</v>
      </c>
      <c r="E98" s="171">
        <v>0</v>
      </c>
      <c r="F98" s="185">
        <v>31</v>
      </c>
      <c r="G98" s="16">
        <f>'CDM Activity'!H80</f>
        <v>433740.62353860412</v>
      </c>
      <c r="H98" s="297">
        <v>33118</v>
      </c>
      <c r="I98" s="201">
        <v>138.80349091281266</v>
      </c>
      <c r="J98" s="186">
        <v>368</v>
      </c>
      <c r="K98" s="185">
        <v>191</v>
      </c>
      <c r="L98" s="187">
        <v>18.3</v>
      </c>
      <c r="M98" s="16">
        <f t="shared" si="10"/>
        <v>76253697.316323295</v>
      </c>
      <c r="N98" s="50">
        <f t="shared" si="6"/>
        <v>-2173893.6836767048</v>
      </c>
      <c r="O98" s="103">
        <f t="shared" si="7"/>
        <v>-2.7718480906505274E-2</v>
      </c>
      <c r="P98" s="13">
        <f t="shared" si="8"/>
        <v>2.7718480906505274E-2</v>
      </c>
      <c r="Q98" s="13"/>
      <c r="R98" s="13"/>
      <c r="AC98" s="59"/>
      <c r="AD98" s="59"/>
    </row>
    <row r="99" spans="1:30" x14ac:dyDescent="0.25">
      <c r="A99" s="169">
        <f t="shared" si="9"/>
        <v>40574</v>
      </c>
      <c r="B99" s="172">
        <v>83643833</v>
      </c>
      <c r="C99" s="230">
        <f t="shared" si="11"/>
        <v>824.21</v>
      </c>
      <c r="D99" s="230">
        <f t="shared" si="11"/>
        <v>0</v>
      </c>
      <c r="E99" s="171">
        <v>0</v>
      </c>
      <c r="F99" s="185">
        <v>31</v>
      </c>
      <c r="G99" s="16">
        <f>'CDM Activity'!H81</f>
        <v>481551.78829860594</v>
      </c>
      <c r="H99" s="297">
        <v>33040</v>
      </c>
      <c r="I99" s="201">
        <v>139.10070640604135</v>
      </c>
      <c r="J99" s="186">
        <v>336</v>
      </c>
      <c r="K99" s="185">
        <v>189.3</v>
      </c>
      <c r="L99" s="187">
        <v>17.399999999999999</v>
      </c>
      <c r="M99" s="16">
        <f t="shared" si="10"/>
        <v>80690032.285470083</v>
      </c>
      <c r="N99" s="50">
        <f t="shared" si="6"/>
        <v>-2953800.7145299166</v>
      </c>
      <c r="O99" s="103">
        <f t="shared" si="7"/>
        <v>-3.5314028644884275E-2</v>
      </c>
      <c r="P99" s="13">
        <f t="shared" si="8"/>
        <v>3.5314028644884275E-2</v>
      </c>
      <c r="R99" s="13"/>
      <c r="AC99" s="59"/>
      <c r="AD99" s="59"/>
    </row>
    <row r="100" spans="1:30" x14ac:dyDescent="0.25">
      <c r="A100" s="169">
        <f t="shared" si="9"/>
        <v>40602</v>
      </c>
      <c r="B100" s="172">
        <v>72687185</v>
      </c>
      <c r="C100" s="230">
        <f t="shared" si="11"/>
        <v>754.1099999999999</v>
      </c>
      <c r="D100" s="230">
        <f t="shared" si="11"/>
        <v>0</v>
      </c>
      <c r="E100" s="171">
        <v>0</v>
      </c>
      <c r="F100" s="185">
        <v>28</v>
      </c>
      <c r="G100" s="16">
        <f>'CDM Activity'!H82</f>
        <v>529362.95305860776</v>
      </c>
      <c r="H100" s="297">
        <v>33045</v>
      </c>
      <c r="I100" s="201">
        <v>139.39855831733732</v>
      </c>
      <c r="J100" s="186">
        <v>304</v>
      </c>
      <c r="K100" s="185">
        <v>185.4</v>
      </c>
      <c r="L100" s="187">
        <v>17.600000000000001</v>
      </c>
      <c r="M100" s="16">
        <f t="shared" si="10"/>
        <v>72401802.997022897</v>
      </c>
      <c r="N100" s="50">
        <f t="shared" si="6"/>
        <v>-285382.00297710299</v>
      </c>
      <c r="O100" s="103">
        <f t="shared" si="7"/>
        <v>-3.926166668541408E-3</v>
      </c>
      <c r="P100" s="13">
        <f t="shared" si="8"/>
        <v>3.926166668541408E-3</v>
      </c>
      <c r="R100" s="13"/>
      <c r="AC100" s="59"/>
      <c r="AD100" s="59"/>
    </row>
    <row r="101" spans="1:30" x14ac:dyDescent="0.25">
      <c r="A101" s="169">
        <f t="shared" si="9"/>
        <v>40633</v>
      </c>
      <c r="B101" s="172">
        <v>72688244</v>
      </c>
      <c r="C101" s="230">
        <f t="shared" si="11"/>
        <v>679.39</v>
      </c>
      <c r="D101" s="230">
        <f t="shared" si="11"/>
        <v>0</v>
      </c>
      <c r="E101" s="171">
        <v>1</v>
      </c>
      <c r="F101" s="185">
        <v>31</v>
      </c>
      <c r="G101" s="16">
        <f>'CDM Activity'!H83</f>
        <v>577174.11781860958</v>
      </c>
      <c r="H101" s="297">
        <v>33047</v>
      </c>
      <c r="I101" s="201">
        <v>139.69704800944226</v>
      </c>
      <c r="J101" s="186">
        <v>368</v>
      </c>
      <c r="K101" s="185">
        <v>182.9</v>
      </c>
      <c r="L101" s="187">
        <v>18.399999999999999</v>
      </c>
      <c r="M101" s="16">
        <f t="shared" si="10"/>
        <v>71786803.107020706</v>
      </c>
      <c r="N101" s="50">
        <f t="shared" si="6"/>
        <v>-901440.89297929406</v>
      </c>
      <c r="O101" s="103">
        <f t="shared" si="7"/>
        <v>-1.2401467463972497E-2</v>
      </c>
      <c r="P101" s="13">
        <f t="shared" si="8"/>
        <v>1.2401467463972497E-2</v>
      </c>
      <c r="R101" s="13"/>
      <c r="AC101" s="59"/>
      <c r="AD101" s="59"/>
    </row>
    <row r="102" spans="1:30" x14ac:dyDescent="0.25">
      <c r="A102" s="169">
        <f t="shared" si="9"/>
        <v>40663</v>
      </c>
      <c r="B102" s="172">
        <v>60902854</v>
      </c>
      <c r="C102" s="230">
        <f t="shared" si="11"/>
        <v>427.16999999999996</v>
      </c>
      <c r="D102" s="230">
        <f t="shared" si="11"/>
        <v>0.02</v>
      </c>
      <c r="E102" s="171">
        <v>1</v>
      </c>
      <c r="F102" s="185">
        <v>30</v>
      </c>
      <c r="G102" s="16">
        <f>'CDM Activity'!H84</f>
        <v>624985.2825786114</v>
      </c>
      <c r="H102" s="297">
        <v>33047</v>
      </c>
      <c r="I102" s="201">
        <v>139.99617684801592</v>
      </c>
      <c r="J102" s="186">
        <v>320</v>
      </c>
      <c r="K102" s="185">
        <v>182.2</v>
      </c>
      <c r="L102" s="187">
        <v>19.899999999999999</v>
      </c>
      <c r="M102" s="16">
        <f t="shared" si="10"/>
        <v>59947400.04361961</v>
      </c>
      <c r="N102" s="50">
        <f t="shared" si="6"/>
        <v>-955453.95638038963</v>
      </c>
      <c r="O102" s="103">
        <f t="shared" si="7"/>
        <v>-1.5688163913966817E-2</v>
      </c>
      <c r="P102" s="13">
        <f t="shared" si="8"/>
        <v>1.5688163913966817E-2</v>
      </c>
      <c r="R102" s="13"/>
      <c r="AC102" s="59"/>
      <c r="AD102" s="59"/>
    </row>
    <row r="103" spans="1:30" x14ac:dyDescent="0.25">
      <c r="A103" s="169">
        <f t="shared" si="9"/>
        <v>40694</v>
      </c>
      <c r="B103" s="172">
        <v>52597908</v>
      </c>
      <c r="C103" s="230">
        <f t="shared" si="11"/>
        <v>232.2</v>
      </c>
      <c r="D103" s="230">
        <f t="shared" si="11"/>
        <v>3.9</v>
      </c>
      <c r="E103" s="171">
        <v>1</v>
      </c>
      <c r="F103" s="185">
        <v>31</v>
      </c>
      <c r="G103" s="16">
        <f>'CDM Activity'!H85</f>
        <v>672796.44733861322</v>
      </c>
      <c r="H103" s="297">
        <v>33046</v>
      </c>
      <c r="I103" s="201">
        <v>140.29594620164227</v>
      </c>
      <c r="J103" s="186">
        <v>336</v>
      </c>
      <c r="K103" s="185">
        <v>186.5</v>
      </c>
      <c r="L103" s="187">
        <v>20.2</v>
      </c>
      <c r="M103" s="16">
        <f t="shared" si="10"/>
        <v>54260346.915145174</v>
      </c>
      <c r="N103" s="50">
        <f t="shared" si="6"/>
        <v>1662438.9151451737</v>
      </c>
      <c r="O103" s="103">
        <f t="shared" si="7"/>
        <v>3.1606559621062756E-2</v>
      </c>
      <c r="P103" s="13">
        <f t="shared" si="8"/>
        <v>3.1606559621062756E-2</v>
      </c>
      <c r="R103" s="13"/>
      <c r="AC103" s="59"/>
      <c r="AD103" s="59"/>
    </row>
    <row r="104" spans="1:30" x14ac:dyDescent="0.25">
      <c r="A104" s="169">
        <f t="shared" si="9"/>
        <v>40724</v>
      </c>
      <c r="B104" s="172">
        <v>48777799</v>
      </c>
      <c r="C104" s="230">
        <f t="shared" si="11"/>
        <v>101.74</v>
      </c>
      <c r="D104" s="230">
        <f t="shared" si="11"/>
        <v>9.5400000000000009</v>
      </c>
      <c r="E104" s="171">
        <v>0</v>
      </c>
      <c r="F104" s="185">
        <v>30</v>
      </c>
      <c r="G104" s="16">
        <f>'CDM Activity'!H86</f>
        <v>720607.61209861503</v>
      </c>
      <c r="H104" s="297">
        <v>33056</v>
      </c>
      <c r="I104" s="201">
        <v>140.59635744183578</v>
      </c>
      <c r="J104" s="186">
        <v>352</v>
      </c>
      <c r="K104" s="185">
        <v>193</v>
      </c>
      <c r="L104" s="187">
        <v>19.3</v>
      </c>
      <c r="M104" s="16">
        <f t="shared" si="10"/>
        <v>50600010.843134329</v>
      </c>
      <c r="N104" s="50">
        <f t="shared" si="6"/>
        <v>1822211.8431343287</v>
      </c>
      <c r="O104" s="103">
        <f t="shared" si="7"/>
        <v>3.7357401942927533E-2</v>
      </c>
      <c r="P104" s="13">
        <f t="shared" si="8"/>
        <v>3.7357401942927533E-2</v>
      </c>
      <c r="R104" s="13"/>
      <c r="AC104" s="59"/>
      <c r="AD104" s="59"/>
    </row>
    <row r="105" spans="1:30" x14ac:dyDescent="0.25">
      <c r="A105" s="169">
        <f t="shared" si="9"/>
        <v>40755</v>
      </c>
      <c r="B105" s="172">
        <v>54638457</v>
      </c>
      <c r="C105" s="230">
        <f t="shared" si="11"/>
        <v>40.76</v>
      </c>
      <c r="D105" s="230">
        <f t="shared" si="11"/>
        <v>36.08</v>
      </c>
      <c r="E105" s="171">
        <v>0</v>
      </c>
      <c r="F105" s="185">
        <v>31</v>
      </c>
      <c r="G105" s="16">
        <f>'CDM Activity'!H87</f>
        <v>768418.77685861685</v>
      </c>
      <c r="H105" s="297">
        <v>33071</v>
      </c>
      <c r="I105" s="201">
        <v>140.89741194304773</v>
      </c>
      <c r="J105" s="186">
        <v>320</v>
      </c>
      <c r="K105" s="185">
        <v>198.4</v>
      </c>
      <c r="L105" s="187">
        <v>17.8</v>
      </c>
      <c r="M105" s="16">
        <f t="shared" si="10"/>
        <v>52045902.482381746</v>
      </c>
      <c r="N105" s="50">
        <f t="shared" si="6"/>
        <v>-2592554.5176182538</v>
      </c>
      <c r="O105" s="103">
        <f t="shared" si="7"/>
        <v>-4.7449263027655661E-2</v>
      </c>
      <c r="P105" s="13">
        <f t="shared" si="8"/>
        <v>4.7449263027655661E-2</v>
      </c>
      <c r="R105" s="13"/>
      <c r="AC105" s="59"/>
      <c r="AD105" s="59"/>
    </row>
    <row r="106" spans="1:30" x14ac:dyDescent="0.25">
      <c r="A106" s="169">
        <f t="shared" si="9"/>
        <v>40786</v>
      </c>
      <c r="B106" s="172">
        <v>54146196</v>
      </c>
      <c r="C106" s="230">
        <f t="shared" si="11"/>
        <v>42.03</v>
      </c>
      <c r="D106" s="230">
        <f t="shared" si="11"/>
        <v>33.799999999999997</v>
      </c>
      <c r="E106" s="171">
        <v>0</v>
      </c>
      <c r="F106" s="185">
        <v>31</v>
      </c>
      <c r="G106" s="16">
        <f>'CDM Activity'!H88</f>
        <v>816229.94161861867</v>
      </c>
      <c r="H106" s="297">
        <v>33098</v>
      </c>
      <c r="I106" s="201">
        <v>141.19911108267243</v>
      </c>
      <c r="J106" s="186">
        <v>352</v>
      </c>
      <c r="K106" s="185">
        <v>200.6</v>
      </c>
      <c r="L106" s="187">
        <v>16.899999999999999</v>
      </c>
      <c r="M106" s="16">
        <f t="shared" si="10"/>
        <v>51810297.904735893</v>
      </c>
      <c r="N106" s="50">
        <f t="shared" si="6"/>
        <v>-2335898.095264107</v>
      </c>
      <c r="O106" s="103">
        <f t="shared" si="7"/>
        <v>-4.3140576214515731E-2</v>
      </c>
      <c r="P106" s="13">
        <f t="shared" si="8"/>
        <v>4.3140576214515731E-2</v>
      </c>
      <c r="R106" s="13"/>
      <c r="AC106" s="59"/>
      <c r="AD106" s="59"/>
    </row>
    <row r="107" spans="1:30" x14ac:dyDescent="0.25">
      <c r="A107" s="169">
        <f t="shared" si="9"/>
        <v>40816</v>
      </c>
      <c r="B107" s="172">
        <v>52585712</v>
      </c>
      <c r="C107" s="230">
        <f t="shared" si="11"/>
        <v>129.35999999999999</v>
      </c>
      <c r="D107" s="230">
        <f t="shared" si="11"/>
        <v>11.579999999999998</v>
      </c>
      <c r="E107" s="171">
        <v>1</v>
      </c>
      <c r="F107" s="185">
        <v>30</v>
      </c>
      <c r="G107" s="16">
        <f>'CDM Activity'!H89</f>
        <v>864041.10637862049</v>
      </c>
      <c r="H107" s="297">
        <v>33126</v>
      </c>
      <c r="I107" s="201">
        <v>141.50145624105357</v>
      </c>
      <c r="J107" s="186">
        <v>336</v>
      </c>
      <c r="K107" s="185">
        <v>200.6</v>
      </c>
      <c r="L107" s="187">
        <v>16.399999999999999</v>
      </c>
      <c r="M107" s="16">
        <f t="shared" si="10"/>
        <v>48599383.874417365</v>
      </c>
      <c r="N107" s="50">
        <f t="shared" si="6"/>
        <v>-3986328.1255826354</v>
      </c>
      <c r="O107" s="103">
        <f t="shared" si="7"/>
        <v>-7.5806297451722918E-2</v>
      </c>
      <c r="P107" s="13">
        <f t="shared" si="8"/>
        <v>7.5806297451722918E-2</v>
      </c>
      <c r="R107" s="13"/>
      <c r="AC107" s="59"/>
      <c r="AD107" s="59"/>
    </row>
    <row r="108" spans="1:30" x14ac:dyDescent="0.25">
      <c r="A108" s="169">
        <f t="shared" si="9"/>
        <v>40847</v>
      </c>
      <c r="B108" s="172">
        <v>56921149</v>
      </c>
      <c r="C108" s="230">
        <f t="shared" si="11"/>
        <v>306.13</v>
      </c>
      <c r="D108" s="230">
        <f t="shared" si="11"/>
        <v>0.46999999999999992</v>
      </c>
      <c r="E108" s="171">
        <v>1</v>
      </c>
      <c r="F108" s="185">
        <v>31</v>
      </c>
      <c r="G108" s="16">
        <f>'CDM Activity'!H90</f>
        <v>911852.27113862231</v>
      </c>
      <c r="H108" s="297">
        <v>33143</v>
      </c>
      <c r="I108" s="201">
        <v>141.80444880149057</v>
      </c>
      <c r="J108" s="186">
        <v>320</v>
      </c>
      <c r="K108" s="185">
        <v>200.2</v>
      </c>
      <c r="L108" s="187">
        <v>15.5</v>
      </c>
      <c r="M108" s="16">
        <f t="shared" si="10"/>
        <v>56299223.149865657</v>
      </c>
      <c r="N108" s="50">
        <f t="shared" si="6"/>
        <v>-621925.85013434291</v>
      </c>
      <c r="O108" s="103">
        <f t="shared" si="7"/>
        <v>-1.0926094449258973E-2</v>
      </c>
      <c r="P108" s="13">
        <f t="shared" si="8"/>
        <v>1.0926094449258973E-2</v>
      </c>
      <c r="R108" s="13"/>
      <c r="AC108" s="59"/>
      <c r="AD108" s="59"/>
    </row>
    <row r="109" spans="1:30" x14ac:dyDescent="0.25">
      <c r="A109" s="169">
        <f t="shared" si="9"/>
        <v>40877</v>
      </c>
      <c r="B109" s="172">
        <v>61640573</v>
      </c>
      <c r="C109" s="230">
        <f t="shared" si="11"/>
        <v>480.06200000000001</v>
      </c>
      <c r="D109" s="230">
        <f t="shared" si="11"/>
        <v>0</v>
      </c>
      <c r="E109" s="171">
        <v>1</v>
      </c>
      <c r="F109" s="185">
        <v>30</v>
      </c>
      <c r="G109" s="16">
        <f>'CDM Activity'!H91</f>
        <v>959663.43589862413</v>
      </c>
      <c r="H109" s="297">
        <v>33199</v>
      </c>
      <c r="I109" s="201">
        <v>142.10809015024478</v>
      </c>
      <c r="J109" s="186">
        <v>352</v>
      </c>
      <c r="K109" s="185">
        <v>198</v>
      </c>
      <c r="L109" s="187">
        <v>14.6</v>
      </c>
      <c r="M109" s="16">
        <f t="shared" si="10"/>
        <v>61242710.447630763</v>
      </c>
      <c r="N109" s="50">
        <f t="shared" si="6"/>
        <v>-397862.55236923695</v>
      </c>
      <c r="O109" s="103">
        <f t="shared" si="7"/>
        <v>-6.4545563580214764E-3</v>
      </c>
      <c r="P109" s="13">
        <f t="shared" si="8"/>
        <v>6.4545563580214764E-3</v>
      </c>
      <c r="R109" s="13"/>
      <c r="AC109" s="59"/>
      <c r="AD109" s="59"/>
    </row>
    <row r="110" spans="1:30" x14ac:dyDescent="0.25">
      <c r="A110" s="169">
        <f t="shared" si="9"/>
        <v>40908</v>
      </c>
      <c r="B110" s="172">
        <v>73819284</v>
      </c>
      <c r="C110" s="230">
        <f t="shared" si="11"/>
        <v>702.73800000000006</v>
      </c>
      <c r="D110" s="230">
        <f t="shared" si="11"/>
        <v>0</v>
      </c>
      <c r="E110" s="171">
        <v>0</v>
      </c>
      <c r="F110" s="185">
        <v>31</v>
      </c>
      <c r="G110" s="16">
        <f>'CDM Activity'!H92</f>
        <v>1007474.6006586259</v>
      </c>
      <c r="H110" s="297">
        <v>33248</v>
      </c>
      <c r="I110" s="201">
        <v>142.41238167654581</v>
      </c>
      <c r="J110" s="186">
        <v>336</v>
      </c>
      <c r="K110" s="185">
        <v>197.3</v>
      </c>
      <c r="L110" s="187">
        <v>14.1</v>
      </c>
      <c r="M110" s="16">
        <f t="shared" si="10"/>
        <v>74643222.419673845</v>
      </c>
      <c r="N110" s="50">
        <f t="shared" si="6"/>
        <v>823938.41967384517</v>
      </c>
      <c r="O110" s="103">
        <f t="shared" si="7"/>
        <v>1.1161560706465876E-2</v>
      </c>
      <c r="P110" s="13">
        <f t="shared" si="8"/>
        <v>1.1161560706465876E-2</v>
      </c>
      <c r="R110" s="13"/>
      <c r="AC110" s="59"/>
      <c r="AD110" s="59"/>
    </row>
    <row r="111" spans="1:30" x14ac:dyDescent="0.25">
      <c r="A111" s="169">
        <f t="shared" si="9"/>
        <v>40939</v>
      </c>
      <c r="B111" s="172">
        <v>73790226</v>
      </c>
      <c r="C111" s="230">
        <f t="shared" si="11"/>
        <v>824.21</v>
      </c>
      <c r="D111" s="230">
        <f t="shared" si="11"/>
        <v>0</v>
      </c>
      <c r="E111" s="171">
        <v>0</v>
      </c>
      <c r="F111" s="185">
        <v>31</v>
      </c>
      <c r="G111" s="16">
        <f>'CDM Activity'!H93</f>
        <v>1011767.0909852902</v>
      </c>
      <c r="H111" s="297">
        <f>33198+5</f>
        <v>33203</v>
      </c>
      <c r="I111" s="201">
        <v>142.61257743956915</v>
      </c>
      <c r="J111" s="186">
        <v>336</v>
      </c>
      <c r="K111" s="185">
        <v>196.5</v>
      </c>
      <c r="L111" s="187">
        <v>15</v>
      </c>
      <c r="M111" s="16">
        <f t="shared" si="10"/>
        <v>79293616.327904895</v>
      </c>
      <c r="N111" s="50">
        <f t="shared" si="6"/>
        <v>5503390.3279048949</v>
      </c>
      <c r="O111" s="103">
        <f t="shared" si="7"/>
        <v>7.4581562169289128E-2</v>
      </c>
      <c r="P111" s="13">
        <f t="shared" si="8"/>
        <v>7.4581562169289128E-2</v>
      </c>
      <c r="R111" s="13"/>
      <c r="AC111" s="59"/>
      <c r="AD111" s="59"/>
    </row>
    <row r="112" spans="1:30" x14ac:dyDescent="0.25">
      <c r="A112" s="169">
        <f t="shared" si="9"/>
        <v>40968</v>
      </c>
      <c r="B112" s="172">
        <v>68046427</v>
      </c>
      <c r="C112" s="230">
        <f t="shared" si="11"/>
        <v>754.1099999999999</v>
      </c>
      <c r="D112" s="230">
        <f t="shared" si="11"/>
        <v>0</v>
      </c>
      <c r="E112" s="171">
        <v>0</v>
      </c>
      <c r="F112" s="185">
        <v>29</v>
      </c>
      <c r="G112" s="16">
        <f>'CDM Activity'!H94</f>
        <v>1016059.5813119545</v>
      </c>
      <c r="H112" s="297">
        <f>33198+5</f>
        <v>33203</v>
      </c>
      <c r="I112" s="201">
        <v>142.81305462716429</v>
      </c>
      <c r="J112" s="186">
        <v>320</v>
      </c>
      <c r="K112" s="185">
        <v>198.1</v>
      </c>
      <c r="L112" s="187">
        <v>15.7</v>
      </c>
      <c r="M112" s="16">
        <f t="shared" si="10"/>
        <v>72935963.439504609</v>
      </c>
      <c r="N112" s="50">
        <f t="shared" si="6"/>
        <v>4889536.4395046085</v>
      </c>
      <c r="O112" s="103">
        <f t="shared" si="7"/>
        <v>7.185588803221965E-2</v>
      </c>
      <c r="P112" s="13">
        <f t="shared" si="8"/>
        <v>7.185588803221965E-2</v>
      </c>
      <c r="R112" s="13"/>
      <c r="AC112" s="59"/>
      <c r="AD112" s="59"/>
    </row>
    <row r="113" spans="1:30" x14ac:dyDescent="0.25">
      <c r="A113" s="169">
        <f t="shared" si="9"/>
        <v>40999</v>
      </c>
      <c r="B113" s="172">
        <v>64860708</v>
      </c>
      <c r="C113" s="230">
        <f t="shared" si="11"/>
        <v>679.39</v>
      </c>
      <c r="D113" s="230">
        <f t="shared" si="11"/>
        <v>0</v>
      </c>
      <c r="E113" s="171">
        <v>1</v>
      </c>
      <c r="F113" s="185">
        <v>31</v>
      </c>
      <c r="G113" s="16">
        <f>'CDM Activity'!H95</f>
        <v>1020352.0716386188</v>
      </c>
      <c r="H113" s="297">
        <f>33198+5</f>
        <v>33203</v>
      </c>
      <c r="I113" s="201">
        <v>143.01381363494295</v>
      </c>
      <c r="J113" s="186">
        <v>352</v>
      </c>
      <c r="K113" s="185">
        <v>195.9</v>
      </c>
      <c r="L113" s="187">
        <v>17.899999999999999</v>
      </c>
      <c r="M113" s="16">
        <f t="shared" si="10"/>
        <v>70661978.770998463</v>
      </c>
      <c r="N113" s="50">
        <f t="shared" si="6"/>
        <v>5801270.770998463</v>
      </c>
      <c r="O113" s="103">
        <f t="shared" si="7"/>
        <v>8.9441989609463757E-2</v>
      </c>
      <c r="P113" s="13">
        <f t="shared" si="8"/>
        <v>8.9441989609463757E-2</v>
      </c>
      <c r="R113" s="13"/>
      <c r="AC113" s="59"/>
      <c r="AD113" s="59"/>
    </row>
    <row r="114" spans="1:30" x14ac:dyDescent="0.25">
      <c r="A114" s="169">
        <f t="shared" si="9"/>
        <v>41029</v>
      </c>
      <c r="B114" s="172">
        <v>55490558</v>
      </c>
      <c r="C114" s="230">
        <f t="shared" si="11"/>
        <v>427.16999999999996</v>
      </c>
      <c r="D114" s="230">
        <f t="shared" si="11"/>
        <v>0.02</v>
      </c>
      <c r="E114" s="171">
        <v>1</v>
      </c>
      <c r="F114" s="185">
        <v>30</v>
      </c>
      <c r="G114" s="16">
        <f>'CDM Activity'!H96</f>
        <v>1024644.5619652831</v>
      </c>
      <c r="H114" s="297">
        <f>33205+5</f>
        <v>33210</v>
      </c>
      <c r="I114" s="201">
        <v>143.21485485907297</v>
      </c>
      <c r="J114" s="186">
        <v>320</v>
      </c>
      <c r="K114" s="185">
        <v>194.4</v>
      </c>
      <c r="L114" s="187">
        <v>17.600000000000001</v>
      </c>
      <c r="M114" s="16">
        <f t="shared" si="10"/>
        <v>58980885.568979368</v>
      </c>
      <c r="N114" s="50">
        <f t="shared" si="6"/>
        <v>3490327.5689793676</v>
      </c>
      <c r="O114" s="103">
        <f t="shared" si="7"/>
        <v>6.2899485872522087E-2</v>
      </c>
      <c r="P114" s="13">
        <f t="shared" si="8"/>
        <v>6.2899485872522087E-2</v>
      </c>
      <c r="R114" s="13"/>
      <c r="AC114" s="59"/>
      <c r="AD114" s="59"/>
    </row>
    <row r="115" spans="1:30" x14ac:dyDescent="0.25">
      <c r="A115" s="169">
        <f t="shared" si="9"/>
        <v>41060</v>
      </c>
      <c r="B115" s="172">
        <v>50211578</v>
      </c>
      <c r="C115" s="230">
        <f t="shared" si="11"/>
        <v>232.2</v>
      </c>
      <c r="D115" s="230">
        <f t="shared" si="11"/>
        <v>3.9</v>
      </c>
      <c r="E115" s="171">
        <v>1</v>
      </c>
      <c r="F115" s="185">
        <v>31</v>
      </c>
      <c r="G115" s="16">
        <f>'CDM Activity'!H97</f>
        <v>1028937.0522919474</v>
      </c>
      <c r="H115" s="297">
        <f>33205+5</f>
        <v>33210</v>
      </c>
      <c r="I115" s="201">
        <v>143.41617869627913</v>
      </c>
      <c r="J115" s="186">
        <v>352</v>
      </c>
      <c r="K115" s="185">
        <v>192.8</v>
      </c>
      <c r="L115" s="187">
        <v>18.2</v>
      </c>
      <c r="M115" s="16">
        <f t="shared" si="10"/>
        <v>53439277.130109482</v>
      </c>
      <c r="N115" s="50">
        <f t="shared" si="6"/>
        <v>3227699.1301094815</v>
      </c>
      <c r="O115" s="103">
        <f t="shared" si="7"/>
        <v>6.4281969590947355E-2</v>
      </c>
      <c r="P115" s="13">
        <f t="shared" si="8"/>
        <v>6.4281969590947355E-2</v>
      </c>
      <c r="R115" s="13"/>
      <c r="AC115" s="59"/>
      <c r="AD115" s="59"/>
    </row>
    <row r="116" spans="1:30" x14ac:dyDescent="0.25">
      <c r="A116" s="169">
        <f t="shared" si="9"/>
        <v>41090</v>
      </c>
      <c r="B116" s="172">
        <v>50441593</v>
      </c>
      <c r="C116" s="230">
        <f t="shared" si="11"/>
        <v>101.74</v>
      </c>
      <c r="D116" s="230">
        <f t="shared" si="11"/>
        <v>9.5400000000000009</v>
      </c>
      <c r="E116" s="171">
        <v>0</v>
      </c>
      <c r="F116" s="185">
        <v>30</v>
      </c>
      <c r="G116" s="16">
        <f>'CDM Activity'!H98</f>
        <v>1033229.5426186117</v>
      </c>
      <c r="H116" s="297">
        <f>33205+5</f>
        <v>33210</v>
      </c>
      <c r="I116" s="201">
        <v>143.61778554384387</v>
      </c>
      <c r="J116" s="186">
        <v>336</v>
      </c>
      <c r="K116" s="185">
        <v>193.4</v>
      </c>
      <c r="L116" s="187">
        <v>17.399999999999999</v>
      </c>
      <c r="M116" s="16">
        <f t="shared" si="10"/>
        <v>49900799.599444531</v>
      </c>
      <c r="N116" s="50">
        <f t="shared" si="6"/>
        <v>-540793.4005554691</v>
      </c>
      <c r="O116" s="103">
        <f t="shared" si="7"/>
        <v>-1.0721180049874102E-2</v>
      </c>
      <c r="P116" s="13">
        <f t="shared" si="8"/>
        <v>1.0721180049874102E-2</v>
      </c>
      <c r="R116" s="13"/>
      <c r="AC116" s="59"/>
      <c r="AD116" s="59"/>
    </row>
    <row r="117" spans="1:30" x14ac:dyDescent="0.25">
      <c r="A117" s="169">
        <f t="shared" si="9"/>
        <v>41121</v>
      </c>
      <c r="B117" s="172">
        <v>52218431</v>
      </c>
      <c r="C117" s="230">
        <f t="shared" si="11"/>
        <v>40.76</v>
      </c>
      <c r="D117" s="230">
        <f t="shared" si="11"/>
        <v>36.08</v>
      </c>
      <c r="E117" s="171">
        <v>0</v>
      </c>
      <c r="F117" s="185">
        <v>31</v>
      </c>
      <c r="G117" s="16">
        <f>'CDM Activity'!H99</f>
        <v>1037522.032945276</v>
      </c>
      <c r="H117" s="297">
        <f>33207+5</f>
        <v>33212</v>
      </c>
      <c r="I117" s="201">
        <v>143.81967579960809</v>
      </c>
      <c r="J117" s="186">
        <v>336</v>
      </c>
      <c r="K117" s="185">
        <v>194.2</v>
      </c>
      <c r="L117" s="187">
        <v>18.7</v>
      </c>
      <c r="M117" s="16">
        <f t="shared" si="10"/>
        <v>51462117.194149122</v>
      </c>
      <c r="N117" s="50">
        <f t="shared" si="6"/>
        <v>-756313.80585087836</v>
      </c>
      <c r="O117" s="103">
        <f t="shared" si="7"/>
        <v>-1.4483656275518472E-2</v>
      </c>
      <c r="P117" s="13">
        <f t="shared" si="8"/>
        <v>1.4483656275518472E-2</v>
      </c>
      <c r="R117" s="13"/>
      <c r="AC117" s="59"/>
      <c r="AD117" s="59"/>
    </row>
    <row r="118" spans="1:30" x14ac:dyDescent="0.25">
      <c r="A118" s="169">
        <f t="shared" si="9"/>
        <v>41152</v>
      </c>
      <c r="B118" s="172">
        <v>51797361</v>
      </c>
      <c r="C118" s="230">
        <f t="shared" si="11"/>
        <v>42.03</v>
      </c>
      <c r="D118" s="230">
        <f t="shared" si="11"/>
        <v>33.799999999999997</v>
      </c>
      <c r="E118" s="171">
        <v>0</v>
      </c>
      <c r="F118" s="185">
        <v>31</v>
      </c>
      <c r="G118" s="16">
        <f>'CDM Activity'!H100</f>
        <v>1041814.5232719403</v>
      </c>
      <c r="H118" s="297">
        <f>33207+5</f>
        <v>33212</v>
      </c>
      <c r="I118" s="201">
        <v>144.02184986197204</v>
      </c>
      <c r="J118" s="186">
        <v>352</v>
      </c>
      <c r="K118" s="185">
        <v>192.2</v>
      </c>
      <c r="L118" s="187">
        <v>19.899999999999999</v>
      </c>
      <c r="M118" s="16">
        <f t="shared" si="10"/>
        <v>51311919.837813064</v>
      </c>
      <c r="N118" s="50">
        <f t="shared" si="6"/>
        <v>-485441.16218693554</v>
      </c>
      <c r="O118" s="103">
        <f t="shared" si="7"/>
        <v>-9.3719284692310011E-3</v>
      </c>
      <c r="P118" s="13">
        <f t="shared" si="8"/>
        <v>9.3719284692310011E-3</v>
      </c>
      <c r="R118" s="13"/>
      <c r="AC118" s="59"/>
      <c r="AD118" s="59"/>
    </row>
    <row r="119" spans="1:30" x14ac:dyDescent="0.25">
      <c r="A119" s="169">
        <f t="shared" si="9"/>
        <v>41182</v>
      </c>
      <c r="B119" s="172">
        <v>49181637</v>
      </c>
      <c r="C119" s="230">
        <f t="shared" si="11"/>
        <v>129.35999999999999</v>
      </c>
      <c r="D119" s="230">
        <f t="shared" si="11"/>
        <v>11.579999999999998</v>
      </c>
      <c r="E119" s="171">
        <v>1</v>
      </c>
      <c r="F119" s="185">
        <v>30</v>
      </c>
      <c r="G119" s="16">
        <f>'CDM Activity'!H101</f>
        <v>1046107.0135986046</v>
      </c>
      <c r="H119" s="297">
        <f>33207+5</f>
        <v>33212</v>
      </c>
      <c r="I119" s="201">
        <v>144.22430812989595</v>
      </c>
      <c r="J119" s="186">
        <v>304</v>
      </c>
      <c r="K119" s="185">
        <v>190.9</v>
      </c>
      <c r="L119" s="187">
        <v>19.899999999999999</v>
      </c>
      <c r="M119" s="16">
        <f t="shared" si="10"/>
        <v>48184268.833508074</v>
      </c>
      <c r="N119" s="50">
        <f t="shared" si="6"/>
        <v>-997368.16649192572</v>
      </c>
      <c r="O119" s="103">
        <f t="shared" si="7"/>
        <v>-2.0279279571192917E-2</v>
      </c>
      <c r="P119" s="13">
        <f t="shared" si="8"/>
        <v>2.0279279571192917E-2</v>
      </c>
      <c r="R119" s="13"/>
      <c r="AC119" s="59"/>
      <c r="AD119" s="59"/>
    </row>
    <row r="120" spans="1:30" x14ac:dyDescent="0.25">
      <c r="A120" s="169">
        <f t="shared" si="9"/>
        <v>41213</v>
      </c>
      <c r="B120" s="172">
        <v>55200719</v>
      </c>
      <c r="C120" s="230">
        <f t="shared" si="11"/>
        <v>306.13</v>
      </c>
      <c r="D120" s="230">
        <f t="shared" si="11"/>
        <v>0.46999999999999992</v>
      </c>
      <c r="E120" s="171">
        <v>1</v>
      </c>
      <c r="F120" s="185">
        <v>31</v>
      </c>
      <c r="G120" s="16">
        <f>'CDM Activity'!H102</f>
        <v>1050399.5039252688</v>
      </c>
      <c r="H120" s="297">
        <f>33050+5</f>
        <v>33055</v>
      </c>
      <c r="I120" s="201">
        <v>144.42705100290087</v>
      </c>
      <c r="J120" s="186">
        <v>352</v>
      </c>
      <c r="K120" s="185">
        <v>190.6</v>
      </c>
      <c r="L120" s="187">
        <v>19</v>
      </c>
      <c r="M120" s="16">
        <f t="shared" si="10"/>
        <v>55654318.62171866</v>
      </c>
      <c r="N120" s="50">
        <f t="shared" si="6"/>
        <v>453599.62171866</v>
      </c>
      <c r="O120" s="103">
        <f t="shared" si="7"/>
        <v>8.2172774184093508E-3</v>
      </c>
      <c r="P120" s="13">
        <f t="shared" si="8"/>
        <v>8.2172774184093508E-3</v>
      </c>
      <c r="R120" s="13"/>
    </row>
    <row r="121" spans="1:30" x14ac:dyDescent="0.25">
      <c r="A121" s="169">
        <f t="shared" si="9"/>
        <v>41243</v>
      </c>
      <c r="B121" s="172">
        <v>63048824</v>
      </c>
      <c r="C121" s="230">
        <f t="shared" si="11"/>
        <v>480.06200000000001</v>
      </c>
      <c r="D121" s="230">
        <f t="shared" si="11"/>
        <v>0</v>
      </c>
      <c r="E121" s="171">
        <v>1</v>
      </c>
      <c r="F121" s="185">
        <v>30</v>
      </c>
      <c r="G121" s="16">
        <f>'CDM Activity'!H103</f>
        <v>1054691.9942519329</v>
      </c>
      <c r="H121" s="297">
        <f>33050+5</f>
        <v>33055</v>
      </c>
      <c r="I121" s="201">
        <v>144.63007888106955</v>
      </c>
      <c r="J121" s="186">
        <v>352</v>
      </c>
      <c r="K121" s="185">
        <v>193.1</v>
      </c>
      <c r="L121" s="187">
        <v>18</v>
      </c>
      <c r="M121" s="16">
        <f t="shared" si="10"/>
        <v>60621031.47720255</v>
      </c>
      <c r="N121" s="50">
        <f t="shared" si="6"/>
        <v>-2427792.5227974504</v>
      </c>
      <c r="O121" s="103">
        <f t="shared" si="7"/>
        <v>-3.8506547287820159E-2</v>
      </c>
      <c r="P121" s="13">
        <f t="shared" si="8"/>
        <v>3.8506547287820159E-2</v>
      </c>
      <c r="R121" s="13"/>
    </row>
    <row r="122" spans="1:30" x14ac:dyDescent="0.25">
      <c r="A122" s="169">
        <f t="shared" si="9"/>
        <v>41274</v>
      </c>
      <c r="B122" s="172">
        <v>72665451</v>
      </c>
      <c r="C122" s="230">
        <f t="shared" si="11"/>
        <v>702.73800000000006</v>
      </c>
      <c r="D122" s="230">
        <f t="shared" si="11"/>
        <v>0</v>
      </c>
      <c r="E122" s="171">
        <v>0</v>
      </c>
      <c r="F122" s="185">
        <v>31</v>
      </c>
      <c r="G122" s="16">
        <f>'CDM Activity'!H104</f>
        <v>1058984.4845785971</v>
      </c>
      <c r="H122" s="297">
        <f>33050+5</f>
        <v>33055</v>
      </c>
      <c r="I122" s="201">
        <v>144.83339216504706</v>
      </c>
      <c r="J122" s="186">
        <v>304</v>
      </c>
      <c r="K122" s="185">
        <v>194.2</v>
      </c>
      <c r="L122" s="187">
        <v>18.7</v>
      </c>
      <c r="M122" s="16">
        <f t="shared" si="10"/>
        <v>74059778.374038115</v>
      </c>
      <c r="N122" s="50">
        <f t="shared" si="6"/>
        <v>1394327.3740381151</v>
      </c>
      <c r="O122" s="103">
        <f t="shared" si="7"/>
        <v>1.9188312393989205E-2</v>
      </c>
      <c r="P122" s="13">
        <f t="shared" si="8"/>
        <v>1.9188312393989205E-2</v>
      </c>
      <c r="R122" s="13"/>
    </row>
    <row r="123" spans="1:30" x14ac:dyDescent="0.25">
      <c r="A123" s="169">
        <f t="shared" si="9"/>
        <v>41305</v>
      </c>
      <c r="B123" s="172">
        <v>77430385</v>
      </c>
      <c r="C123" s="230">
        <f t="shared" si="11"/>
        <v>824.21</v>
      </c>
      <c r="D123" s="230">
        <f t="shared" si="11"/>
        <v>0</v>
      </c>
      <c r="E123" s="171">
        <v>0</v>
      </c>
      <c r="F123" s="185">
        <v>31</v>
      </c>
      <c r="G123" s="16">
        <f>'CDM Activity'!H105</f>
        <v>1077122.6928958963</v>
      </c>
      <c r="H123" s="297">
        <f>33301+5</f>
        <v>33306</v>
      </c>
      <c r="I123" s="201">
        <v>144.98936781896037</v>
      </c>
      <c r="J123" s="185">
        <v>352</v>
      </c>
      <c r="K123" s="185">
        <v>193.9</v>
      </c>
      <c r="L123" s="187">
        <v>19.3</v>
      </c>
      <c r="M123" s="16">
        <f t="shared" si="10"/>
        <v>79299262.208817184</v>
      </c>
      <c r="N123" s="50">
        <f t="shared" si="6"/>
        <v>1868877.208817184</v>
      </c>
      <c r="O123" s="103">
        <f t="shared" si="7"/>
        <v>2.4136225188821983E-2</v>
      </c>
      <c r="P123" s="13">
        <f t="shared" si="8"/>
        <v>2.4136225188821983E-2</v>
      </c>
      <c r="R123" s="13"/>
    </row>
    <row r="124" spans="1:30" x14ac:dyDescent="0.25">
      <c r="A124" s="169">
        <f t="shared" si="9"/>
        <v>41333</v>
      </c>
      <c r="B124" s="172">
        <v>69794850</v>
      </c>
      <c r="C124" s="230">
        <f t="shared" si="11"/>
        <v>754.1099999999999</v>
      </c>
      <c r="D124" s="230">
        <f t="shared" si="11"/>
        <v>0</v>
      </c>
      <c r="E124" s="171">
        <v>0</v>
      </c>
      <c r="F124" s="185">
        <v>28</v>
      </c>
      <c r="G124" s="16">
        <f>'CDM Activity'!H106</f>
        <v>1095260.9012131954</v>
      </c>
      <c r="H124" s="297">
        <f>33301+5</f>
        <v>33306</v>
      </c>
      <c r="I124" s="201">
        <v>145.14551144798114</v>
      </c>
      <c r="J124" s="185">
        <v>304</v>
      </c>
      <c r="K124" s="185">
        <v>193.3</v>
      </c>
      <c r="L124" s="187">
        <v>19.2</v>
      </c>
      <c r="M124" s="16">
        <f t="shared" si="10"/>
        <v>71098020.557057664</v>
      </c>
      <c r="N124" s="50">
        <f t="shared" si="6"/>
        <v>1303170.5570576638</v>
      </c>
      <c r="O124" s="103">
        <f t="shared" si="7"/>
        <v>1.8671442908146714E-2</v>
      </c>
      <c r="P124" s="13">
        <f t="shared" si="8"/>
        <v>1.8671442908146714E-2</v>
      </c>
      <c r="R124" s="13"/>
    </row>
    <row r="125" spans="1:30" x14ac:dyDescent="0.25">
      <c r="A125" s="169">
        <f t="shared" si="9"/>
        <v>41364</v>
      </c>
      <c r="B125" s="172">
        <v>69264159</v>
      </c>
      <c r="C125" s="230">
        <f t="shared" si="11"/>
        <v>679.39</v>
      </c>
      <c r="D125" s="230">
        <f t="shared" si="11"/>
        <v>0</v>
      </c>
      <c r="E125" s="171">
        <v>1</v>
      </c>
      <c r="F125" s="185">
        <v>31</v>
      </c>
      <c r="G125" s="16">
        <f>'CDM Activity'!H107</f>
        <v>1113399.1095304945</v>
      </c>
      <c r="H125" s="297">
        <f>33301+5</f>
        <v>33306</v>
      </c>
      <c r="I125" s="201">
        <v>145.30182323300707</v>
      </c>
      <c r="J125" s="185">
        <v>320</v>
      </c>
      <c r="K125" s="185">
        <v>193.6</v>
      </c>
      <c r="L125" s="187">
        <v>18.399999999999999</v>
      </c>
      <c r="M125" s="16">
        <f t="shared" si="10"/>
        <v>70576440.889631838</v>
      </c>
      <c r="N125" s="50">
        <f t="shared" si="6"/>
        <v>1312281.8896318376</v>
      </c>
      <c r="O125" s="103">
        <f t="shared" si="7"/>
        <v>1.8946045235773926E-2</v>
      </c>
      <c r="P125" s="13">
        <f t="shared" si="8"/>
        <v>1.8946045235773926E-2</v>
      </c>
      <c r="R125" s="13"/>
      <c r="AB125" s="289"/>
    </row>
    <row r="126" spans="1:30" x14ac:dyDescent="0.25">
      <c r="A126" s="169">
        <f t="shared" si="9"/>
        <v>41394</v>
      </c>
      <c r="B126" s="172">
        <v>62490524</v>
      </c>
      <c r="C126" s="230">
        <f t="shared" si="11"/>
        <v>427.16999999999996</v>
      </c>
      <c r="D126" s="230">
        <f t="shared" si="11"/>
        <v>0.02</v>
      </c>
      <c r="E126" s="171">
        <v>1</v>
      </c>
      <c r="F126" s="185">
        <v>30</v>
      </c>
      <c r="G126" s="16">
        <f>'CDM Activity'!H108</f>
        <v>1131537.3178477937</v>
      </c>
      <c r="H126" s="297">
        <f>33289+5</f>
        <v>33294</v>
      </c>
      <c r="I126" s="201">
        <v>145.45830335513068</v>
      </c>
      <c r="J126" s="185">
        <v>352</v>
      </c>
      <c r="K126" s="185">
        <v>193.6</v>
      </c>
      <c r="L126" s="187">
        <v>17.399999999999999</v>
      </c>
      <c r="M126" s="16">
        <f t="shared" si="10"/>
        <v>58809016.095844693</v>
      </c>
      <c r="N126" s="50">
        <f t="shared" si="6"/>
        <v>-3681507.9041553065</v>
      </c>
      <c r="O126" s="103">
        <f t="shared" si="7"/>
        <v>-5.8913058628781968E-2</v>
      </c>
      <c r="P126" s="13">
        <f t="shared" si="8"/>
        <v>5.8913058628781968E-2</v>
      </c>
      <c r="R126" s="13"/>
    </row>
    <row r="127" spans="1:30" x14ac:dyDescent="0.25">
      <c r="A127" s="169">
        <f t="shared" si="9"/>
        <v>41425</v>
      </c>
      <c r="B127" s="172">
        <v>51260742</v>
      </c>
      <c r="C127" s="230">
        <f t="shared" si="11"/>
        <v>232.2</v>
      </c>
      <c r="D127" s="230">
        <f t="shared" si="11"/>
        <v>3.9</v>
      </c>
      <c r="E127" s="171">
        <v>1</v>
      </c>
      <c r="F127" s="185">
        <v>31</v>
      </c>
      <c r="G127" s="16">
        <f>'CDM Activity'!H109</f>
        <v>1149675.5261650928</v>
      </c>
      <c r="H127" s="297">
        <f>33289+5</f>
        <v>33294</v>
      </c>
      <c r="I127" s="201">
        <v>145.6149519956395</v>
      </c>
      <c r="J127" s="185">
        <v>352</v>
      </c>
      <c r="K127" s="185">
        <v>195.9</v>
      </c>
      <c r="L127" s="187">
        <v>15.8</v>
      </c>
      <c r="M127" s="16">
        <f t="shared" si="10"/>
        <v>53221815.77583535</v>
      </c>
      <c r="N127" s="50">
        <f t="shared" si="6"/>
        <v>1961073.7758353502</v>
      </c>
      <c r="O127" s="103">
        <f t="shared" si="7"/>
        <v>3.8256835529913907E-2</v>
      </c>
      <c r="P127" s="13">
        <f t="shared" si="8"/>
        <v>3.8256835529913907E-2</v>
      </c>
      <c r="R127" s="13"/>
    </row>
    <row r="128" spans="1:30" x14ac:dyDescent="0.25">
      <c r="A128" s="169">
        <f t="shared" si="9"/>
        <v>41455</v>
      </c>
      <c r="B128" s="172">
        <v>48246051</v>
      </c>
      <c r="C128" s="230">
        <f t="shared" si="11"/>
        <v>101.74</v>
      </c>
      <c r="D128" s="230">
        <f t="shared" si="11"/>
        <v>9.5400000000000009</v>
      </c>
      <c r="E128" s="171">
        <v>0</v>
      </c>
      <c r="F128" s="185">
        <v>30</v>
      </c>
      <c r="G128" s="16">
        <f>'CDM Activity'!H110</f>
        <v>1167813.734482392</v>
      </c>
      <c r="H128" s="297">
        <f>33289+5</f>
        <v>33294</v>
      </c>
      <c r="I128" s="201">
        <v>145.77176933601632</v>
      </c>
      <c r="J128" s="185">
        <v>320</v>
      </c>
      <c r="K128" s="185">
        <v>199</v>
      </c>
      <c r="L128" s="187">
        <v>14.9</v>
      </c>
      <c r="M128" s="16">
        <f t="shared" si="10"/>
        <v>49637746.36403095</v>
      </c>
      <c r="N128" s="50">
        <f t="shared" si="6"/>
        <v>1391695.3640309498</v>
      </c>
      <c r="O128" s="103">
        <f t="shared" si="7"/>
        <v>2.8845788104625389E-2</v>
      </c>
      <c r="P128" s="13">
        <f t="shared" si="8"/>
        <v>2.8845788104625389E-2</v>
      </c>
      <c r="R128" s="13"/>
    </row>
    <row r="129" spans="1:18" x14ac:dyDescent="0.25">
      <c r="A129" s="169">
        <f t="shared" si="9"/>
        <v>41486</v>
      </c>
      <c r="B129" s="172">
        <v>52370705</v>
      </c>
      <c r="C129" s="230">
        <f t="shared" si="11"/>
        <v>40.76</v>
      </c>
      <c r="D129" s="230">
        <f t="shared" si="11"/>
        <v>36.08</v>
      </c>
      <c r="E129" s="171">
        <v>0</v>
      </c>
      <c r="F129" s="185">
        <v>31</v>
      </c>
      <c r="G129" s="16">
        <f>'CDM Activity'!H111</f>
        <v>1185951.9427996911</v>
      </c>
      <c r="H129" s="297">
        <f>33510+5</f>
        <v>33515</v>
      </c>
      <c r="I129" s="201">
        <v>145.92875555793933</v>
      </c>
      <c r="J129" s="185">
        <v>352</v>
      </c>
      <c r="K129" s="185">
        <v>203.9</v>
      </c>
      <c r="L129" s="187">
        <v>14</v>
      </c>
      <c r="M129" s="16">
        <f t="shared" si="10"/>
        <v>51623050.847472958</v>
      </c>
      <c r="N129" s="50">
        <f t="shared" si="6"/>
        <v>-747654.15252704173</v>
      </c>
      <c r="O129" s="103">
        <f t="shared" si="7"/>
        <v>-1.4276190334406262E-2</v>
      </c>
      <c r="P129" s="13">
        <f t="shared" si="8"/>
        <v>1.4276190334406262E-2</v>
      </c>
      <c r="R129" s="13"/>
    </row>
    <row r="130" spans="1:18" x14ac:dyDescent="0.25">
      <c r="A130" s="169">
        <f t="shared" si="9"/>
        <v>41517</v>
      </c>
      <c r="B130" s="172">
        <v>51254455</v>
      </c>
      <c r="C130" s="230">
        <f t="shared" si="11"/>
        <v>42.03</v>
      </c>
      <c r="D130" s="230">
        <f t="shared" si="11"/>
        <v>33.799999999999997</v>
      </c>
      <c r="E130" s="171">
        <v>0</v>
      </c>
      <c r="F130" s="185">
        <v>31</v>
      </c>
      <c r="G130" s="16">
        <f>'CDM Activity'!H112</f>
        <v>1204090.1511169903</v>
      </c>
      <c r="H130" s="297">
        <f>33510+5</f>
        <v>33515</v>
      </c>
      <c r="I130" s="201">
        <v>146.08591084328242</v>
      </c>
      <c r="J130" s="185">
        <v>336</v>
      </c>
      <c r="K130" s="185">
        <v>205</v>
      </c>
      <c r="L130" s="187">
        <v>14.4</v>
      </c>
      <c r="M130" s="16">
        <f t="shared" si="10"/>
        <v>51427261.609997451</v>
      </c>
      <c r="N130" s="50">
        <f t="shared" si="6"/>
        <v>172806.60999745131</v>
      </c>
      <c r="O130" s="103">
        <f t="shared" si="7"/>
        <v>3.3715432150717688E-3</v>
      </c>
      <c r="P130" s="13">
        <f t="shared" si="8"/>
        <v>3.3715432150717688E-3</v>
      </c>
      <c r="R130" s="13"/>
    </row>
    <row r="131" spans="1:18" x14ac:dyDescent="0.25">
      <c r="A131" s="169">
        <f t="shared" si="9"/>
        <v>41547</v>
      </c>
      <c r="B131" s="172">
        <v>48184318</v>
      </c>
      <c r="C131" s="230">
        <f t="shared" si="11"/>
        <v>129.35999999999999</v>
      </c>
      <c r="D131" s="230">
        <f t="shared" si="11"/>
        <v>11.579999999999998</v>
      </c>
      <c r="E131" s="171">
        <v>1</v>
      </c>
      <c r="F131" s="185">
        <v>30</v>
      </c>
      <c r="G131" s="16">
        <f>'CDM Activity'!H113</f>
        <v>1222228.3594342894</v>
      </c>
      <c r="H131" s="297">
        <f>33510+5</f>
        <v>33515</v>
      </c>
      <c r="I131" s="201">
        <v>146.2432353741153</v>
      </c>
      <c r="J131" s="185">
        <v>320</v>
      </c>
      <c r="K131" s="185">
        <v>203.1</v>
      </c>
      <c r="L131" s="187">
        <v>14.2</v>
      </c>
      <c r="M131" s="16">
        <f t="shared" si="10"/>
        <v>48254018.724553004</v>
      </c>
      <c r="N131" s="50">
        <f t="shared" ref="N131:N182" si="12">M131-B131</f>
        <v>69700.724553003907</v>
      </c>
      <c r="O131" s="103">
        <f t="shared" ref="O131:O182" si="13">N131/B131</f>
        <v>1.4465437604202244E-3</v>
      </c>
      <c r="P131" s="13">
        <f t="shared" ref="P131:P182" si="14">ABS(O131)</f>
        <v>1.4465437604202244E-3</v>
      </c>
      <c r="R131" s="13"/>
    </row>
    <row r="132" spans="1:18" x14ac:dyDescent="0.25">
      <c r="A132" s="169">
        <f t="shared" ref="A132:A194" si="15">EOMONTH(A131,1)</f>
        <v>41578</v>
      </c>
      <c r="B132" s="172">
        <v>54286247</v>
      </c>
      <c r="C132" s="230">
        <f t="shared" si="11"/>
        <v>306.13</v>
      </c>
      <c r="D132" s="230">
        <f t="shared" si="11"/>
        <v>0.46999999999999992</v>
      </c>
      <c r="E132" s="171">
        <v>1</v>
      </c>
      <c r="F132" s="185">
        <v>31</v>
      </c>
      <c r="G132" s="16">
        <f>'CDM Activity'!H114</f>
        <v>1240366.5677515885</v>
      </c>
      <c r="H132" s="297">
        <f>33388+5</f>
        <v>33393</v>
      </c>
      <c r="I132" s="201">
        <v>146.4007293327038</v>
      </c>
      <c r="J132" s="185">
        <v>352</v>
      </c>
      <c r="K132" s="185">
        <v>200.2</v>
      </c>
      <c r="L132" s="187">
        <v>14.7</v>
      </c>
      <c r="M132" s="16">
        <f t="shared" ref="M132:M182" si="16">+$T$18+C132*$T$19+D132*$T$20+E132*$T$21+F132*$T$22+G132*$T$23+ H132*$T$24</f>
        <v>55753523.466992587</v>
      </c>
      <c r="N132" s="50">
        <f t="shared" si="12"/>
        <v>1467276.4669925869</v>
      </c>
      <c r="O132" s="103">
        <f t="shared" si="13"/>
        <v>2.7028511788493814E-2</v>
      </c>
      <c r="P132" s="13">
        <f t="shared" si="14"/>
        <v>2.7028511788493814E-2</v>
      </c>
      <c r="R132" s="13"/>
    </row>
    <row r="133" spans="1:18" x14ac:dyDescent="0.25">
      <c r="A133" s="169">
        <f t="shared" si="15"/>
        <v>41608</v>
      </c>
      <c r="B133" s="172">
        <v>64675563</v>
      </c>
      <c r="C133" s="230">
        <f t="shared" si="11"/>
        <v>480.06200000000001</v>
      </c>
      <c r="D133" s="230">
        <f t="shared" si="11"/>
        <v>0</v>
      </c>
      <c r="E133" s="171">
        <v>1</v>
      </c>
      <c r="F133" s="185">
        <v>30</v>
      </c>
      <c r="G133" s="16">
        <f>'CDM Activity'!H115</f>
        <v>1258504.7760688877</v>
      </c>
      <c r="H133" s="297">
        <f>33388+5</f>
        <v>33393</v>
      </c>
      <c r="I133" s="201">
        <v>146.55839290151005</v>
      </c>
      <c r="J133" s="185">
        <v>336</v>
      </c>
      <c r="K133" s="185">
        <v>197.8</v>
      </c>
      <c r="L133" s="187">
        <v>14.1</v>
      </c>
      <c r="M133" s="16">
        <f t="shared" si="16"/>
        <v>60674644.441337019</v>
      </c>
      <c r="N133" s="50">
        <f t="shared" si="12"/>
        <v>-4000918.5586629808</v>
      </c>
      <c r="O133" s="103">
        <f t="shared" si="13"/>
        <v>-6.1861364216697745E-2</v>
      </c>
      <c r="P133" s="13">
        <f t="shared" si="14"/>
        <v>6.1861364216697745E-2</v>
      </c>
      <c r="R133" s="13"/>
    </row>
    <row r="134" spans="1:18" x14ac:dyDescent="0.25">
      <c r="A134" s="169">
        <f t="shared" si="15"/>
        <v>41639</v>
      </c>
      <c r="B134" s="172">
        <v>81310312</v>
      </c>
      <c r="C134" s="230">
        <f t="shared" si="11"/>
        <v>702.73800000000006</v>
      </c>
      <c r="D134" s="230">
        <f t="shared" si="11"/>
        <v>0</v>
      </c>
      <c r="E134" s="171">
        <v>0</v>
      </c>
      <c r="F134" s="185">
        <v>31</v>
      </c>
      <c r="G134" s="16">
        <f>'CDM Activity'!H116</f>
        <v>1276642.9843861868</v>
      </c>
      <c r="H134" s="297">
        <f>33388+5</f>
        <v>33393</v>
      </c>
      <c r="I134" s="201">
        <v>146.71622626319265</v>
      </c>
      <c r="J134" s="185">
        <v>320</v>
      </c>
      <c r="K134" s="185">
        <v>196.9</v>
      </c>
      <c r="L134" s="187">
        <v>14.5</v>
      </c>
      <c r="M134" s="16">
        <f t="shared" si="16"/>
        <v>74067799.457033128</v>
      </c>
      <c r="N134" s="50">
        <f t="shared" si="12"/>
        <v>-7242512.5429668725</v>
      </c>
      <c r="O134" s="103">
        <f t="shared" si="13"/>
        <v>-8.9072497261686465E-2</v>
      </c>
      <c r="P134" s="13">
        <f t="shared" si="14"/>
        <v>8.9072497261686465E-2</v>
      </c>
      <c r="R134" s="13"/>
    </row>
    <row r="135" spans="1:18" x14ac:dyDescent="0.25">
      <c r="A135" s="169">
        <f t="shared" si="15"/>
        <v>41670</v>
      </c>
      <c r="B135" s="172">
        <v>84076330.890000001</v>
      </c>
      <c r="C135" s="230">
        <f t="shared" si="11"/>
        <v>824.21</v>
      </c>
      <c r="D135" s="230">
        <f t="shared" si="11"/>
        <v>0</v>
      </c>
      <c r="E135" s="171">
        <v>0</v>
      </c>
      <c r="F135" s="185">
        <v>31</v>
      </c>
      <c r="G135" s="16">
        <f>'CDM Activity'!H117</f>
        <v>1325152.4905694686</v>
      </c>
      <c r="H135" s="296">
        <v>33166</v>
      </c>
      <c r="I135" s="201">
        <v>146.94652822408554</v>
      </c>
      <c r="J135" s="185">
        <v>352</v>
      </c>
      <c r="K135" s="185">
        <v>193.9</v>
      </c>
      <c r="L135" s="187">
        <v>14.9</v>
      </c>
      <c r="M135" s="16">
        <f t="shared" si="16"/>
        <v>78182349.793047801</v>
      </c>
      <c r="N135" s="50">
        <f t="shared" si="12"/>
        <v>-5893981.0969521999</v>
      </c>
      <c r="O135" s="103">
        <f t="shared" si="13"/>
        <v>-7.0102739196165692E-2</v>
      </c>
      <c r="P135" s="13">
        <f t="shared" si="14"/>
        <v>7.0102739196165692E-2</v>
      </c>
      <c r="R135" s="13"/>
    </row>
    <row r="136" spans="1:18" x14ac:dyDescent="0.25">
      <c r="A136" s="169">
        <f t="shared" si="15"/>
        <v>41698</v>
      </c>
      <c r="B136" s="172">
        <v>73283049.849999994</v>
      </c>
      <c r="C136" s="230">
        <f t="shared" si="11"/>
        <v>754.1099999999999</v>
      </c>
      <c r="D136" s="230">
        <f t="shared" si="11"/>
        <v>0</v>
      </c>
      <c r="E136" s="171">
        <v>0</v>
      </c>
      <c r="F136" s="185">
        <v>28</v>
      </c>
      <c r="G136" s="16">
        <f>'CDM Activity'!H118</f>
        <v>1373661.9967527504</v>
      </c>
      <c r="H136" s="296">
        <v>33166</v>
      </c>
      <c r="I136" s="201">
        <v>147.17719169232183</v>
      </c>
      <c r="J136" s="185">
        <v>304</v>
      </c>
      <c r="K136" s="185">
        <v>193.1</v>
      </c>
      <c r="L136" s="187">
        <v>15.4</v>
      </c>
      <c r="M136" s="16">
        <f t="shared" si="16"/>
        <v>69881099.994127288</v>
      </c>
      <c r="N136" s="50">
        <f t="shared" si="12"/>
        <v>-3401949.8558727056</v>
      </c>
      <c r="O136" s="103">
        <f t="shared" si="13"/>
        <v>-4.6422056162182312E-2</v>
      </c>
      <c r="P136" s="13">
        <f t="shared" si="14"/>
        <v>4.6422056162182312E-2</v>
      </c>
      <c r="R136" s="13"/>
    </row>
    <row r="137" spans="1:18" x14ac:dyDescent="0.25">
      <c r="A137" s="169">
        <f t="shared" si="15"/>
        <v>41729</v>
      </c>
      <c r="B137" s="172">
        <v>75936435.359999999</v>
      </c>
      <c r="C137" s="230">
        <f t="shared" si="11"/>
        <v>679.39</v>
      </c>
      <c r="D137" s="230">
        <f t="shared" si="11"/>
        <v>0</v>
      </c>
      <c r="E137" s="171">
        <v>1</v>
      </c>
      <c r="F137" s="185">
        <v>31</v>
      </c>
      <c r="G137" s="16">
        <f>'CDM Activity'!H119</f>
        <v>1422171.5029360321</v>
      </c>
      <c r="H137" s="296">
        <v>33166</v>
      </c>
      <c r="I137" s="201">
        <v>147.40821723536328</v>
      </c>
      <c r="J137" s="185">
        <v>336</v>
      </c>
      <c r="K137" s="185">
        <v>193.3</v>
      </c>
      <c r="L137" s="187">
        <v>15.5</v>
      </c>
      <c r="M137" s="16">
        <f t="shared" si="16"/>
        <v>69259512.17954047</v>
      </c>
      <c r="N137" s="50">
        <f t="shared" si="12"/>
        <v>-6676923.1804595292</v>
      </c>
      <c r="O137" s="103">
        <f t="shared" si="13"/>
        <v>-8.7927793144430916E-2</v>
      </c>
      <c r="P137" s="13">
        <f t="shared" si="14"/>
        <v>8.7927793144430916E-2</v>
      </c>
      <c r="R137" s="13"/>
    </row>
    <row r="138" spans="1:18" x14ac:dyDescent="0.25">
      <c r="A138" s="169">
        <f t="shared" si="15"/>
        <v>41759</v>
      </c>
      <c r="B138" s="172">
        <v>60945927.880000003</v>
      </c>
      <c r="C138" s="230">
        <f t="shared" si="11"/>
        <v>427.16999999999996</v>
      </c>
      <c r="D138" s="230">
        <f t="shared" si="11"/>
        <v>0.02</v>
      </c>
      <c r="E138" s="171">
        <v>1</v>
      </c>
      <c r="F138" s="185">
        <v>30</v>
      </c>
      <c r="G138" s="16">
        <f>'CDM Activity'!H120</f>
        <v>1470681.0091193139</v>
      </c>
      <c r="H138" s="296">
        <v>33415</v>
      </c>
      <c r="I138" s="201">
        <v>147.63960542156246</v>
      </c>
      <c r="J138" s="185">
        <v>320</v>
      </c>
      <c r="K138" s="185">
        <v>195.9</v>
      </c>
      <c r="L138" s="187">
        <v>15.2</v>
      </c>
      <c r="M138" s="16">
        <f t="shared" si="16"/>
        <v>57951714.210911363</v>
      </c>
      <c r="N138" s="50">
        <f t="shared" si="12"/>
        <v>-2994213.6690886393</v>
      </c>
      <c r="O138" s="103">
        <f t="shared" si="13"/>
        <v>-4.9129019333073759E-2</v>
      </c>
      <c r="P138" s="13">
        <f t="shared" si="14"/>
        <v>4.9129019333073759E-2</v>
      </c>
      <c r="R138" s="13"/>
    </row>
    <row r="139" spans="1:18" x14ac:dyDescent="0.25">
      <c r="A139" s="169">
        <f t="shared" si="15"/>
        <v>41790</v>
      </c>
      <c r="B139" s="172">
        <v>53127584.270000003</v>
      </c>
      <c r="C139" s="230">
        <f t="shared" si="11"/>
        <v>232.2</v>
      </c>
      <c r="D139" s="230">
        <f t="shared" si="11"/>
        <v>3.9</v>
      </c>
      <c r="E139" s="171">
        <v>1</v>
      </c>
      <c r="F139" s="185">
        <v>31</v>
      </c>
      <c r="G139" s="16">
        <f>'CDM Activity'!H121</f>
        <v>1519190.5153025957</v>
      </c>
      <c r="H139" s="296">
        <v>33415</v>
      </c>
      <c r="I139" s="201">
        <v>147.87135682016401</v>
      </c>
      <c r="J139" s="185">
        <v>336</v>
      </c>
      <c r="K139" s="185">
        <v>199</v>
      </c>
      <c r="L139" s="187">
        <v>16</v>
      </c>
      <c r="M139" s="16">
        <f t="shared" si="16"/>
        <v>52264505.743741043</v>
      </c>
      <c r="N139" s="50">
        <f t="shared" si="12"/>
        <v>-863078.52625896037</v>
      </c>
      <c r="O139" s="103">
        <f t="shared" si="13"/>
        <v>-1.6245393765180513E-2</v>
      </c>
      <c r="P139" s="13">
        <f t="shared" si="14"/>
        <v>1.6245393765180513E-2</v>
      </c>
      <c r="R139" s="13"/>
    </row>
    <row r="140" spans="1:18" x14ac:dyDescent="0.25">
      <c r="A140" s="169">
        <f t="shared" si="15"/>
        <v>41820</v>
      </c>
      <c r="B140" s="172">
        <v>47524355.130000003</v>
      </c>
      <c r="C140" s="230">
        <f t="shared" si="11"/>
        <v>101.74</v>
      </c>
      <c r="D140" s="230">
        <f t="shared" si="11"/>
        <v>9.5400000000000009</v>
      </c>
      <c r="E140" s="171">
        <v>0</v>
      </c>
      <c r="F140" s="185">
        <v>30</v>
      </c>
      <c r="G140" s="16">
        <f>'CDM Activity'!H122</f>
        <v>1567700.0214858775</v>
      </c>
      <c r="H140" s="296">
        <v>33415</v>
      </c>
      <c r="I140" s="201">
        <v>148.10347200130616</v>
      </c>
      <c r="J140" s="185">
        <v>336</v>
      </c>
      <c r="K140" s="185">
        <v>204.6</v>
      </c>
      <c r="L140" s="187">
        <v>15.4</v>
      </c>
      <c r="M140" s="16">
        <f t="shared" si="16"/>
        <v>48580428.184775651</v>
      </c>
      <c r="N140" s="50">
        <f t="shared" si="12"/>
        <v>1056073.0547756478</v>
      </c>
      <c r="O140" s="103">
        <f t="shared" si="13"/>
        <v>2.2221722985758013E-2</v>
      </c>
      <c r="P140" s="13">
        <f t="shared" si="14"/>
        <v>2.2221722985758013E-2</v>
      </c>
      <c r="R140" s="13"/>
    </row>
    <row r="141" spans="1:18" x14ac:dyDescent="0.25">
      <c r="A141" s="169">
        <f t="shared" si="15"/>
        <v>41851</v>
      </c>
      <c r="B141" s="172">
        <v>48026904.079999998</v>
      </c>
      <c r="C141" s="230">
        <f t="shared" si="11"/>
        <v>40.76</v>
      </c>
      <c r="D141" s="230">
        <f t="shared" si="11"/>
        <v>36.08</v>
      </c>
      <c r="E141" s="171">
        <v>0</v>
      </c>
      <c r="F141" s="185">
        <v>31</v>
      </c>
      <c r="G141" s="16">
        <f>'CDM Activity'!H123</f>
        <v>1616209.5276691592</v>
      </c>
      <c r="H141" s="296">
        <v>33400</v>
      </c>
      <c r="I141" s="201">
        <v>148.33595153602209</v>
      </c>
      <c r="J141" s="185">
        <v>352</v>
      </c>
      <c r="K141" s="185">
        <v>209.4</v>
      </c>
      <c r="L141" s="187">
        <v>16.600000000000001</v>
      </c>
      <c r="M141" s="16">
        <f t="shared" si="16"/>
        <v>49959694.431143679</v>
      </c>
      <c r="N141" s="50">
        <f t="shared" si="12"/>
        <v>1932790.3511436805</v>
      </c>
      <c r="O141" s="103">
        <f t="shared" si="13"/>
        <v>4.0243908870831395E-2</v>
      </c>
      <c r="P141" s="13">
        <f t="shared" si="14"/>
        <v>4.0243908870831395E-2</v>
      </c>
      <c r="R141" s="13"/>
    </row>
    <row r="142" spans="1:18" x14ac:dyDescent="0.25">
      <c r="A142" s="169">
        <f t="shared" si="15"/>
        <v>41882</v>
      </c>
      <c r="B142" s="172">
        <v>48878136.899999999</v>
      </c>
      <c r="C142" s="230">
        <f t="shared" si="11"/>
        <v>42.03</v>
      </c>
      <c r="D142" s="230">
        <f t="shared" si="11"/>
        <v>33.799999999999997</v>
      </c>
      <c r="E142" s="171">
        <v>0</v>
      </c>
      <c r="F142" s="185">
        <v>31</v>
      </c>
      <c r="G142" s="16">
        <f>'CDM Activity'!H124</f>
        <v>1664719.033852441</v>
      </c>
      <c r="H142" s="296">
        <v>33400</v>
      </c>
      <c r="I142" s="201">
        <v>148.56879599624133</v>
      </c>
      <c r="J142" s="185">
        <v>320</v>
      </c>
      <c r="K142" s="185">
        <v>210.7</v>
      </c>
      <c r="L142" s="187">
        <v>17.5</v>
      </c>
      <c r="M142" s="16">
        <f t="shared" si="16"/>
        <v>49663897.04650718</v>
      </c>
      <c r="N142" s="50">
        <f t="shared" si="12"/>
        <v>785760.14650718123</v>
      </c>
      <c r="O142" s="103">
        <f t="shared" si="13"/>
        <v>1.6075902158766229E-2</v>
      </c>
      <c r="P142" s="13">
        <f t="shared" si="14"/>
        <v>1.6075902158766229E-2</v>
      </c>
      <c r="R142" s="13"/>
    </row>
    <row r="143" spans="1:18" x14ac:dyDescent="0.25">
      <c r="A143" s="169">
        <f t="shared" si="15"/>
        <v>41912</v>
      </c>
      <c r="B143" s="172">
        <v>47959876.32</v>
      </c>
      <c r="C143" s="230">
        <f t="shared" si="11"/>
        <v>129.35999999999999</v>
      </c>
      <c r="D143" s="230">
        <f t="shared" si="11"/>
        <v>11.579999999999998</v>
      </c>
      <c r="E143" s="171">
        <v>1</v>
      </c>
      <c r="F143" s="185">
        <v>30</v>
      </c>
      <c r="G143" s="16">
        <f>'CDM Activity'!H125</f>
        <v>1713228.5400357228</v>
      </c>
      <c r="H143" s="296">
        <v>33400</v>
      </c>
      <c r="I143" s="201">
        <v>148.80200595479118</v>
      </c>
      <c r="J143" s="185">
        <v>336</v>
      </c>
      <c r="K143" s="185"/>
      <c r="L143" s="187">
        <v>0</v>
      </c>
      <c r="M143" s="16">
        <f t="shared" si="16"/>
        <v>46390646.013901755</v>
      </c>
      <c r="N143" s="50">
        <f t="shared" si="12"/>
        <v>-1569230.3060982451</v>
      </c>
      <c r="O143" s="103">
        <f t="shared" si="13"/>
        <v>-3.2719648725279389E-2</v>
      </c>
      <c r="P143" s="13">
        <f t="shared" si="14"/>
        <v>3.2719648725279389E-2</v>
      </c>
      <c r="R143" s="13"/>
    </row>
    <row r="144" spans="1:18" x14ac:dyDescent="0.25">
      <c r="A144" s="169">
        <f t="shared" si="15"/>
        <v>41943</v>
      </c>
      <c r="B144" s="172">
        <v>54613898.210000001</v>
      </c>
      <c r="C144" s="230">
        <f t="shared" ref="C144:D170" si="17">C132</f>
        <v>306.13</v>
      </c>
      <c r="D144" s="230">
        <f t="shared" si="17"/>
        <v>0.46999999999999992</v>
      </c>
      <c r="E144" s="171">
        <v>1</v>
      </c>
      <c r="F144" s="185">
        <v>31</v>
      </c>
      <c r="G144" s="16">
        <f>'CDM Activity'!H126</f>
        <v>1761738.0462190046</v>
      </c>
      <c r="H144" s="296">
        <v>33513</v>
      </c>
      <c r="I144" s="201">
        <v>149.0355819853981</v>
      </c>
      <c r="J144" s="185">
        <v>352</v>
      </c>
      <c r="K144" s="185"/>
      <c r="L144" s="187">
        <v>0</v>
      </c>
      <c r="M144" s="16">
        <f t="shared" si="16"/>
        <v>54294028.503797099</v>
      </c>
      <c r="N144" s="50">
        <f t="shared" si="12"/>
        <v>-319869.7062029019</v>
      </c>
      <c r="O144" s="103">
        <f t="shared" si="13"/>
        <v>-5.8569286699320907E-3</v>
      </c>
      <c r="P144" s="13">
        <f t="shared" si="14"/>
        <v>5.8569286699320907E-3</v>
      </c>
      <c r="R144" s="13"/>
    </row>
    <row r="145" spans="1:28" x14ac:dyDescent="0.25">
      <c r="A145" s="169">
        <f t="shared" si="15"/>
        <v>41973</v>
      </c>
      <c r="B145" s="172">
        <v>64852403.060000002</v>
      </c>
      <c r="C145" s="230">
        <f t="shared" si="17"/>
        <v>480.06200000000001</v>
      </c>
      <c r="D145" s="230">
        <f t="shared" si="17"/>
        <v>0</v>
      </c>
      <c r="E145" s="171">
        <v>1</v>
      </c>
      <c r="F145" s="185">
        <v>30</v>
      </c>
      <c r="G145" s="16">
        <f>'CDM Activity'!H127</f>
        <v>1810247.5524022863</v>
      </c>
      <c r="H145" s="296">
        <v>33513</v>
      </c>
      <c r="I145" s="201">
        <v>149.26952466268912</v>
      </c>
      <c r="J145" s="185">
        <v>304</v>
      </c>
      <c r="K145" s="185"/>
      <c r="L145" s="187">
        <v>0</v>
      </c>
      <c r="M145" s="16">
        <f t="shared" si="16"/>
        <v>59115141.330980554</v>
      </c>
      <c r="N145" s="50">
        <f t="shared" si="12"/>
        <v>-5737261.7290194482</v>
      </c>
      <c r="O145" s="103">
        <f t="shared" si="13"/>
        <v>-8.8466447784694438E-2</v>
      </c>
      <c r="P145" s="13">
        <f t="shared" si="14"/>
        <v>8.8466447784694438E-2</v>
      </c>
      <c r="R145" s="13"/>
    </row>
    <row r="146" spans="1:28" x14ac:dyDescent="0.25">
      <c r="A146" s="169">
        <f t="shared" si="15"/>
        <v>42004</v>
      </c>
      <c r="B146" s="172">
        <v>71265383.040000007</v>
      </c>
      <c r="C146" s="230">
        <f t="shared" si="17"/>
        <v>702.73800000000006</v>
      </c>
      <c r="D146" s="230">
        <f t="shared" si="17"/>
        <v>0</v>
      </c>
      <c r="E146" s="171">
        <v>0</v>
      </c>
      <c r="F146" s="185">
        <v>31</v>
      </c>
      <c r="G146" s="16">
        <f>'CDM Activity'!H128</f>
        <v>1858757.0585855681</v>
      </c>
      <c r="H146" s="296">
        <v>33513</v>
      </c>
      <c r="I146" s="201">
        <v>149.5038345621933</v>
      </c>
      <c r="J146" s="185">
        <v>336</v>
      </c>
      <c r="K146" s="185"/>
      <c r="L146" s="187">
        <v>0</v>
      </c>
      <c r="M146" s="16">
        <f t="shared" si="16"/>
        <v>72408288.199515671</v>
      </c>
      <c r="N146" s="50">
        <f t="shared" si="12"/>
        <v>1142905.159515664</v>
      </c>
      <c r="O146" s="103">
        <f t="shared" si="13"/>
        <v>1.6037311675911031E-2</v>
      </c>
      <c r="P146" s="13">
        <f t="shared" si="14"/>
        <v>1.6037311675911031E-2</v>
      </c>
      <c r="R146" s="13"/>
    </row>
    <row r="147" spans="1:28" x14ac:dyDescent="0.25">
      <c r="A147" s="202">
        <f>EOMONTH(A146,1)</f>
        <v>42035</v>
      </c>
      <c r="B147" s="172">
        <v>79807046.409999996</v>
      </c>
      <c r="C147" s="230">
        <f t="shared" si="17"/>
        <v>824.21</v>
      </c>
      <c r="D147" s="230">
        <f t="shared" si="17"/>
        <v>0</v>
      </c>
      <c r="E147" s="171">
        <v>0</v>
      </c>
      <c r="F147" s="185">
        <v>31</v>
      </c>
      <c r="G147" s="16">
        <f>'CDM Activity'!H129</f>
        <v>1849184.669818654</v>
      </c>
      <c r="H147" s="296">
        <v>33539</v>
      </c>
      <c r="I147" s="201">
        <v>149.79960271328571</v>
      </c>
      <c r="J147" s="185">
        <v>336</v>
      </c>
      <c r="K147" s="185"/>
      <c r="L147" s="188">
        <v>0</v>
      </c>
      <c r="M147" s="16">
        <f t="shared" si="16"/>
        <v>77256574.949569121</v>
      </c>
      <c r="N147" s="50">
        <f t="shared" si="12"/>
        <v>-2550471.4604308754</v>
      </c>
      <c r="O147" s="103">
        <f t="shared" si="13"/>
        <v>-3.1957973326416651E-2</v>
      </c>
      <c r="P147" s="13">
        <f t="shared" si="14"/>
        <v>3.1957973326416651E-2</v>
      </c>
      <c r="Q147" s="104" t="s">
        <v>104</v>
      </c>
      <c r="R147" s="13"/>
    </row>
    <row r="148" spans="1:28" x14ac:dyDescent="0.25">
      <c r="A148" s="202">
        <f t="shared" si="15"/>
        <v>42063</v>
      </c>
      <c r="B148" s="172">
        <v>75728989.640000001</v>
      </c>
      <c r="C148" s="230">
        <f t="shared" si="17"/>
        <v>754.1099999999999</v>
      </c>
      <c r="D148" s="230">
        <f t="shared" si="17"/>
        <v>0</v>
      </c>
      <c r="E148" s="171">
        <v>0</v>
      </c>
      <c r="F148" s="185">
        <v>28</v>
      </c>
      <c r="G148" s="16">
        <f>'CDM Activity'!H130</f>
        <v>1839612.2810517398</v>
      </c>
      <c r="H148" s="296">
        <v>33539</v>
      </c>
      <c r="I148" s="201">
        <v>150.09595599183959</v>
      </c>
      <c r="J148" s="185">
        <v>304</v>
      </c>
      <c r="K148" s="185"/>
      <c r="L148" s="188"/>
      <c r="M148" s="16">
        <f t="shared" si="16"/>
        <v>69146580.154738307</v>
      </c>
      <c r="N148" s="50">
        <f t="shared" si="12"/>
        <v>-6582409.4852616936</v>
      </c>
      <c r="O148" s="103">
        <f t="shared" si="13"/>
        <v>-8.6920603543677408E-2</v>
      </c>
      <c r="P148" s="13">
        <f t="shared" si="14"/>
        <v>8.6920603543677408E-2</v>
      </c>
      <c r="R148" s="13"/>
    </row>
    <row r="149" spans="1:28" x14ac:dyDescent="0.25">
      <c r="A149" s="202">
        <f t="shared" si="15"/>
        <v>42094</v>
      </c>
      <c r="B149" s="172">
        <v>70753090.569999993</v>
      </c>
      <c r="C149" s="230">
        <f t="shared" si="17"/>
        <v>679.39</v>
      </c>
      <c r="D149" s="230">
        <f t="shared" si="17"/>
        <v>0</v>
      </c>
      <c r="E149" s="171">
        <v>1</v>
      </c>
      <c r="F149" s="185">
        <v>31</v>
      </c>
      <c r="G149" s="16">
        <f>'CDM Activity'!H131</f>
        <v>1830039.8922848257</v>
      </c>
      <c r="H149" s="296">
        <v>33539</v>
      </c>
      <c r="I149" s="201">
        <v>150.39289555543107</v>
      </c>
      <c r="J149" s="185">
        <v>352</v>
      </c>
      <c r="K149" s="185"/>
      <c r="L149" s="188"/>
      <c r="M149" s="16">
        <f t="shared" si="16"/>
        <v>68716247.344241202</v>
      </c>
      <c r="N149" s="50">
        <f t="shared" si="12"/>
        <v>-2036843.225758791</v>
      </c>
      <c r="O149" s="103">
        <f t="shared" si="13"/>
        <v>-2.8788045996996102E-2</v>
      </c>
      <c r="P149" s="13">
        <f t="shared" si="14"/>
        <v>2.8788045996996102E-2</v>
      </c>
      <c r="R149" s="13"/>
    </row>
    <row r="150" spans="1:28" x14ac:dyDescent="0.25">
      <c r="A150" s="202">
        <f t="shared" si="15"/>
        <v>42124</v>
      </c>
      <c r="B150" s="172">
        <v>57109491.909999996</v>
      </c>
      <c r="C150" s="230">
        <f t="shared" si="17"/>
        <v>427.16999999999996</v>
      </c>
      <c r="D150" s="230">
        <f t="shared" si="17"/>
        <v>0.02</v>
      </c>
      <c r="E150" s="171">
        <v>1</v>
      </c>
      <c r="F150" s="185">
        <v>30</v>
      </c>
      <c r="G150" s="16">
        <f>'CDM Activity'!H132</f>
        <v>1820467.5035179115</v>
      </c>
      <c r="H150" s="296">
        <v>33261</v>
      </c>
      <c r="I150" s="201">
        <v>150.69042256392635</v>
      </c>
      <c r="J150" s="185">
        <v>336</v>
      </c>
      <c r="K150" s="185"/>
      <c r="L150" s="188"/>
      <c r="M150" s="16">
        <f t="shared" si="16"/>
        <v>56469713.458582565</v>
      </c>
      <c r="N150" s="50">
        <f t="shared" si="12"/>
        <v>-639778.45141743124</v>
      </c>
      <c r="O150" s="103">
        <f t="shared" si="13"/>
        <v>-1.1202664040956116E-2</v>
      </c>
      <c r="P150" s="13">
        <f t="shared" si="14"/>
        <v>1.1202664040956116E-2</v>
      </c>
      <c r="R150" s="13"/>
      <c r="AB150" s="289"/>
    </row>
    <row r="151" spans="1:28" x14ac:dyDescent="0.25">
      <c r="A151" s="202">
        <f t="shared" si="15"/>
        <v>42155</v>
      </c>
      <c r="B151" s="172">
        <v>49113111.240000002</v>
      </c>
      <c r="C151" s="230">
        <f t="shared" si="17"/>
        <v>232.2</v>
      </c>
      <c r="D151" s="230">
        <f t="shared" si="17"/>
        <v>3.9</v>
      </c>
      <c r="E151" s="171">
        <v>1</v>
      </c>
      <c r="F151" s="185">
        <v>31</v>
      </c>
      <c r="G151" s="16">
        <f>'CDM Activity'!H133</f>
        <v>1810895.1147509974</v>
      </c>
      <c r="H151" s="296">
        <v>33261</v>
      </c>
      <c r="I151" s="201">
        <v>150.9885381794862</v>
      </c>
      <c r="J151" s="185">
        <v>320</v>
      </c>
      <c r="K151" s="185"/>
      <c r="L151" s="188"/>
      <c r="M151" s="16">
        <f t="shared" si="16"/>
        <v>50973759.995501935</v>
      </c>
      <c r="N151" s="50">
        <f t="shared" si="12"/>
        <v>1860648.7555019334</v>
      </c>
      <c r="O151" s="103">
        <f t="shared" si="13"/>
        <v>3.7884970194812961E-2</v>
      </c>
      <c r="P151" s="13">
        <f t="shared" si="14"/>
        <v>3.7884970194812961E-2</v>
      </c>
      <c r="R151" s="13"/>
      <c r="AB151" s="289"/>
    </row>
    <row r="152" spans="1:28" x14ac:dyDescent="0.25">
      <c r="A152" s="202">
        <f t="shared" si="15"/>
        <v>42185</v>
      </c>
      <c r="B152" s="172">
        <v>46018521.689999998</v>
      </c>
      <c r="C152" s="230">
        <f t="shared" si="17"/>
        <v>101.74</v>
      </c>
      <c r="D152" s="230">
        <f t="shared" si="17"/>
        <v>9.5400000000000009</v>
      </c>
      <c r="E152" s="171">
        <v>0</v>
      </c>
      <c r="F152" s="185">
        <v>30</v>
      </c>
      <c r="G152" s="16">
        <f>'CDM Activity'!H134</f>
        <v>1801322.7259840833</v>
      </c>
      <c r="H152" s="296">
        <v>33261</v>
      </c>
      <c r="I152" s="201">
        <v>151.28724356657051</v>
      </c>
      <c r="J152" s="185">
        <v>352</v>
      </c>
      <c r="K152" s="185"/>
      <c r="L152" s="188"/>
      <c r="M152" s="16">
        <f t="shared" si="16"/>
        <v>47480937.440626249</v>
      </c>
      <c r="N152" s="50">
        <f t="shared" si="12"/>
        <v>1462415.7506262511</v>
      </c>
      <c r="O152" s="103">
        <f t="shared" si="13"/>
        <v>3.1778851143409059E-2</v>
      </c>
      <c r="P152" s="13">
        <f t="shared" si="14"/>
        <v>3.1778851143409059E-2</v>
      </c>
      <c r="R152" s="13"/>
      <c r="AB152" s="289"/>
    </row>
    <row r="153" spans="1:28" x14ac:dyDescent="0.25">
      <c r="A153" s="202">
        <f t="shared" si="15"/>
        <v>42216</v>
      </c>
      <c r="B153" s="172">
        <v>50056825.770000003</v>
      </c>
      <c r="C153" s="230">
        <f t="shared" si="17"/>
        <v>40.76</v>
      </c>
      <c r="D153" s="230">
        <f t="shared" si="17"/>
        <v>36.08</v>
      </c>
      <c r="E153" s="171">
        <v>0</v>
      </c>
      <c r="F153" s="185">
        <v>31</v>
      </c>
      <c r="G153" s="16">
        <f>'CDM Activity'!H135</f>
        <v>1791750.3372171691</v>
      </c>
      <c r="H153" s="296">
        <v>33371</v>
      </c>
      <c r="I153" s="201">
        <v>151.58653989194292</v>
      </c>
      <c r="J153" s="185">
        <v>352</v>
      </c>
      <c r="K153" s="185"/>
      <c r="L153" s="188"/>
      <c r="M153" s="16">
        <f t="shared" si="16"/>
        <v>49319483.103114173</v>
      </c>
      <c r="N153" s="50">
        <f t="shared" si="12"/>
        <v>-737342.66688583046</v>
      </c>
      <c r="O153" s="103">
        <f t="shared" si="13"/>
        <v>-1.4730112338200513E-2</v>
      </c>
      <c r="P153" s="13">
        <f t="shared" si="14"/>
        <v>1.4730112338200513E-2</v>
      </c>
      <c r="R153" s="13"/>
      <c r="AB153" s="289"/>
    </row>
    <row r="154" spans="1:28" x14ac:dyDescent="0.25">
      <c r="A154" s="202">
        <f t="shared" si="15"/>
        <v>42247</v>
      </c>
      <c r="B154" s="172">
        <v>49818189.549999997</v>
      </c>
      <c r="C154" s="230">
        <f t="shared" si="17"/>
        <v>42.03</v>
      </c>
      <c r="D154" s="230">
        <f t="shared" si="17"/>
        <v>33.799999999999997</v>
      </c>
      <c r="E154" s="171">
        <v>0</v>
      </c>
      <c r="F154" s="185">
        <v>31</v>
      </c>
      <c r="G154" s="16">
        <f>'CDM Activity'!H136</f>
        <v>1782177.948450255</v>
      </c>
      <c r="H154" s="296">
        <v>33371</v>
      </c>
      <c r="I154" s="201">
        <v>151.88642832467528</v>
      </c>
      <c r="J154" s="185">
        <v>320</v>
      </c>
      <c r="K154" s="185"/>
      <c r="L154" s="188"/>
      <c r="M154" s="16">
        <f t="shared" si="16"/>
        <v>49214940.722567379</v>
      </c>
      <c r="N154" s="50">
        <f t="shared" si="12"/>
        <v>-603248.82743261755</v>
      </c>
      <c r="O154" s="103">
        <f t="shared" si="13"/>
        <v>-1.2109007430452028E-2</v>
      </c>
      <c r="P154" s="13">
        <f t="shared" si="14"/>
        <v>1.2109007430452028E-2</v>
      </c>
      <c r="R154" s="13"/>
    </row>
    <row r="155" spans="1:28" x14ac:dyDescent="0.25">
      <c r="A155" s="202">
        <f t="shared" si="15"/>
        <v>42277</v>
      </c>
      <c r="B155" s="172">
        <v>48683583.240000002</v>
      </c>
      <c r="C155" s="230">
        <f t="shared" si="17"/>
        <v>129.35999999999999</v>
      </c>
      <c r="D155" s="230">
        <f t="shared" si="17"/>
        <v>11.579999999999998</v>
      </c>
      <c r="E155" s="171">
        <v>1</v>
      </c>
      <c r="F155" s="185">
        <v>30</v>
      </c>
      <c r="G155" s="16">
        <f>'CDM Activity'!H137</f>
        <v>1772605.5596833408</v>
      </c>
      <c r="H155" s="296">
        <v>33371</v>
      </c>
      <c r="I155" s="201">
        <v>152.18691003615226</v>
      </c>
      <c r="J155" s="185">
        <v>336</v>
      </c>
      <c r="K155" s="185"/>
      <c r="L155" s="188"/>
      <c r="M155" s="16">
        <f t="shared" si="16"/>
        <v>46132944.694051653</v>
      </c>
      <c r="N155" s="50">
        <f t="shared" si="12"/>
        <v>-2550638.5459483489</v>
      </c>
      <c r="O155" s="103">
        <f t="shared" si="13"/>
        <v>-5.2392169519943264E-2</v>
      </c>
      <c r="P155" s="13">
        <f t="shared" si="14"/>
        <v>5.2392169519943264E-2</v>
      </c>
      <c r="R155" s="13"/>
    </row>
    <row r="156" spans="1:28" x14ac:dyDescent="0.25">
      <c r="A156" s="202">
        <f t="shared" si="15"/>
        <v>42308</v>
      </c>
      <c r="B156" s="172">
        <v>52100032.990000002</v>
      </c>
      <c r="C156" s="230">
        <f t="shared" si="17"/>
        <v>306.13</v>
      </c>
      <c r="D156" s="230">
        <f t="shared" si="17"/>
        <v>0.46999999999999992</v>
      </c>
      <c r="E156" s="171">
        <v>1</v>
      </c>
      <c r="F156" s="185">
        <v>31</v>
      </c>
      <c r="G156" s="16">
        <f>'CDM Activity'!H138</f>
        <v>1763033.1709164267</v>
      </c>
      <c r="H156" s="296">
        <v>33411</v>
      </c>
      <c r="I156" s="201">
        <v>152.48798620007588</v>
      </c>
      <c r="J156" s="185">
        <v>336</v>
      </c>
      <c r="K156" s="185"/>
      <c r="L156" s="188"/>
      <c r="M156" s="16">
        <f t="shared" si="16"/>
        <v>54071055.931411073</v>
      </c>
      <c r="N156" s="50">
        <f t="shared" si="12"/>
        <v>1971022.9414110705</v>
      </c>
      <c r="O156" s="103">
        <f t="shared" si="13"/>
        <v>3.7831510428973925E-2</v>
      </c>
      <c r="P156" s="13">
        <f t="shared" si="14"/>
        <v>3.7831510428973925E-2</v>
      </c>
      <c r="R156" s="13"/>
    </row>
    <row r="157" spans="1:28" x14ac:dyDescent="0.25">
      <c r="A157" s="202">
        <f t="shared" si="15"/>
        <v>42338</v>
      </c>
      <c r="B157" s="172">
        <v>55680534.289999999</v>
      </c>
      <c r="C157" s="230">
        <f t="shared" si="17"/>
        <v>480.06200000000001</v>
      </c>
      <c r="D157" s="230">
        <f t="shared" si="17"/>
        <v>0</v>
      </c>
      <c r="E157" s="171">
        <v>1</v>
      </c>
      <c r="F157" s="185">
        <v>30</v>
      </c>
      <c r="G157" s="16">
        <f>'CDM Activity'!H139</f>
        <v>1753460.7821495126</v>
      </c>
      <c r="H157" s="296">
        <v>33411</v>
      </c>
      <c r="I157" s="201">
        <v>152.78965799247018</v>
      </c>
      <c r="J157" s="185">
        <v>320</v>
      </c>
      <c r="K157" s="185"/>
      <c r="L157" s="188"/>
      <c r="M157" s="16">
        <f t="shared" si="16"/>
        <v>59083423.762684226</v>
      </c>
      <c r="N157" s="50">
        <f t="shared" si="12"/>
        <v>3402889.4726842269</v>
      </c>
      <c r="O157" s="103">
        <f t="shared" si="13"/>
        <v>6.1114526217744505E-2</v>
      </c>
      <c r="P157" s="13">
        <f t="shared" si="14"/>
        <v>6.1114526217744505E-2</v>
      </c>
      <c r="R157" s="13"/>
    </row>
    <row r="158" spans="1:28" x14ac:dyDescent="0.25">
      <c r="A158" s="202">
        <f t="shared" si="15"/>
        <v>42369</v>
      </c>
      <c r="B158" s="172">
        <v>63647959.810000002</v>
      </c>
      <c r="C158" s="230">
        <f t="shared" si="17"/>
        <v>702.73800000000006</v>
      </c>
      <c r="D158" s="230">
        <f t="shared" si="17"/>
        <v>0</v>
      </c>
      <c r="E158" s="171">
        <v>0</v>
      </c>
      <c r="F158" s="185">
        <v>31</v>
      </c>
      <c r="G158" s="16">
        <f>'CDM Activity'!H140</f>
        <v>1743888.3933825984</v>
      </c>
      <c r="H158" s="296">
        <v>33411</v>
      </c>
      <c r="I158" s="201">
        <v>153.09192659168593</v>
      </c>
      <c r="J158" s="185">
        <v>352</v>
      </c>
      <c r="K158" s="185"/>
      <c r="L158" s="188"/>
      <c r="M158" s="16">
        <f t="shared" si="16"/>
        <v>72567825.635309055</v>
      </c>
      <c r="N158" s="50">
        <f t="shared" si="12"/>
        <v>8919865.8253090531</v>
      </c>
      <c r="O158" s="103">
        <f t="shared" si="13"/>
        <v>0.14014378232918026</v>
      </c>
      <c r="P158" s="13">
        <f t="shared" si="14"/>
        <v>0.14014378232918026</v>
      </c>
      <c r="R158" s="13"/>
    </row>
    <row r="159" spans="1:28" x14ac:dyDescent="0.25">
      <c r="A159" s="202">
        <f t="shared" si="15"/>
        <v>42400</v>
      </c>
      <c r="B159" s="172">
        <v>71224982.780000001</v>
      </c>
      <c r="C159" s="230">
        <f t="shared" si="17"/>
        <v>824.21</v>
      </c>
      <c r="D159" s="230">
        <f t="shared" si="17"/>
        <v>0</v>
      </c>
      <c r="E159" s="171">
        <v>0</v>
      </c>
      <c r="F159" s="185">
        <v>31</v>
      </c>
      <c r="G159" s="16">
        <f>'CDM Activity'!H141</f>
        <v>1841310.7471193657</v>
      </c>
      <c r="H159" s="296">
        <v>33412</v>
      </c>
      <c r="I159" s="201">
        <v>153.40727089469959</v>
      </c>
      <c r="J159" s="185">
        <v>320</v>
      </c>
      <c r="K159" s="185"/>
      <c r="L159" s="188"/>
      <c r="M159" s="16">
        <f t="shared" si="16"/>
        <v>77010189.798228249</v>
      </c>
      <c r="N159" s="50">
        <f t="shared" si="12"/>
        <v>5785207.0182282478</v>
      </c>
      <c r="O159" s="103">
        <f t="shared" si="13"/>
        <v>8.1224407397859508E-2</v>
      </c>
      <c r="P159" s="13">
        <f t="shared" si="14"/>
        <v>8.1224407397859508E-2</v>
      </c>
    </row>
    <row r="160" spans="1:28" x14ac:dyDescent="0.25">
      <c r="A160" s="202">
        <f t="shared" si="15"/>
        <v>42429</v>
      </c>
      <c r="B160" s="172">
        <v>65961523.409999996</v>
      </c>
      <c r="C160" s="230">
        <f t="shared" si="17"/>
        <v>754.1099999999999</v>
      </c>
      <c r="D160" s="230">
        <f t="shared" si="17"/>
        <v>0</v>
      </c>
      <c r="E160" s="171">
        <v>0</v>
      </c>
      <c r="F160" s="185">
        <v>28</v>
      </c>
      <c r="G160" s="16">
        <f>'CDM Activity'!H142</f>
        <v>1938733.100856133</v>
      </c>
      <c r="H160" s="296">
        <v>33412</v>
      </c>
      <c r="I160" s="201">
        <v>153.72326475534609</v>
      </c>
      <c r="J160" s="185">
        <v>320</v>
      </c>
      <c r="K160" s="185"/>
      <c r="L160" s="188"/>
      <c r="M160" s="16">
        <f t="shared" si="16"/>
        <v>68547877.298669234</v>
      </c>
      <c r="N160" s="50">
        <f t="shared" si="12"/>
        <v>2586353.8886692375</v>
      </c>
      <c r="O160" s="103">
        <f t="shared" si="13"/>
        <v>3.9210038746272151E-2</v>
      </c>
      <c r="P160" s="13">
        <f t="shared" si="14"/>
        <v>3.9210038746272151E-2</v>
      </c>
    </row>
    <row r="161" spans="1:17" x14ac:dyDescent="0.25">
      <c r="A161" s="202">
        <f t="shared" si="15"/>
        <v>42460</v>
      </c>
      <c r="B161" s="172">
        <v>61438716.170000002</v>
      </c>
      <c r="C161" s="230">
        <f t="shared" si="17"/>
        <v>679.39</v>
      </c>
      <c r="D161" s="230">
        <f t="shared" si="17"/>
        <v>0</v>
      </c>
      <c r="E161" s="171">
        <v>1</v>
      </c>
      <c r="F161" s="185">
        <v>31</v>
      </c>
      <c r="G161" s="16">
        <f>'CDM Activity'!H143</f>
        <v>2036155.4545929004</v>
      </c>
      <c r="H161" s="296">
        <v>33412</v>
      </c>
      <c r="I161" s="201">
        <v>154.03990951160779</v>
      </c>
      <c r="J161" s="185">
        <v>352</v>
      </c>
      <c r="K161" s="185"/>
      <c r="L161" s="188"/>
      <c r="M161" s="16">
        <f t="shared" si="16"/>
        <v>67765226.783443913</v>
      </c>
      <c r="N161" s="50">
        <f t="shared" si="12"/>
        <v>6326510.6134439111</v>
      </c>
      <c r="O161" s="103">
        <f t="shared" si="13"/>
        <v>0.10297270203268166</v>
      </c>
      <c r="P161" s="13">
        <f t="shared" si="14"/>
        <v>0.10297270203268166</v>
      </c>
    </row>
    <row r="162" spans="1:17" x14ac:dyDescent="0.25">
      <c r="A162" s="202">
        <f t="shared" si="15"/>
        <v>42490</v>
      </c>
      <c r="B162" s="172">
        <v>55510527.649999999</v>
      </c>
      <c r="C162" s="230">
        <f t="shared" si="17"/>
        <v>427.16999999999996</v>
      </c>
      <c r="D162" s="230">
        <f t="shared" si="17"/>
        <v>0.02</v>
      </c>
      <c r="E162" s="171">
        <v>1</v>
      </c>
      <c r="F162" s="185">
        <v>30</v>
      </c>
      <c r="G162" s="16">
        <f>'CDM Activity'!H144</f>
        <v>2133577.8083296674</v>
      </c>
      <c r="H162" s="296">
        <v>33360</v>
      </c>
      <c r="I162" s="201">
        <v>154.35720650422309</v>
      </c>
      <c r="J162" s="185">
        <v>336</v>
      </c>
      <c r="K162" s="185"/>
      <c r="L162" s="188"/>
      <c r="M162" s="16">
        <f t="shared" si="16"/>
        <v>55650963.330007613</v>
      </c>
      <c r="N162" s="50">
        <f t="shared" si="12"/>
        <v>140435.6800076142</v>
      </c>
      <c r="O162" s="103">
        <f t="shared" si="13"/>
        <v>2.529892724008618E-3</v>
      </c>
      <c r="P162" s="13">
        <f t="shared" si="14"/>
        <v>2.529892724008618E-3</v>
      </c>
    </row>
    <row r="163" spans="1:17" x14ac:dyDescent="0.25">
      <c r="A163" s="202">
        <f t="shared" si="15"/>
        <v>42521</v>
      </c>
      <c r="B163" s="172">
        <v>47972677.969999999</v>
      </c>
      <c r="C163" s="230">
        <f t="shared" si="17"/>
        <v>232.2</v>
      </c>
      <c r="D163" s="230">
        <f t="shared" si="17"/>
        <v>3.9</v>
      </c>
      <c r="E163" s="171">
        <v>1</v>
      </c>
      <c r="F163" s="185">
        <v>31</v>
      </c>
      <c r="G163" s="16">
        <f>'CDM Activity'!H145</f>
        <v>2231000.1620664345</v>
      </c>
      <c r="H163" s="296">
        <v>33360</v>
      </c>
      <c r="I163" s="201">
        <v>154.6751570766921</v>
      </c>
      <c r="J163" s="185">
        <v>336</v>
      </c>
      <c r="K163" s="185"/>
      <c r="L163" s="188"/>
      <c r="M163" s="16">
        <f t="shared" si="16"/>
        <v>49802692.162198775</v>
      </c>
      <c r="N163" s="50">
        <f t="shared" si="12"/>
        <v>1830014.1921987757</v>
      </c>
      <c r="O163" s="103">
        <f t="shared" si="13"/>
        <v>3.8147009290229454E-2</v>
      </c>
      <c r="P163" s="13">
        <f t="shared" si="14"/>
        <v>3.8147009290229454E-2</v>
      </c>
    </row>
    <row r="164" spans="1:17" x14ac:dyDescent="0.25">
      <c r="A164" s="202">
        <f t="shared" si="15"/>
        <v>42551</v>
      </c>
      <c r="B164" s="172">
        <v>46020697.049999997</v>
      </c>
      <c r="C164" s="230">
        <f t="shared" si="17"/>
        <v>101.74</v>
      </c>
      <c r="D164" s="230">
        <f t="shared" si="17"/>
        <v>9.5400000000000009</v>
      </c>
      <c r="E164" s="171">
        <v>0</v>
      </c>
      <c r="F164" s="185">
        <v>30</v>
      </c>
      <c r="G164" s="16">
        <f>'CDM Activity'!H146</f>
        <v>2328422.5158032016</v>
      </c>
      <c r="H164" s="296">
        <v>33360</v>
      </c>
      <c r="I164" s="201">
        <v>154.99376257528229</v>
      </c>
      <c r="J164" s="185">
        <v>352</v>
      </c>
      <c r="K164" s="185"/>
      <c r="L164" s="188"/>
      <c r="M164" s="16">
        <f t="shared" si="16"/>
        <v>45957551.902594872</v>
      </c>
      <c r="N164" s="50">
        <f t="shared" si="12"/>
        <v>-63145.147405125201</v>
      </c>
      <c r="O164" s="103">
        <f t="shared" si="13"/>
        <v>-1.3721032373003835E-3</v>
      </c>
      <c r="P164" s="13">
        <f t="shared" si="14"/>
        <v>1.3721032373003835E-3</v>
      </c>
    </row>
    <row r="165" spans="1:17" x14ac:dyDescent="0.25">
      <c r="A165" s="202">
        <f t="shared" si="15"/>
        <v>42582</v>
      </c>
      <c r="B165" s="172">
        <v>50843952.109999999</v>
      </c>
      <c r="C165" s="230">
        <f t="shared" si="17"/>
        <v>40.76</v>
      </c>
      <c r="D165" s="230">
        <f t="shared" si="17"/>
        <v>36.08</v>
      </c>
      <c r="E165" s="171">
        <v>0</v>
      </c>
      <c r="F165" s="185">
        <v>31</v>
      </c>
      <c r="G165" s="16">
        <f>'CDM Activity'!H147</f>
        <v>2425844.8695399687</v>
      </c>
      <c r="H165" s="296">
        <v>33412</v>
      </c>
      <c r="I165" s="201">
        <v>155.31302434903424</v>
      </c>
      <c r="J165" s="185">
        <v>320</v>
      </c>
      <c r="K165" s="185"/>
      <c r="L165" s="188"/>
      <c r="M165" s="16">
        <f t="shared" si="16"/>
        <v>47319416.533172578</v>
      </c>
      <c r="N165" s="50">
        <f t="shared" si="12"/>
        <v>-3524535.5768274218</v>
      </c>
      <c r="O165" s="103">
        <f t="shared" si="13"/>
        <v>-6.932064543688797E-2</v>
      </c>
      <c r="P165" s="13">
        <f t="shared" si="14"/>
        <v>6.932064543688797E-2</v>
      </c>
      <c r="Q165" s="159"/>
    </row>
    <row r="166" spans="1:17" x14ac:dyDescent="0.25">
      <c r="A166" s="202">
        <f t="shared" si="15"/>
        <v>42613</v>
      </c>
      <c r="B166" s="172">
        <v>52655659.520000003</v>
      </c>
      <c r="C166" s="230">
        <f t="shared" si="17"/>
        <v>42.03</v>
      </c>
      <c r="D166" s="230">
        <f t="shared" si="17"/>
        <v>33.799999999999997</v>
      </c>
      <c r="E166" s="171">
        <v>0</v>
      </c>
      <c r="F166" s="185">
        <v>31</v>
      </c>
      <c r="G166" s="16">
        <f>'CDM Activity'!H148</f>
        <v>2523267.2232767357</v>
      </c>
      <c r="H166" s="296">
        <v>33412</v>
      </c>
      <c r="I166" s="201">
        <v>155.63294374976735</v>
      </c>
      <c r="J166" s="185">
        <v>352</v>
      </c>
      <c r="K166" s="185"/>
      <c r="L166" s="188"/>
      <c r="M166" s="16">
        <f t="shared" si="16"/>
        <v>46862556.447897568</v>
      </c>
      <c r="N166" s="50">
        <f t="shared" si="12"/>
        <v>-5793103.0721024349</v>
      </c>
      <c r="O166" s="103">
        <f t="shared" si="13"/>
        <v>-0.11001862145325636</v>
      </c>
      <c r="P166" s="13">
        <f t="shared" si="14"/>
        <v>0.11001862145325636</v>
      </c>
    </row>
    <row r="167" spans="1:17" x14ac:dyDescent="0.25">
      <c r="A167" s="202">
        <f t="shared" si="15"/>
        <v>42643</v>
      </c>
      <c r="B167" s="172">
        <v>47273739.93</v>
      </c>
      <c r="C167" s="230">
        <f t="shared" si="17"/>
        <v>129.35999999999999</v>
      </c>
      <c r="D167" s="230">
        <f t="shared" si="17"/>
        <v>11.579999999999998</v>
      </c>
      <c r="E167" s="171">
        <v>1</v>
      </c>
      <c r="F167" s="185">
        <v>30</v>
      </c>
      <c r="G167" s="16">
        <f>'CDM Activity'!H149</f>
        <v>2620689.5770135028</v>
      </c>
      <c r="H167" s="296">
        <v>33412</v>
      </c>
      <c r="I167" s="201">
        <v>155.95352213208551</v>
      </c>
      <c r="J167" s="185">
        <v>336</v>
      </c>
      <c r="K167" s="185"/>
      <c r="L167" s="188"/>
      <c r="M167" s="16">
        <f t="shared" si="16"/>
        <v>43428242.714653626</v>
      </c>
      <c r="N167" s="50">
        <f t="shared" si="12"/>
        <v>-3845497.2153463736</v>
      </c>
      <c r="O167" s="103">
        <f t="shared" si="13"/>
        <v>-8.1345313932016924E-2</v>
      </c>
      <c r="P167" s="13">
        <f t="shared" si="14"/>
        <v>8.1345313932016924E-2</v>
      </c>
    </row>
    <row r="168" spans="1:17" x14ac:dyDescent="0.25">
      <c r="A168" s="202">
        <f t="shared" si="15"/>
        <v>42674</v>
      </c>
      <c r="B168" s="172">
        <v>50073797.57</v>
      </c>
      <c r="C168" s="230">
        <f t="shared" si="17"/>
        <v>306.13</v>
      </c>
      <c r="D168" s="230">
        <f t="shared" si="17"/>
        <v>0.46999999999999992</v>
      </c>
      <c r="E168" s="171">
        <v>1</v>
      </c>
      <c r="F168" s="185">
        <v>31</v>
      </c>
      <c r="G168" s="16">
        <f>'CDM Activity'!H150</f>
        <v>2718111.9307502699</v>
      </c>
      <c r="H168" s="296">
        <v>33513</v>
      </c>
      <c r="I168" s="201">
        <v>156.2747608533829</v>
      </c>
      <c r="J168" s="185">
        <v>320</v>
      </c>
      <c r="K168" s="185"/>
      <c r="L168" s="188"/>
      <c r="M168" s="16">
        <f t="shared" si="16"/>
        <v>51144832.160355568</v>
      </c>
      <c r="N168" s="50">
        <f t="shared" si="12"/>
        <v>1071034.5903555676</v>
      </c>
      <c r="O168" s="103">
        <f t="shared" si="13"/>
        <v>2.1389122501810034E-2</v>
      </c>
      <c r="P168" s="13">
        <f t="shared" si="14"/>
        <v>2.1389122501810034E-2</v>
      </c>
    </row>
    <row r="169" spans="1:17" x14ac:dyDescent="0.25">
      <c r="A169" s="202">
        <f t="shared" si="15"/>
        <v>42704</v>
      </c>
      <c r="B169" s="172">
        <v>53720227.840000004</v>
      </c>
      <c r="C169" s="230">
        <f t="shared" si="17"/>
        <v>480.06200000000001</v>
      </c>
      <c r="D169" s="230">
        <f t="shared" si="17"/>
        <v>0</v>
      </c>
      <c r="E169" s="171">
        <v>1</v>
      </c>
      <c r="F169" s="185">
        <v>30</v>
      </c>
      <c r="G169" s="16">
        <f>'CDM Activity'!H151</f>
        <v>2815534.284487037</v>
      </c>
      <c r="H169" s="296">
        <v>33513</v>
      </c>
      <c r="I169" s="201">
        <v>156.59666127384969</v>
      </c>
      <c r="J169" s="185">
        <v>336</v>
      </c>
      <c r="K169" s="185"/>
      <c r="L169" s="188"/>
      <c r="M169" s="16">
        <f t="shared" si="16"/>
        <v>55804882.286900505</v>
      </c>
      <c r="N169" s="50">
        <f t="shared" si="12"/>
        <v>2084654.4469005018</v>
      </c>
      <c r="O169" s="103">
        <f t="shared" si="13"/>
        <v>3.8805763317114439E-2</v>
      </c>
      <c r="P169" s="13">
        <f t="shared" si="14"/>
        <v>3.8805763317114439E-2</v>
      </c>
      <c r="Q169"/>
    </row>
    <row r="170" spans="1:17" x14ac:dyDescent="0.25">
      <c r="A170" s="202">
        <f t="shared" si="15"/>
        <v>42735</v>
      </c>
      <c r="B170" s="172">
        <v>67261959.730000004</v>
      </c>
      <c r="C170" s="230">
        <f t="shared" si="17"/>
        <v>702.73800000000006</v>
      </c>
      <c r="D170" s="230">
        <f t="shared" si="17"/>
        <v>0</v>
      </c>
      <c r="E170" s="171">
        <v>0</v>
      </c>
      <c r="F170" s="185">
        <v>31</v>
      </c>
      <c r="G170" s="16">
        <f>'CDM Activity'!H152</f>
        <v>2912956.6382238041</v>
      </c>
      <c r="H170" s="296">
        <v>33513</v>
      </c>
      <c r="I170" s="201">
        <v>156.91922475647806</v>
      </c>
      <c r="J170" s="185">
        <v>336</v>
      </c>
      <c r="K170" s="185"/>
      <c r="L170" s="188"/>
      <c r="M170" s="16">
        <f t="shared" si="16"/>
        <v>68936966.454797119</v>
      </c>
      <c r="N170" s="50">
        <f t="shared" si="12"/>
        <v>1675006.7247971147</v>
      </c>
      <c r="O170" s="103">
        <f t="shared" si="13"/>
        <v>2.4902734495409484E-2</v>
      </c>
      <c r="P170" s="13">
        <f t="shared" si="14"/>
        <v>2.4902734495409484E-2</v>
      </c>
      <c r="Q170"/>
    </row>
    <row r="171" spans="1:17" x14ac:dyDescent="0.25">
      <c r="A171" s="202">
        <f t="shared" si="15"/>
        <v>42766</v>
      </c>
      <c r="B171" s="172">
        <v>66674271</v>
      </c>
      <c r="C171" s="230">
        <f>(C159+C147+C135+C123+C111+C99+C87+C75+C63+C51)/10</f>
        <v>824.21</v>
      </c>
      <c r="D171" s="230">
        <f t="shared" ref="D171:D193" si="18">D159</f>
        <v>0</v>
      </c>
      <c r="E171" s="171">
        <v>0</v>
      </c>
      <c r="F171" s="185">
        <v>31</v>
      </c>
      <c r="G171" s="16">
        <f>'CDM Activity'!H153</f>
        <v>2926161.7132919636</v>
      </c>
      <c r="H171" s="296">
        <v>33528</v>
      </c>
      <c r="I171" s="201">
        <v>157.24245266706706</v>
      </c>
      <c r="J171" s="185">
        <v>320</v>
      </c>
      <c r="K171" s="185"/>
      <c r="L171" s="188"/>
      <c r="M171" s="16">
        <f t="shared" si="16"/>
        <v>73686664.270565972</v>
      </c>
      <c r="N171" s="50">
        <f t="shared" si="12"/>
        <v>7012393.2705659717</v>
      </c>
      <c r="O171" s="103">
        <f t="shared" si="13"/>
        <v>0.10517390239731263</v>
      </c>
      <c r="P171" s="13">
        <f t="shared" si="14"/>
        <v>0.10517390239731263</v>
      </c>
      <c r="Q171"/>
    </row>
    <row r="172" spans="1:17" x14ac:dyDescent="0.25">
      <c r="A172" s="202">
        <f t="shared" si="15"/>
        <v>42794</v>
      </c>
      <c r="B172" s="172">
        <v>59162719</v>
      </c>
      <c r="C172" s="230">
        <f t="shared" ref="C172:C182" si="19">(C160+C148+C136+C124+C112+C100+C88+C76+C64+C52)/10</f>
        <v>754.10999999999979</v>
      </c>
      <c r="D172" s="230">
        <f t="shared" si="18"/>
        <v>0</v>
      </c>
      <c r="E172" s="171">
        <v>0</v>
      </c>
      <c r="F172" s="185">
        <v>29</v>
      </c>
      <c r="G172" s="16">
        <f>'CDM Activity'!H154</f>
        <v>2939366.7883601231</v>
      </c>
      <c r="H172" s="296">
        <v>33528</v>
      </c>
      <c r="I172" s="201">
        <v>157.56634637422971</v>
      </c>
      <c r="J172" s="185">
        <v>320</v>
      </c>
      <c r="K172" s="185"/>
      <c r="L172" s="188"/>
      <c r="M172" s="16">
        <f t="shared" si="16"/>
        <v>67299663.571929008</v>
      </c>
      <c r="N172" s="50">
        <f t="shared" si="12"/>
        <v>8136944.5719290078</v>
      </c>
      <c r="O172" s="103">
        <f t="shared" si="13"/>
        <v>0.13753500024109791</v>
      </c>
      <c r="P172" s="13">
        <f t="shared" si="14"/>
        <v>0.13753500024109791</v>
      </c>
      <c r="Q172"/>
    </row>
    <row r="173" spans="1:17" x14ac:dyDescent="0.25">
      <c r="A173" s="202">
        <f t="shared" si="15"/>
        <v>42825</v>
      </c>
      <c r="B173" s="172">
        <v>63923197</v>
      </c>
      <c r="C173" s="230">
        <f t="shared" si="19"/>
        <v>679.3900000000001</v>
      </c>
      <c r="D173" s="230">
        <f t="shared" si="18"/>
        <v>0</v>
      </c>
      <c r="E173" s="171">
        <v>1</v>
      </c>
      <c r="F173" s="185">
        <v>31</v>
      </c>
      <c r="G173" s="16">
        <f>'CDM Activity'!H155</f>
        <v>2952571.8634282826</v>
      </c>
      <c r="H173" s="296">
        <v>33528</v>
      </c>
      <c r="I173" s="201">
        <v>157.89090724939794</v>
      </c>
      <c r="J173" s="185">
        <v>352</v>
      </c>
      <c r="K173" s="185"/>
      <c r="L173" s="188"/>
      <c r="M173" s="16">
        <f t="shared" si="16"/>
        <v>64996331.0931862</v>
      </c>
      <c r="N173" s="50">
        <f t="shared" si="12"/>
        <v>1073134.0931861997</v>
      </c>
      <c r="O173" s="103">
        <f t="shared" si="13"/>
        <v>1.6787866432684831E-2</v>
      </c>
      <c r="P173" s="13">
        <f t="shared" si="14"/>
        <v>1.6787866432684831E-2</v>
      </c>
      <c r="Q173"/>
    </row>
    <row r="174" spans="1:17" x14ac:dyDescent="0.25">
      <c r="A174" s="202">
        <f t="shared" si="15"/>
        <v>42855</v>
      </c>
      <c r="B174" s="172">
        <v>51461055</v>
      </c>
      <c r="C174" s="230">
        <f t="shared" si="19"/>
        <v>427.16999999999996</v>
      </c>
      <c r="D174" s="230">
        <f t="shared" si="18"/>
        <v>0.02</v>
      </c>
      <c r="E174" s="171">
        <v>1</v>
      </c>
      <c r="F174" s="185">
        <v>30</v>
      </c>
      <c r="G174" s="16">
        <f>'CDM Activity'!H156</f>
        <v>2965776.938496442</v>
      </c>
      <c r="H174" s="296">
        <v>33482</v>
      </c>
      <c r="I174" s="201">
        <v>158.21613666682862</v>
      </c>
      <c r="J174" s="185">
        <v>336</v>
      </c>
      <c r="K174" s="185"/>
      <c r="L174" s="188"/>
      <c r="M174" s="16">
        <f t="shared" si="16"/>
        <v>53172247.730229646</v>
      </c>
      <c r="N174" s="50">
        <f t="shared" si="12"/>
        <v>1711192.730229646</v>
      </c>
      <c r="O174" s="103">
        <f t="shared" si="13"/>
        <v>3.325218906277079E-2</v>
      </c>
      <c r="P174" s="13">
        <f t="shared" si="14"/>
        <v>3.325218906277079E-2</v>
      </c>
      <c r="Q174"/>
    </row>
    <row r="175" spans="1:17" x14ac:dyDescent="0.25">
      <c r="A175" s="202">
        <f t="shared" si="15"/>
        <v>42886</v>
      </c>
      <c r="B175" s="172">
        <v>48082511</v>
      </c>
      <c r="C175" s="230">
        <f t="shared" si="19"/>
        <v>232.2</v>
      </c>
      <c r="D175" s="230">
        <f t="shared" si="18"/>
        <v>3.9</v>
      </c>
      <c r="E175" s="171">
        <v>1</v>
      </c>
      <c r="F175" s="185">
        <v>31</v>
      </c>
      <c r="G175" s="16">
        <f>'CDM Activity'!H157</f>
        <v>2978982.0135646015</v>
      </c>
      <c r="H175" s="296">
        <v>33482</v>
      </c>
      <c r="I175" s="201">
        <v>158.54203600360935</v>
      </c>
      <c r="J175" s="185">
        <v>336</v>
      </c>
      <c r="K175" s="185"/>
      <c r="L175" s="188"/>
      <c r="M175" s="16">
        <f t="shared" si="16"/>
        <v>47601291.48112309</v>
      </c>
      <c r="N175" s="50">
        <f t="shared" si="12"/>
        <v>-481219.51887691021</v>
      </c>
      <c r="O175" s="103">
        <f t="shared" si="13"/>
        <v>-1.0008202751243799E-2</v>
      </c>
      <c r="P175" s="13">
        <f t="shared" si="14"/>
        <v>1.0008202751243799E-2</v>
      </c>
      <c r="Q175"/>
    </row>
    <row r="176" spans="1:17" x14ac:dyDescent="0.25">
      <c r="A176" s="202">
        <f t="shared" si="15"/>
        <v>42916</v>
      </c>
      <c r="B176" s="172">
        <v>44830072</v>
      </c>
      <c r="C176" s="230">
        <f t="shared" si="19"/>
        <v>101.74</v>
      </c>
      <c r="D176" s="230">
        <f t="shared" si="18"/>
        <v>9.5400000000000009</v>
      </c>
      <c r="E176" s="171">
        <v>0</v>
      </c>
      <c r="F176" s="185">
        <v>30</v>
      </c>
      <c r="G176" s="16">
        <f>'CDM Activity'!H158</f>
        <v>2992187.088632761</v>
      </c>
      <c r="H176" s="296">
        <v>33482</v>
      </c>
      <c r="I176" s="201">
        <v>158.86860663966431</v>
      </c>
      <c r="J176" s="185">
        <v>352</v>
      </c>
      <c r="K176" s="185"/>
      <c r="L176" s="188"/>
      <c r="M176" s="16">
        <f t="shared" si="16"/>
        <v>44033466.140221477</v>
      </c>
      <c r="N176" s="50">
        <f t="shared" si="12"/>
        <v>-796605.85977852345</v>
      </c>
      <c r="O176" s="103">
        <f t="shared" si="13"/>
        <v>-1.776945305326575E-2</v>
      </c>
      <c r="P176" s="13">
        <f t="shared" si="14"/>
        <v>1.776945305326575E-2</v>
      </c>
      <c r="Q176"/>
    </row>
    <row r="177" spans="1:17" x14ac:dyDescent="0.25">
      <c r="A177" s="202">
        <f t="shared" si="15"/>
        <v>42947</v>
      </c>
      <c r="B177" s="172">
        <v>48264067</v>
      </c>
      <c r="C177" s="230">
        <f t="shared" si="19"/>
        <v>40.76</v>
      </c>
      <c r="D177" s="230">
        <f t="shared" si="18"/>
        <v>36.08</v>
      </c>
      <c r="E177" s="171">
        <v>0</v>
      </c>
      <c r="F177" s="185">
        <v>31</v>
      </c>
      <c r="G177" s="16">
        <f>'CDM Activity'!H159</f>
        <v>3005392.1637009205</v>
      </c>
      <c r="H177" s="296">
        <v>33516</v>
      </c>
      <c r="I177" s="201">
        <v>159.19584995776006</v>
      </c>
      <c r="J177" s="185">
        <v>320</v>
      </c>
      <c r="K177" s="185"/>
      <c r="L177" s="188"/>
      <c r="M177" s="16">
        <f t="shared" si="16"/>
        <v>45634050.174169108</v>
      </c>
      <c r="N177" s="50">
        <f t="shared" si="12"/>
        <v>-2630016.8258308917</v>
      </c>
      <c r="O177" s="103">
        <f t="shared" si="13"/>
        <v>-5.4492233856522944E-2</v>
      </c>
      <c r="P177" s="13">
        <f t="shared" si="14"/>
        <v>5.4492233856522944E-2</v>
      </c>
      <c r="Q177"/>
    </row>
    <row r="178" spans="1:17" x14ac:dyDescent="0.25">
      <c r="A178" s="202">
        <f t="shared" si="15"/>
        <v>42978</v>
      </c>
      <c r="B178" s="172">
        <v>47137204</v>
      </c>
      <c r="C178" s="230">
        <f t="shared" si="19"/>
        <v>42.029999999999994</v>
      </c>
      <c r="D178" s="230">
        <f t="shared" si="18"/>
        <v>33.799999999999997</v>
      </c>
      <c r="E178" s="171">
        <v>0</v>
      </c>
      <c r="F178" s="185">
        <v>31</v>
      </c>
      <c r="G178" s="16">
        <f>'CDM Activity'!H160</f>
        <v>3018597.23876908</v>
      </c>
      <c r="H178" s="296">
        <v>33516</v>
      </c>
      <c r="I178" s="201">
        <v>159.52376734351151</v>
      </c>
      <c r="J178" s="185">
        <v>352</v>
      </c>
      <c r="K178" s="185"/>
      <c r="L178" s="188"/>
      <c r="M178" s="16">
        <f t="shared" si="16"/>
        <v>45454505.007596381</v>
      </c>
      <c r="N178" s="50">
        <f t="shared" si="12"/>
        <v>-1682698.992403619</v>
      </c>
      <c r="O178" s="103">
        <f t="shared" si="13"/>
        <v>-3.5697895708952508E-2</v>
      </c>
      <c r="P178" s="13">
        <f t="shared" si="14"/>
        <v>3.5697895708952508E-2</v>
      </c>
      <c r="Q178"/>
    </row>
    <row r="179" spans="1:17" x14ac:dyDescent="0.25">
      <c r="A179" s="202">
        <f t="shared" si="15"/>
        <v>43008</v>
      </c>
      <c r="B179" s="172">
        <v>46024413</v>
      </c>
      <c r="C179" s="230">
        <f t="shared" si="19"/>
        <v>129.35999999999996</v>
      </c>
      <c r="D179" s="230">
        <f t="shared" si="18"/>
        <v>11.579999999999998</v>
      </c>
      <c r="E179" s="171">
        <v>1</v>
      </c>
      <c r="F179" s="185">
        <v>30</v>
      </c>
      <c r="G179" s="16">
        <f>'CDM Activity'!H161</f>
        <v>3031802.3138372395</v>
      </c>
      <c r="H179" s="296">
        <v>33516</v>
      </c>
      <c r="I179" s="201">
        <v>159.85236018538762</v>
      </c>
      <c r="J179" s="185">
        <v>336</v>
      </c>
      <c r="K179" s="185"/>
      <c r="L179" s="188"/>
      <c r="M179" s="16">
        <f t="shared" si="16"/>
        <v>42297506.193054721</v>
      </c>
      <c r="N179" s="50">
        <f t="shared" si="12"/>
        <v>-3726906.8069452792</v>
      </c>
      <c r="O179" s="103">
        <f t="shared" si="13"/>
        <v>-8.0976737431616541E-2</v>
      </c>
      <c r="P179" s="13">
        <f t="shared" si="14"/>
        <v>8.0976737431616541E-2</v>
      </c>
      <c r="Q179"/>
    </row>
    <row r="180" spans="1:17" x14ac:dyDescent="0.25">
      <c r="A180" s="202">
        <f t="shared" si="15"/>
        <v>43039</v>
      </c>
      <c r="B180" s="172">
        <v>48274780</v>
      </c>
      <c r="C180" s="230">
        <f t="shared" si="19"/>
        <v>306.13000000000005</v>
      </c>
      <c r="D180" s="230">
        <f t="shared" si="18"/>
        <v>0.46999999999999992</v>
      </c>
      <c r="E180" s="171">
        <v>1</v>
      </c>
      <c r="F180" s="185">
        <v>31</v>
      </c>
      <c r="G180" s="16">
        <f>'CDM Activity'!H162</f>
        <v>3045007.388905399</v>
      </c>
      <c r="H180" s="296">
        <v>33605</v>
      </c>
      <c r="I180" s="201">
        <v>160.18162987471746</v>
      </c>
      <c r="J180" s="185">
        <v>320</v>
      </c>
      <c r="K180" s="185"/>
      <c r="L180" s="188"/>
      <c r="M180" s="16">
        <f t="shared" si="16"/>
        <v>50265680.213904053</v>
      </c>
      <c r="N180" s="50">
        <f t="shared" si="12"/>
        <v>1990900.213904053</v>
      </c>
      <c r="O180" s="103">
        <f t="shared" si="13"/>
        <v>4.1241000247003778E-2</v>
      </c>
      <c r="P180" s="13">
        <f t="shared" si="14"/>
        <v>4.1241000247003778E-2</v>
      </c>
      <c r="Q180"/>
    </row>
    <row r="181" spans="1:17" x14ac:dyDescent="0.25">
      <c r="A181" s="202">
        <f t="shared" si="15"/>
        <v>43069</v>
      </c>
      <c r="B181" s="172">
        <v>58218614</v>
      </c>
      <c r="C181" s="230">
        <f t="shared" si="19"/>
        <v>480.06200000000001</v>
      </c>
      <c r="D181" s="230">
        <f t="shared" si="18"/>
        <v>0</v>
      </c>
      <c r="E181" s="171">
        <v>1</v>
      </c>
      <c r="F181" s="185">
        <v>30</v>
      </c>
      <c r="G181" s="16">
        <f>'CDM Activity'!H163</f>
        <v>3058212.4639735585</v>
      </c>
      <c r="H181" s="296">
        <v>33605</v>
      </c>
      <c r="I181" s="201">
        <v>160.51157780569594</v>
      </c>
      <c r="J181" s="185">
        <v>336</v>
      </c>
      <c r="K181" s="185"/>
      <c r="L181" s="188"/>
      <c r="M181" s="16">
        <f t="shared" si="16"/>
        <v>55203045.259151272</v>
      </c>
      <c r="N181" s="50">
        <f t="shared" si="12"/>
        <v>-3015568.7408487275</v>
      </c>
      <c r="O181" s="103">
        <f t="shared" si="13"/>
        <v>-5.1797329645269938E-2</v>
      </c>
      <c r="P181" s="13">
        <f t="shared" si="14"/>
        <v>5.1797329645269938E-2</v>
      </c>
      <c r="Q181"/>
    </row>
    <row r="182" spans="1:17" x14ac:dyDescent="0.25">
      <c r="A182" s="202">
        <f t="shared" si="15"/>
        <v>43100</v>
      </c>
      <c r="B182" s="172">
        <v>70917570</v>
      </c>
      <c r="C182" s="230">
        <f t="shared" si="19"/>
        <v>702.73800000000017</v>
      </c>
      <c r="D182" s="230">
        <f t="shared" si="18"/>
        <v>0</v>
      </c>
      <c r="E182" s="171">
        <v>0</v>
      </c>
      <c r="F182" s="185">
        <v>31</v>
      </c>
      <c r="G182" s="16">
        <f>'CDM Activity'!H164</f>
        <v>3071417.539041718</v>
      </c>
      <c r="H182" s="296">
        <v>33605</v>
      </c>
      <c r="I182" s="201">
        <v>160.37144770112059</v>
      </c>
      <c r="J182" s="185">
        <v>336</v>
      </c>
      <c r="K182" s="185"/>
      <c r="L182" s="188"/>
      <c r="M182" s="16">
        <f t="shared" si="16"/>
        <v>68612444.345750168</v>
      </c>
      <c r="N182" s="50">
        <f t="shared" si="12"/>
        <v>-2305125.654249832</v>
      </c>
      <c r="O182" s="103">
        <f t="shared" si="13"/>
        <v>-3.2504295539875834E-2</v>
      </c>
      <c r="P182" s="13">
        <f t="shared" si="14"/>
        <v>3.2504295539875834E-2</v>
      </c>
      <c r="Q182" s="350" t="s">
        <v>278</v>
      </c>
    </row>
    <row r="183" spans="1:17" x14ac:dyDescent="0.25">
      <c r="A183" s="202">
        <f t="shared" si="15"/>
        <v>43131</v>
      </c>
      <c r="B183" s="172"/>
      <c r="C183" s="230">
        <f>C171</f>
        <v>824.21</v>
      </c>
      <c r="D183" s="230">
        <f t="shared" si="18"/>
        <v>0</v>
      </c>
      <c r="E183" s="171">
        <v>0</v>
      </c>
      <c r="F183" s="185">
        <v>31</v>
      </c>
      <c r="G183" s="16">
        <f>'CDM Activity'!H165</f>
        <v>3089873.1700584772</v>
      </c>
      <c r="H183" s="296">
        <f>H171*'Rate Class Customer Model'!$J$19</f>
        <v>33625.286197386944</v>
      </c>
      <c r="I183" s="201">
        <v>160.70178662574256</v>
      </c>
      <c r="J183" s="185">
        <v>320</v>
      </c>
      <c r="K183" s="185"/>
      <c r="L183" s="188"/>
      <c r="M183" s="16">
        <f>+$T$18+C183*$T$19+D183*$T$20+E183*$T$21+F183*$T$22+G183*$T$23+ H183*$T$24+Q183</f>
        <v>72916885.15390338</v>
      </c>
      <c r="N183" s="50"/>
      <c r="O183" s="103"/>
      <c r="P183" s="5"/>
      <c r="Q183" s="350">
        <f>'Rate Class Energy Model'!U73</f>
        <v>-439302.35075063654</v>
      </c>
    </row>
    <row r="184" spans="1:17" x14ac:dyDescent="0.25">
      <c r="A184" s="202">
        <f t="shared" si="15"/>
        <v>43159</v>
      </c>
      <c r="B184" s="172"/>
      <c r="C184" s="230">
        <f t="shared" ref="C184:D194" si="20">C172</f>
        <v>754.10999999999979</v>
      </c>
      <c r="D184" s="230">
        <f t="shared" si="18"/>
        <v>0</v>
      </c>
      <c r="E184" s="171">
        <v>0</v>
      </c>
      <c r="F184" s="185">
        <v>28</v>
      </c>
      <c r="G184" s="16">
        <f>'CDM Activity'!H166</f>
        <v>3108328.8010752364</v>
      </c>
      <c r="H184" s="296">
        <f>H172*'Rate Class Customer Model'!$J$19</f>
        <v>33625.286197386944</v>
      </c>
      <c r="I184" s="201">
        <v>161.03280599446279</v>
      </c>
      <c r="J184" s="185">
        <v>320</v>
      </c>
      <c r="K184" s="185"/>
      <c r="L184" s="188"/>
      <c r="M184" s="16">
        <f t="shared" ref="M184:M194" si="21">+$T$18+C184*$T$19+D184*$T$20+E184*$T$21+F184*$T$22+G184*$T$23+ H184*$T$24+Q184</f>
        <v>64714598.27660954</v>
      </c>
      <c r="N184" s="50"/>
      <c r="O184" s="103"/>
      <c r="P184" s="5"/>
      <c r="Q184" s="350">
        <f>Q183</f>
        <v>-439302.35075063654</v>
      </c>
    </row>
    <row r="185" spans="1:17" x14ac:dyDescent="0.25">
      <c r="A185" s="202">
        <f t="shared" si="15"/>
        <v>43190</v>
      </c>
      <c r="B185" s="172"/>
      <c r="C185" s="230">
        <f t="shared" si="20"/>
        <v>679.3900000000001</v>
      </c>
      <c r="D185" s="230">
        <f t="shared" si="18"/>
        <v>0</v>
      </c>
      <c r="E185" s="171">
        <v>1</v>
      </c>
      <c r="F185" s="185">
        <v>31</v>
      </c>
      <c r="G185" s="16">
        <f>'CDM Activity'!H167</f>
        <v>3126784.4320919956</v>
      </c>
      <c r="H185" s="296">
        <f>H173*'Rate Class Customer Model'!$J$19</f>
        <v>33625.286197386944</v>
      </c>
      <c r="I185" s="201">
        <v>161.36450720888473</v>
      </c>
      <c r="J185" s="185">
        <v>352</v>
      </c>
      <c r="K185" s="185"/>
      <c r="L185" s="188"/>
      <c r="M185" s="16">
        <f t="shared" si="21"/>
        <v>64191973.383649401</v>
      </c>
      <c r="N185" s="50"/>
      <c r="O185" s="103"/>
      <c r="P185" s="5"/>
      <c r="Q185" s="350">
        <f t="shared" ref="Q185:Q194" si="22">Q184</f>
        <v>-439302.35075063654</v>
      </c>
    </row>
    <row r="186" spans="1:17" x14ac:dyDescent="0.25">
      <c r="A186" s="202">
        <f t="shared" si="15"/>
        <v>43220</v>
      </c>
      <c r="B186" s="172"/>
      <c r="C186" s="230">
        <f t="shared" si="20"/>
        <v>427.16999999999996</v>
      </c>
      <c r="D186" s="230">
        <f t="shared" si="18"/>
        <v>0.02</v>
      </c>
      <c r="E186" s="171">
        <v>1</v>
      </c>
      <c r="F186" s="185">
        <v>30</v>
      </c>
      <c r="G186" s="16">
        <f>'CDM Activity'!H168</f>
        <v>3145240.0631087548</v>
      </c>
      <c r="H186" s="296">
        <f>H174*'Rate Class Customer Model'!$J$19</f>
        <v>33579.152721931212</v>
      </c>
      <c r="I186" s="201">
        <v>161.6968916734989</v>
      </c>
      <c r="J186" s="185">
        <v>336</v>
      </c>
      <c r="K186" s="185"/>
      <c r="L186" s="188"/>
      <c r="M186" s="16">
        <f t="shared" si="21"/>
        <v>52350314.526811399</v>
      </c>
      <c r="N186" s="50"/>
      <c r="O186" s="103"/>
      <c r="P186" s="5"/>
      <c r="Q186" s="350">
        <f t="shared" si="22"/>
        <v>-439302.35075063654</v>
      </c>
    </row>
    <row r="187" spans="1:17" x14ac:dyDescent="0.25">
      <c r="A187" s="202">
        <f t="shared" si="15"/>
        <v>43251</v>
      </c>
      <c r="B187" s="172"/>
      <c r="C187" s="230">
        <f t="shared" si="20"/>
        <v>232.2</v>
      </c>
      <c r="D187" s="230">
        <f t="shared" si="18"/>
        <v>3.9</v>
      </c>
      <c r="E187" s="171">
        <v>1</v>
      </c>
      <c r="F187" s="185">
        <v>31</v>
      </c>
      <c r="G187" s="16">
        <f>'CDM Activity'!H169</f>
        <v>3163695.694125514</v>
      </c>
      <c r="H187" s="296">
        <f>H175*'Rate Class Customer Model'!$J$19</f>
        <v>33579.152721931212</v>
      </c>
      <c r="I187" s="201">
        <v>162.02996079568879</v>
      </c>
      <c r="J187" s="185">
        <v>336</v>
      </c>
      <c r="K187" s="185"/>
      <c r="L187" s="188"/>
      <c r="M187" s="16">
        <f t="shared" si="21"/>
        <v>46762068.981267743</v>
      </c>
      <c r="N187" s="50"/>
      <c r="O187" s="103"/>
      <c r="P187" s="5"/>
      <c r="Q187" s="350">
        <f t="shared" si="22"/>
        <v>-439302.35075063654</v>
      </c>
    </row>
    <row r="188" spans="1:17" x14ac:dyDescent="0.25">
      <c r="A188" s="202">
        <f t="shared" si="15"/>
        <v>43281</v>
      </c>
      <c r="B188" s="172"/>
      <c r="C188" s="230">
        <f t="shared" si="20"/>
        <v>101.74</v>
      </c>
      <c r="D188" s="230">
        <f t="shared" si="18"/>
        <v>9.5400000000000009</v>
      </c>
      <c r="E188" s="171">
        <v>0</v>
      </c>
      <c r="F188" s="185">
        <v>30</v>
      </c>
      <c r="G188" s="16">
        <f>'CDM Activity'!H170</f>
        <v>3182151.3251422732</v>
      </c>
      <c r="H188" s="296">
        <f>H176*'Rate Class Customer Model'!$J$19</f>
        <v>33579.152721931212</v>
      </c>
      <c r="I188" s="201">
        <v>162.36371598573695</v>
      </c>
      <c r="J188" s="185">
        <v>352</v>
      </c>
      <c r="K188" s="185"/>
      <c r="L188" s="188"/>
      <c r="M188" s="16">
        <f t="shared" si="21"/>
        <v>43176954.343929023</v>
      </c>
      <c r="N188" s="50"/>
      <c r="O188" s="103"/>
      <c r="P188" s="5"/>
      <c r="Q188" s="350">
        <f t="shared" si="22"/>
        <v>-439302.35075063654</v>
      </c>
    </row>
    <row r="189" spans="1:17" x14ac:dyDescent="0.25">
      <c r="A189" s="202">
        <f t="shared" si="15"/>
        <v>43312</v>
      </c>
      <c r="B189" s="172"/>
      <c r="C189" s="230">
        <f t="shared" si="20"/>
        <v>40.76</v>
      </c>
      <c r="D189" s="230">
        <f t="shared" si="18"/>
        <v>36.08</v>
      </c>
      <c r="E189" s="171">
        <v>0</v>
      </c>
      <c r="F189" s="185">
        <v>31</v>
      </c>
      <c r="G189" s="16">
        <f>'CDM Activity'!H171</f>
        <v>3200606.9561590324</v>
      </c>
      <c r="H189" s="296">
        <f>H177*'Rate Class Customer Model'!$J$19</f>
        <v>33613.251377702843</v>
      </c>
      <c r="I189" s="201">
        <v>162.6981586568308</v>
      </c>
      <c r="J189" s="185">
        <v>320</v>
      </c>
      <c r="K189" s="185"/>
      <c r="L189" s="188"/>
      <c r="M189" s="16">
        <f t="shared" si="21"/>
        <v>44760460.618681028</v>
      </c>
      <c r="N189" s="50"/>
      <c r="O189" s="103"/>
      <c r="P189" s="5"/>
      <c r="Q189" s="350">
        <f t="shared" si="22"/>
        <v>-439302.35075063654</v>
      </c>
    </row>
    <row r="190" spans="1:17" x14ac:dyDescent="0.25">
      <c r="A190" s="202">
        <f t="shared" si="15"/>
        <v>43343</v>
      </c>
      <c r="B190" s="172"/>
      <c r="C190" s="230">
        <f t="shared" si="20"/>
        <v>42.029999999999994</v>
      </c>
      <c r="D190" s="230">
        <f t="shared" si="18"/>
        <v>33.799999999999997</v>
      </c>
      <c r="E190" s="171">
        <v>0</v>
      </c>
      <c r="F190" s="185">
        <v>31</v>
      </c>
      <c r="G190" s="16">
        <f>'CDM Activity'!H172</f>
        <v>3219062.5871757916</v>
      </c>
      <c r="H190" s="296">
        <f>H178*'Rate Class Customer Model'!$J$19</f>
        <v>33613.251377702843</v>
      </c>
      <c r="I190" s="201">
        <v>163.03329022506875</v>
      </c>
      <c r="J190" s="185">
        <v>352</v>
      </c>
      <c r="K190" s="185"/>
      <c r="L190" s="188"/>
      <c r="M190" s="16">
        <f t="shared" si="21"/>
        <v>44563626.155671209</v>
      </c>
      <c r="N190" s="50"/>
      <c r="O190" s="103"/>
      <c r="P190" s="5"/>
      <c r="Q190" s="350">
        <f t="shared" si="22"/>
        <v>-439302.35075063654</v>
      </c>
    </row>
    <row r="191" spans="1:17" x14ac:dyDescent="0.25">
      <c r="A191" s="202">
        <f t="shared" si="15"/>
        <v>43373</v>
      </c>
      <c r="B191" s="172"/>
      <c r="C191" s="230">
        <f t="shared" si="20"/>
        <v>129.35999999999996</v>
      </c>
      <c r="D191" s="230">
        <f t="shared" si="18"/>
        <v>11.579999999999998</v>
      </c>
      <c r="E191" s="171">
        <v>1</v>
      </c>
      <c r="F191" s="185">
        <v>30</v>
      </c>
      <c r="G191" s="16">
        <f>'CDM Activity'!H173</f>
        <v>3237518.2181925508</v>
      </c>
      <c r="H191" s="296">
        <f>H179*'Rate Class Customer Model'!$J$19</f>
        <v>33613.251377702843</v>
      </c>
      <c r="I191" s="201">
        <v>163.36911210946616</v>
      </c>
      <c r="J191" s="185">
        <v>336</v>
      </c>
      <c r="K191" s="185"/>
      <c r="L191" s="188"/>
      <c r="M191" s="16">
        <f t="shared" si="21"/>
        <v>41389338.044692442</v>
      </c>
      <c r="N191" s="50"/>
      <c r="O191" s="103"/>
      <c r="P191" s="5"/>
      <c r="Q191" s="350">
        <f t="shared" si="22"/>
        <v>-439302.35075063654</v>
      </c>
    </row>
    <row r="192" spans="1:17" x14ac:dyDescent="0.25">
      <c r="A192" s="202">
        <f t="shared" si="15"/>
        <v>43404</v>
      </c>
      <c r="B192" s="172"/>
      <c r="C192" s="230">
        <f t="shared" si="20"/>
        <v>306.13000000000005</v>
      </c>
      <c r="D192" s="230">
        <f t="shared" si="18"/>
        <v>0.46999999999999992</v>
      </c>
      <c r="E192" s="171">
        <v>1</v>
      </c>
      <c r="F192" s="185">
        <v>31</v>
      </c>
      <c r="G192" s="16">
        <f>'CDM Activity'!H174</f>
        <v>3255973.84920931</v>
      </c>
      <c r="H192" s="296">
        <f>H180*'Rate Class Customer Model'!$J$19</f>
        <v>33702.50962369328</v>
      </c>
      <c r="I192" s="201">
        <v>163.70562573196125</v>
      </c>
      <c r="J192" s="185">
        <v>320</v>
      </c>
      <c r="K192" s="185"/>
      <c r="L192" s="188"/>
      <c r="M192" s="16">
        <f t="shared" si="21"/>
        <v>49340776.498942636</v>
      </c>
      <c r="N192" s="50"/>
      <c r="O192" s="103"/>
      <c r="P192" s="5"/>
      <c r="Q192" s="350">
        <f t="shared" si="22"/>
        <v>-439302.35075063654</v>
      </c>
    </row>
    <row r="193" spans="1:17" x14ac:dyDescent="0.25">
      <c r="A193" s="202">
        <f t="shared" si="15"/>
        <v>43434</v>
      </c>
      <c r="B193" s="172"/>
      <c r="C193" s="230">
        <f t="shared" si="20"/>
        <v>480.06200000000001</v>
      </c>
      <c r="D193" s="230">
        <f t="shared" si="18"/>
        <v>0</v>
      </c>
      <c r="E193" s="171">
        <v>1</v>
      </c>
      <c r="F193" s="185">
        <v>30</v>
      </c>
      <c r="G193" s="16">
        <f>'CDM Activity'!H175</f>
        <v>3274429.4802260692</v>
      </c>
      <c r="H193" s="296">
        <f>H181*'Rate Class Customer Model'!$J$19</f>
        <v>33702.50962369328</v>
      </c>
      <c r="I193" s="201">
        <v>164.04283251742123</v>
      </c>
      <c r="J193" s="185">
        <v>336</v>
      </c>
      <c r="K193" s="185"/>
      <c r="L193" s="188"/>
      <c r="M193" s="16">
        <f t="shared" si="21"/>
        <v>54260852.247752756</v>
      </c>
      <c r="N193" s="50"/>
      <c r="O193" s="103"/>
      <c r="P193" s="5"/>
      <c r="Q193" s="350">
        <f t="shared" si="22"/>
        <v>-439302.35075063654</v>
      </c>
    </row>
    <row r="194" spans="1:17" x14ac:dyDescent="0.25">
      <c r="A194" s="202">
        <f t="shared" si="15"/>
        <v>43465</v>
      </c>
      <c r="B194" s="172"/>
      <c r="C194" s="230">
        <f t="shared" si="20"/>
        <v>702.73800000000017</v>
      </c>
      <c r="D194" s="230">
        <f t="shared" si="20"/>
        <v>0</v>
      </c>
      <c r="E194" s="171">
        <v>0</v>
      </c>
      <c r="F194" s="185">
        <v>31</v>
      </c>
      <c r="G194" s="16">
        <f>'CDM Activity'!H176</f>
        <v>3292885.1112428284</v>
      </c>
      <c r="H194" s="296">
        <f>H182*'Rate Class Customer Model'!$J$19</f>
        <v>33702.50962369328</v>
      </c>
      <c r="I194" s="201">
        <v>163.7392481028441</v>
      </c>
      <c r="J194" s="185">
        <v>336</v>
      </c>
      <c r="K194" s="185"/>
      <c r="L194" s="188"/>
      <c r="M194" s="16">
        <f t="shared" si="21"/>
        <v>67652962.037914559</v>
      </c>
      <c r="N194" s="50"/>
      <c r="O194" s="103"/>
      <c r="P194" s="5"/>
      <c r="Q194" s="350">
        <f t="shared" si="22"/>
        <v>-439302.35075063654</v>
      </c>
    </row>
    <row r="195" spans="1:17" x14ac:dyDescent="0.25">
      <c r="A195" s="51"/>
      <c r="B195" s="199"/>
      <c r="C195" s="185"/>
      <c r="D195" s="185"/>
      <c r="E195" s="185"/>
      <c r="F195" s="184"/>
      <c r="G195" s="16"/>
      <c r="H195" s="32"/>
      <c r="I195" s="185"/>
      <c r="J195" s="185"/>
      <c r="K195" s="185"/>
      <c r="L195" s="188"/>
      <c r="M195" s="16"/>
      <c r="N195" s="50"/>
      <c r="O195" s="103"/>
    </row>
    <row r="196" spans="1:17" x14ac:dyDescent="0.25">
      <c r="A196" s="51"/>
      <c r="B196" s="199"/>
      <c r="C196" s="185"/>
      <c r="D196" s="185"/>
      <c r="E196" s="185"/>
      <c r="F196" s="184"/>
      <c r="G196" s="16"/>
      <c r="H196" s="32"/>
      <c r="I196" s="185"/>
      <c r="J196" s="185"/>
      <c r="K196" s="185"/>
      <c r="L196" s="188"/>
      <c r="M196" s="16"/>
    </row>
    <row r="197" spans="1:17" x14ac:dyDescent="0.25">
      <c r="A197" s="51"/>
      <c r="E197" s="10"/>
      <c r="J197" s="16"/>
    </row>
    <row r="198" spans="1:17" x14ac:dyDescent="0.25">
      <c r="A198" s="51"/>
      <c r="C198" s="17"/>
      <c r="D198" s="56" t="s">
        <v>67</v>
      </c>
      <c r="E198" s="10"/>
      <c r="G198" s="106">
        <f>SUM(G3:G197)</f>
        <v>207008466.14900261</v>
      </c>
      <c r="J198" s="16"/>
      <c r="M198" s="50">
        <f>SUM(M3:M194)</f>
        <v>11473818734.400274</v>
      </c>
      <c r="N198" s="50"/>
    </row>
    <row r="199" spans="1:17" x14ac:dyDescent="0.25">
      <c r="A199" s="51"/>
      <c r="E199" s="10"/>
      <c r="J199" s="16"/>
    </row>
    <row r="200" spans="1:17" x14ac:dyDescent="0.25">
      <c r="A200" s="52">
        <v>2003</v>
      </c>
      <c r="B200" s="160">
        <f>SUM(B3:B14)</f>
        <v>755126020</v>
      </c>
      <c r="E200" s="10"/>
      <c r="J200" s="16"/>
      <c r="M200" s="160">
        <f>SUM(M3:M14)</f>
        <v>740140539.30718362</v>
      </c>
      <c r="N200" s="37"/>
      <c r="O200" s="5"/>
      <c r="P200" s="5"/>
      <c r="Q200" s="5"/>
    </row>
    <row r="201" spans="1:17" x14ac:dyDescent="0.25">
      <c r="A201" s="41">
        <v>2004</v>
      </c>
      <c r="B201" s="160">
        <f>SUM(B15:B26)</f>
        <v>757685752</v>
      </c>
      <c r="E201" s="10"/>
      <c r="J201" s="16"/>
      <c r="M201" s="160">
        <f>SUM(M15:M26)</f>
        <v>742993480.27515411</v>
      </c>
      <c r="N201" s="37"/>
      <c r="O201" s="5"/>
      <c r="P201" s="5"/>
      <c r="Q201" s="5"/>
    </row>
    <row r="202" spans="1:17" x14ac:dyDescent="0.25">
      <c r="A202" s="52">
        <v>2005</v>
      </c>
      <c r="B202" s="160">
        <f>SUM(B27:B38)</f>
        <v>749219032</v>
      </c>
      <c r="E202" s="10"/>
      <c r="J202" s="16"/>
      <c r="M202" s="160">
        <f>SUM(M27:M38)</f>
        <v>744300278.18189192</v>
      </c>
      <c r="N202" s="37"/>
      <c r="O202" s="5"/>
      <c r="P202" s="5"/>
      <c r="Q202" s="5"/>
    </row>
    <row r="203" spans="1:17" x14ac:dyDescent="0.25">
      <c r="A203" s="41">
        <v>2006</v>
      </c>
      <c r="B203" s="160">
        <f>SUM(B39:B50)</f>
        <v>728093333</v>
      </c>
      <c r="E203" s="10"/>
      <c r="J203" s="16"/>
      <c r="M203" s="160">
        <f>SUM(M39:M50)</f>
        <v>741222515.52596164</v>
      </c>
      <c r="N203" s="37"/>
      <c r="O203" s="5"/>
      <c r="P203" s="5"/>
      <c r="Q203" s="5"/>
    </row>
    <row r="204" spans="1:17" x14ac:dyDescent="0.25">
      <c r="A204" s="52">
        <v>2007</v>
      </c>
      <c r="B204" s="160">
        <f>SUM(B51:B62)</f>
        <v>738093576</v>
      </c>
      <c r="M204" s="160">
        <f>SUM(M51:M62)</f>
        <v>731482782.66376162</v>
      </c>
      <c r="N204" s="37"/>
      <c r="O204" s="5"/>
      <c r="P204" s="5"/>
      <c r="Q204" s="5"/>
    </row>
    <row r="205" spans="1:17" x14ac:dyDescent="0.25">
      <c r="A205" s="41">
        <v>2008</v>
      </c>
      <c r="B205" s="160">
        <f>SUM(B63:B74)</f>
        <v>740966486</v>
      </c>
      <c r="M205" s="160">
        <f>SUM(M63:M74)</f>
        <v>731266132.92383766</v>
      </c>
      <c r="N205" s="37"/>
      <c r="O205" s="5"/>
      <c r="P205" s="5"/>
      <c r="Q205" s="5"/>
    </row>
    <row r="206" spans="1:17" x14ac:dyDescent="0.25">
      <c r="A206" s="52">
        <v>2009</v>
      </c>
      <c r="B206" s="160">
        <f>SUM(B75:B86)</f>
        <v>732869984</v>
      </c>
      <c r="M206" s="160">
        <f>SUM(M75:M86)</f>
        <v>728740148.69092798</v>
      </c>
      <c r="N206" s="37"/>
      <c r="O206" s="5"/>
      <c r="P206" s="5"/>
      <c r="Q206" s="5"/>
    </row>
    <row r="207" spans="1:17" x14ac:dyDescent="0.25">
      <c r="A207" s="41">
        <v>2010</v>
      </c>
      <c r="B207" s="160">
        <f>SUM(B87:B98)</f>
        <v>714199062</v>
      </c>
      <c r="M207" s="160">
        <f>SUM(M87:M98)</f>
        <v>737443268.29944968</v>
      </c>
      <c r="N207" s="37"/>
      <c r="O207" s="5"/>
      <c r="P207" s="5"/>
      <c r="Q207" s="5"/>
    </row>
    <row r="208" spans="1:17" x14ac:dyDescent="0.25">
      <c r="A208" s="52">
        <v>2011</v>
      </c>
      <c r="B208" s="160">
        <f>SUM(B99:B110)</f>
        <v>745049194</v>
      </c>
      <c r="M208" s="199">
        <f>SUM(M99:M110)</f>
        <v>734327136.47011805</v>
      </c>
      <c r="N208" s="37"/>
      <c r="O208" s="5"/>
      <c r="P208" s="5"/>
      <c r="Q208" s="5"/>
    </row>
    <row r="209" spans="1:18" x14ac:dyDescent="0.25">
      <c r="A209" s="41">
        <v>2012</v>
      </c>
      <c r="B209" s="160">
        <f>SUM(B111:B122)</f>
        <v>706953513</v>
      </c>
      <c r="M209" s="199">
        <f>SUM(M111:M122)</f>
        <v>726505955.17537093</v>
      </c>
      <c r="N209" s="37"/>
      <c r="O209" s="5"/>
      <c r="P209" s="5"/>
      <c r="Q209" s="5"/>
    </row>
    <row r="210" spans="1:18" x14ac:dyDescent="0.25">
      <c r="A210" s="52">
        <v>2013</v>
      </c>
      <c r="B210" s="160">
        <f>SUM(B123:B134)</f>
        <v>730568311</v>
      </c>
      <c r="M210" s="160">
        <f>SUM(M123:M134)</f>
        <v>724442600.43860388</v>
      </c>
      <c r="N210" s="37"/>
      <c r="O210" s="5"/>
      <c r="P210" s="5"/>
      <c r="Q210" s="5"/>
    </row>
    <row r="211" spans="1:18" x14ac:dyDescent="0.25">
      <c r="A211" s="41">
        <v>2014</v>
      </c>
      <c r="B211" s="160">
        <f>SUM(B135:B146)</f>
        <v>730490284.99000001</v>
      </c>
      <c r="M211" s="160">
        <f>SUM(M135:M146)</f>
        <v>707951305.6319896</v>
      </c>
      <c r="N211" s="37"/>
      <c r="O211" s="5"/>
      <c r="P211" s="5"/>
      <c r="Q211" s="5"/>
    </row>
    <row r="212" spans="1:18" x14ac:dyDescent="0.25">
      <c r="A212" s="52">
        <v>2015</v>
      </c>
      <c r="B212" s="160">
        <f>SUM(B147:B158)</f>
        <v>698517377.1099999</v>
      </c>
      <c r="M212" s="160">
        <f>SUM(M147:M158)</f>
        <v>700433487.192397</v>
      </c>
      <c r="N212" s="37"/>
      <c r="O212" s="5"/>
      <c r="P212" s="5"/>
      <c r="Q212" s="160"/>
    </row>
    <row r="213" spans="1:18" x14ac:dyDescent="0.25">
      <c r="A213" s="41">
        <v>2016</v>
      </c>
      <c r="B213" s="160">
        <f>SUM(B159:B170)</f>
        <v>669958461.73000014</v>
      </c>
      <c r="M213" s="160">
        <f>SUM(M159:M170)</f>
        <v>678231397.87291968</v>
      </c>
      <c r="N213" s="37"/>
      <c r="O213" s="5"/>
      <c r="P213" s="5"/>
      <c r="Q213" s="160"/>
    </row>
    <row r="214" spans="1:18" x14ac:dyDescent="0.25">
      <c r="A214" s="41">
        <v>2017</v>
      </c>
      <c r="B214" s="160">
        <f>SUM(B171:B182)</f>
        <v>652970473</v>
      </c>
      <c r="M214" s="160">
        <f>SUM(M171:M182)</f>
        <v>658256895.48088109</v>
      </c>
      <c r="N214" s="37"/>
      <c r="O214" s="5"/>
      <c r="P214" s="5"/>
      <c r="Q214" s="160"/>
    </row>
    <row r="215" spans="1:18" x14ac:dyDescent="0.25">
      <c r="A215" s="41">
        <v>2018</v>
      </c>
      <c r="B215" s="160">
        <f>SUM(B183:B194)</f>
        <v>0</v>
      </c>
      <c r="M215" s="160">
        <f>SUM(M183:M194)</f>
        <v>646080810.26982498</v>
      </c>
      <c r="N215" s="37"/>
      <c r="O215" s="5"/>
      <c r="P215" s="5"/>
      <c r="Q215" s="160"/>
    </row>
    <row r="216" spans="1:18" x14ac:dyDescent="0.25">
      <c r="M216" s="160"/>
    </row>
    <row r="217" spans="1:18" x14ac:dyDescent="0.25">
      <c r="A217"/>
      <c r="B217"/>
      <c r="C217"/>
      <c r="D217"/>
      <c r="E217"/>
      <c r="F217"/>
      <c r="G217" s="32"/>
      <c r="H217"/>
      <c r="I217"/>
      <c r="J217"/>
      <c r="K217"/>
      <c r="L217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 s="32"/>
      <c r="H218"/>
      <c r="I218"/>
      <c r="J218"/>
      <c r="K218"/>
      <c r="L218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 s="32"/>
      <c r="H219"/>
      <c r="I219"/>
      <c r="J219"/>
      <c r="K219"/>
      <c r="L2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 s="32"/>
      <c r="H220"/>
      <c r="I220"/>
      <c r="J220"/>
      <c r="K220"/>
      <c r="L2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 s="32"/>
      <c r="H221"/>
      <c r="I221"/>
      <c r="J221"/>
      <c r="K221"/>
      <c r="L221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 s="32"/>
      <c r="H222"/>
      <c r="I222"/>
      <c r="J222"/>
      <c r="K222"/>
      <c r="L222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 s="32"/>
      <c r="H223"/>
      <c r="I223"/>
      <c r="J223"/>
      <c r="K223"/>
      <c r="L223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 s="32"/>
      <c r="H224"/>
      <c r="I224"/>
      <c r="J224"/>
      <c r="K224"/>
      <c r="L224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 s="32"/>
      <c r="H225"/>
      <c r="I225"/>
      <c r="J225"/>
      <c r="K225"/>
      <c r="L225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 s="32"/>
      <c r="H226"/>
      <c r="I226"/>
      <c r="J226"/>
      <c r="K226"/>
      <c r="L226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 s="32"/>
      <c r="H227"/>
      <c r="I227"/>
      <c r="J227"/>
      <c r="K227"/>
      <c r="L227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 s="32"/>
      <c r="H228"/>
      <c r="I228"/>
      <c r="J228"/>
      <c r="K228"/>
      <c r="L228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 s="32"/>
      <c r="H229"/>
      <c r="I229"/>
      <c r="J229"/>
      <c r="K229"/>
      <c r="L22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 s="32"/>
      <c r="H230"/>
      <c r="I230"/>
      <c r="J230"/>
      <c r="K230"/>
      <c r="L23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 s="32"/>
      <c r="H231"/>
      <c r="I231"/>
      <c r="J231"/>
      <c r="K231"/>
      <c r="L231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 s="32"/>
      <c r="H232"/>
      <c r="I232"/>
      <c r="J232"/>
      <c r="K232"/>
      <c r="L232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 s="32"/>
      <c r="H233"/>
      <c r="I233"/>
      <c r="J233"/>
      <c r="K233"/>
      <c r="L233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 s="32"/>
      <c r="H234"/>
      <c r="I234"/>
      <c r="J234"/>
      <c r="K234"/>
      <c r="L234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 s="32"/>
      <c r="H235"/>
      <c r="I235"/>
      <c r="J235"/>
      <c r="K235"/>
      <c r="L235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 s="32"/>
      <c r="H236"/>
      <c r="I236"/>
      <c r="J236"/>
      <c r="K236"/>
      <c r="L236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 s="32"/>
      <c r="H237"/>
      <c r="I237"/>
      <c r="J237"/>
      <c r="K237"/>
      <c r="L237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 s="32"/>
      <c r="H238"/>
      <c r="I238"/>
      <c r="J238"/>
      <c r="K238"/>
      <c r="L238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 s="32"/>
      <c r="H239"/>
      <c r="I239"/>
      <c r="J239"/>
      <c r="K239"/>
      <c r="L23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 s="32"/>
      <c r="H240"/>
      <c r="I240"/>
      <c r="J240"/>
      <c r="K240"/>
      <c r="L24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 s="32"/>
      <c r="H241"/>
      <c r="I241"/>
      <c r="J241"/>
      <c r="K241"/>
      <c r="L241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 s="32"/>
      <c r="H242"/>
      <c r="I242"/>
      <c r="J242"/>
      <c r="K242"/>
      <c r="L242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 s="32"/>
      <c r="H243"/>
      <c r="I243"/>
      <c r="J243"/>
      <c r="K243"/>
      <c r="L243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 s="32"/>
      <c r="H244"/>
      <c r="I244"/>
      <c r="J244"/>
      <c r="K244"/>
      <c r="L244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 s="32"/>
      <c r="H245"/>
      <c r="I245"/>
      <c r="J245"/>
      <c r="K245"/>
      <c r="L245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 s="32"/>
      <c r="H246"/>
      <c r="I246"/>
      <c r="J246"/>
      <c r="K246"/>
      <c r="L246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 s="32"/>
      <c r="H247"/>
      <c r="I247"/>
      <c r="J247"/>
      <c r="K247"/>
      <c r="L247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 s="32"/>
      <c r="H248"/>
      <c r="I248"/>
      <c r="J248"/>
      <c r="K248"/>
      <c r="L248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 s="32"/>
      <c r="H249"/>
      <c r="I249"/>
      <c r="J249"/>
      <c r="K249"/>
      <c r="L24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 s="32"/>
      <c r="H250"/>
      <c r="I250"/>
      <c r="J250"/>
      <c r="K250"/>
      <c r="L25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 s="32"/>
      <c r="H251"/>
      <c r="I251"/>
      <c r="J251"/>
      <c r="K251"/>
      <c r="L251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 s="32"/>
      <c r="H252"/>
      <c r="I252"/>
      <c r="J252"/>
      <c r="K252"/>
      <c r="L252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 s="32"/>
      <c r="H253"/>
      <c r="I253"/>
      <c r="J253"/>
      <c r="K253"/>
      <c r="L253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 s="32"/>
      <c r="H254"/>
      <c r="I254"/>
      <c r="J254"/>
      <c r="K254"/>
      <c r="L254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 s="32"/>
      <c r="H255"/>
      <c r="I255"/>
      <c r="J255"/>
      <c r="K255"/>
      <c r="L255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 s="32"/>
      <c r="H256"/>
      <c r="I256"/>
      <c r="J256"/>
      <c r="K256"/>
      <c r="L256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 s="32"/>
      <c r="H257"/>
      <c r="I257"/>
      <c r="J257"/>
      <c r="K257"/>
      <c r="L257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 s="32"/>
      <c r="H258"/>
      <c r="I258"/>
      <c r="J258"/>
      <c r="K258"/>
      <c r="L258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 s="32"/>
      <c r="H259"/>
      <c r="I259"/>
      <c r="J259"/>
      <c r="K259"/>
      <c r="L25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 s="32"/>
      <c r="H260"/>
      <c r="I260"/>
      <c r="J260"/>
      <c r="K260"/>
      <c r="L26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 s="32"/>
      <c r="H261"/>
      <c r="I261"/>
      <c r="J261"/>
      <c r="K261"/>
      <c r="L261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 s="32"/>
      <c r="H262"/>
      <c r="I262"/>
      <c r="J262"/>
      <c r="K262"/>
      <c r="L262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 s="32"/>
      <c r="H263"/>
      <c r="I263"/>
      <c r="J263"/>
      <c r="K263"/>
      <c r="L263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 s="32"/>
      <c r="H264"/>
      <c r="I264"/>
      <c r="J264"/>
      <c r="K264"/>
      <c r="L264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 s="32"/>
      <c r="H265"/>
      <c r="I265"/>
      <c r="J265"/>
      <c r="K265"/>
      <c r="L265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 s="32"/>
      <c r="H266"/>
      <c r="I266"/>
      <c r="J266"/>
      <c r="K266"/>
      <c r="L266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 s="32"/>
      <c r="H267"/>
      <c r="I267"/>
      <c r="J267"/>
      <c r="K267"/>
      <c r="L267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 s="32"/>
      <c r="H268"/>
      <c r="I268"/>
      <c r="J268"/>
      <c r="K268"/>
      <c r="L268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 s="32"/>
      <c r="H269"/>
      <c r="I269"/>
      <c r="J269"/>
      <c r="K269"/>
      <c r="L26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 s="32"/>
      <c r="H270"/>
      <c r="I270"/>
      <c r="J270"/>
      <c r="K270"/>
      <c r="L27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 s="32"/>
      <c r="H271"/>
      <c r="I271"/>
      <c r="J271"/>
      <c r="K271"/>
      <c r="L271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 s="32"/>
      <c r="H272"/>
      <c r="I272"/>
      <c r="J272"/>
      <c r="K272"/>
      <c r="L272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 s="32"/>
      <c r="H273"/>
      <c r="I273"/>
      <c r="J273"/>
      <c r="K273"/>
      <c r="L273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 s="32"/>
      <c r="H274"/>
      <c r="I274"/>
      <c r="J274"/>
      <c r="K274"/>
      <c r="L274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 s="32"/>
      <c r="H275"/>
      <c r="I275"/>
      <c r="J275"/>
      <c r="K275"/>
      <c r="L275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 s="32"/>
      <c r="H276"/>
      <c r="I276"/>
      <c r="J276"/>
      <c r="K276"/>
      <c r="L276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 s="32"/>
      <c r="H277"/>
      <c r="I277"/>
      <c r="J277"/>
      <c r="K277"/>
      <c r="L277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 s="32"/>
      <c r="H278"/>
      <c r="I278"/>
      <c r="J278"/>
      <c r="K278"/>
      <c r="L278"/>
      <c r="M278"/>
      <c r="N278"/>
      <c r="O278"/>
      <c r="P278"/>
      <c r="Q278"/>
      <c r="R278"/>
    </row>
    <row r="280" spans="1:18" x14ac:dyDescent="0.25">
      <c r="R280" s="17"/>
    </row>
  </sheetData>
  <dataConsolidate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86"/>
  <sheetViews>
    <sheetView zoomScale="80" zoomScaleNormal="80" workbookViewId="0">
      <pane xSplit="1" ySplit="2" topLeftCell="B63" activePane="bottomRight" state="frozen"/>
      <selection activeCell="M35" sqref="M35"/>
      <selection pane="topRight" activeCell="M35" sqref="M35"/>
      <selection pane="bottomLeft" activeCell="M35" sqref="M35"/>
      <selection pane="bottomRight" activeCell="F29" sqref="F29"/>
    </sheetView>
  </sheetViews>
  <sheetFormatPr defaultRowHeight="13.2" x14ac:dyDescent="0.25"/>
  <cols>
    <col min="1" max="1" width="28.5546875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6640625" style="6" customWidth="1"/>
    <col min="12" max="13" width="12.5546875" style="6" customWidth="1"/>
    <col min="14" max="14" width="12.6640625" style="6" bestFit="1" customWidth="1"/>
    <col min="15" max="15" width="11.6640625" style="6" bestFit="1" customWidth="1"/>
    <col min="16" max="16" width="10.6640625" style="6" bestFit="1" customWidth="1"/>
    <col min="17" max="17" width="10.109375" style="6" bestFit="1" customWidth="1"/>
    <col min="18" max="18" width="11.109375" style="6" bestFit="1" customWidth="1"/>
    <col min="19" max="19" width="10.5546875" bestFit="1" customWidth="1"/>
    <col min="20" max="20" width="11" customWidth="1"/>
  </cols>
  <sheetData>
    <row r="2" spans="1:18" ht="40.799999999999997" x14ac:dyDescent="0.3">
      <c r="B2" s="2" t="s">
        <v>9</v>
      </c>
      <c r="C2" s="2" t="s">
        <v>10</v>
      </c>
      <c r="D2" s="2" t="s">
        <v>44</v>
      </c>
      <c r="E2" s="2" t="s">
        <v>11</v>
      </c>
      <c r="F2" s="2" t="s">
        <v>0</v>
      </c>
      <c r="G2" s="7" t="s">
        <v>3</v>
      </c>
      <c r="H2" s="49" t="s">
        <v>139</v>
      </c>
      <c r="I2" s="113" t="s">
        <v>289</v>
      </c>
      <c r="J2" s="113" t="s">
        <v>319</v>
      </c>
      <c r="K2" s="162" t="s">
        <v>141</v>
      </c>
      <c r="L2" s="113" t="s">
        <v>66</v>
      </c>
      <c r="M2" s="113" t="s">
        <v>140</v>
      </c>
      <c r="O2" s="117"/>
    </row>
    <row r="4" spans="1:18" x14ac:dyDescent="0.25">
      <c r="A4" s="17"/>
      <c r="B4" s="41" t="s">
        <v>138</v>
      </c>
    </row>
    <row r="5" spans="1:18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5">
      <c r="B7" s="6"/>
      <c r="C7" s="6"/>
      <c r="D7" s="37"/>
      <c r="E7" s="5"/>
    </row>
    <row r="8" spans="1:18" x14ac:dyDescent="0.25">
      <c r="B8" s="6"/>
      <c r="C8" s="6"/>
      <c r="D8" s="37"/>
      <c r="E8" s="5"/>
    </row>
    <row r="9" spans="1:18" x14ac:dyDescent="0.25">
      <c r="B9" s="6"/>
      <c r="C9" s="6"/>
      <c r="D9" s="37"/>
      <c r="E9" s="5"/>
    </row>
    <row r="10" spans="1:18" x14ac:dyDescent="0.25">
      <c r="B10" s="6"/>
      <c r="C10" s="6"/>
      <c r="D10" s="37"/>
      <c r="E10" s="5"/>
      <c r="F10" s="24"/>
    </row>
    <row r="11" spans="1:18" x14ac:dyDescent="0.25">
      <c r="B11" s="6"/>
      <c r="C11" s="6"/>
      <c r="D11" s="37"/>
      <c r="E11" s="5"/>
      <c r="F11" s="24"/>
      <c r="G11" s="27"/>
    </row>
    <row r="12" spans="1:18" x14ac:dyDescent="0.25">
      <c r="A12">
        <f>'Purchased Power Model'!A200</f>
        <v>2003</v>
      </c>
      <c r="B12" s="6">
        <f>'Purchased Power Model'!B200</f>
        <v>755126020</v>
      </c>
      <c r="C12" s="6">
        <f>'Purchased Power Model'!M200</f>
        <v>755606395.31945324</v>
      </c>
      <c r="D12" s="37">
        <f t="shared" ref="D12:D24" si="0">C12-B12</f>
        <v>480375.31945323944</v>
      </c>
      <c r="E12" s="5">
        <f t="shared" ref="E12:E23" si="1">D12/B12</f>
        <v>6.3615251856006692E-4</v>
      </c>
      <c r="F12" s="24">
        <f>1 +(B12-G12)/G12</f>
        <v>1.0498270745113163</v>
      </c>
      <c r="G12" s="27">
        <f>SUM(H12:M12)</f>
        <v>719286098</v>
      </c>
      <c r="H12" s="195">
        <v>351037890</v>
      </c>
      <c r="I12" s="196">
        <v>96164282</v>
      </c>
      <c r="J12" s="196">
        <v>263763186</v>
      </c>
      <c r="K12" s="197">
        <v>276562</v>
      </c>
      <c r="L12" s="197">
        <v>7192541</v>
      </c>
      <c r="M12" s="200">
        <v>851637</v>
      </c>
    </row>
    <row r="13" spans="1:18" x14ac:dyDescent="0.25">
      <c r="A13">
        <f>'Purchased Power Model'!A201</f>
        <v>2004</v>
      </c>
      <c r="B13" s="6">
        <f>'Purchased Power Model'!B201</f>
        <v>757685752</v>
      </c>
      <c r="C13" s="6">
        <f>'Purchased Power Model'!M201</f>
        <v>753123367.54559541</v>
      </c>
      <c r="D13" s="37">
        <f t="shared" si="0"/>
        <v>-4562384.4544045925</v>
      </c>
      <c r="E13" s="5">
        <f t="shared" si="1"/>
        <v>-6.021473206222561E-3</v>
      </c>
      <c r="F13" s="24">
        <f t="shared" ref="F13:F23" si="2">1 +(B13-G13)/G13</f>
        <v>1.0417672113986574</v>
      </c>
      <c r="G13" s="27">
        <f t="shared" ref="G13:G26" si="3">SUM(H13:M13)</f>
        <v>727308120</v>
      </c>
      <c r="H13" s="195">
        <v>356490492</v>
      </c>
      <c r="I13" s="196">
        <v>95721847</v>
      </c>
      <c r="J13" s="196">
        <v>266586772</v>
      </c>
      <c r="K13" s="197">
        <v>291228</v>
      </c>
      <c r="L13" s="197">
        <v>7375127</v>
      </c>
      <c r="M13" s="200">
        <v>842654</v>
      </c>
    </row>
    <row r="14" spans="1:18" x14ac:dyDescent="0.25">
      <c r="A14">
        <f>'Purchased Power Model'!A202</f>
        <v>2005</v>
      </c>
      <c r="B14" s="6">
        <f>'Purchased Power Model'!B202</f>
        <v>749219032</v>
      </c>
      <c r="C14" s="6">
        <f>'Purchased Power Model'!M202</f>
        <v>750481142.50597298</v>
      </c>
      <c r="D14" s="37">
        <f t="shared" si="0"/>
        <v>1262110.5059729815</v>
      </c>
      <c r="E14" s="5">
        <f t="shared" si="1"/>
        <v>1.684568133038272E-3</v>
      </c>
      <c r="F14" s="24">
        <f t="shared" si="2"/>
        <v>1.043794563850647</v>
      </c>
      <c r="G14" s="27">
        <f t="shared" si="3"/>
        <v>717783995</v>
      </c>
      <c r="H14" s="195">
        <v>347274259</v>
      </c>
      <c r="I14" s="196">
        <v>95591622</v>
      </c>
      <c r="J14" s="196">
        <v>266071754</v>
      </c>
      <c r="K14" s="197">
        <v>281406</v>
      </c>
      <c r="L14" s="197">
        <v>7719127</v>
      </c>
      <c r="M14" s="200">
        <v>845827</v>
      </c>
    </row>
    <row r="15" spans="1:18" x14ac:dyDescent="0.25">
      <c r="A15">
        <f>'Purchased Power Model'!A203</f>
        <v>2006</v>
      </c>
      <c r="B15" s="6">
        <f>'Purchased Power Model'!B203</f>
        <v>728093333</v>
      </c>
      <c r="C15" s="6">
        <f>'Purchased Power Model'!M203</f>
        <v>729078576.82526612</v>
      </c>
      <c r="D15" s="37">
        <f t="shared" si="0"/>
        <v>985243.82526612282</v>
      </c>
      <c r="E15" s="5">
        <f t="shared" si="1"/>
        <v>1.3531834184040286E-3</v>
      </c>
      <c r="F15" s="198">
        <f t="shared" si="2"/>
        <v>1.0443992487285263</v>
      </c>
      <c r="G15" s="199">
        <f t="shared" si="3"/>
        <v>697140805</v>
      </c>
      <c r="H15" s="195">
        <v>335395539</v>
      </c>
      <c r="I15" s="196">
        <v>86770873</v>
      </c>
      <c r="J15" s="196">
        <v>266238407</v>
      </c>
      <c r="K15" s="197">
        <v>274009</v>
      </c>
      <c r="L15" s="197">
        <v>7605824</v>
      </c>
      <c r="M15" s="200">
        <v>856153</v>
      </c>
    </row>
    <row r="16" spans="1:18" x14ac:dyDescent="0.25">
      <c r="A16">
        <f>'Purchased Power Model'!A204</f>
        <v>2007</v>
      </c>
      <c r="B16" s="6">
        <f>'Purchased Power Model'!B204</f>
        <v>738093576</v>
      </c>
      <c r="C16" s="6">
        <f>'Purchased Power Model'!M204</f>
        <v>734873049.45721519</v>
      </c>
      <c r="D16" s="37">
        <f t="shared" si="0"/>
        <v>-3220526.5427848101</v>
      </c>
      <c r="E16" s="5">
        <f t="shared" si="1"/>
        <v>-4.3633038513057184E-3</v>
      </c>
      <c r="F16" s="24">
        <f t="shared" si="2"/>
        <v>1.0517138274108369</v>
      </c>
      <c r="G16" s="27">
        <f t="shared" si="3"/>
        <v>701800772</v>
      </c>
      <c r="H16" s="195">
        <v>338874337</v>
      </c>
      <c r="I16" s="196">
        <v>94225468</v>
      </c>
      <c r="J16" s="196">
        <v>259930403</v>
      </c>
      <c r="K16" s="197">
        <v>269054</v>
      </c>
      <c r="L16" s="197">
        <v>7637528</v>
      </c>
      <c r="M16" s="200">
        <v>863982</v>
      </c>
    </row>
    <row r="17" spans="1:18" x14ac:dyDescent="0.25">
      <c r="A17">
        <f>'Purchased Power Model'!A205</f>
        <v>2008</v>
      </c>
      <c r="B17" s="6">
        <f>'Purchased Power Model'!B205</f>
        <v>740966486</v>
      </c>
      <c r="C17" s="6">
        <f>'Purchased Power Model'!M205</f>
        <v>741457853.42233407</v>
      </c>
      <c r="D17" s="37">
        <f t="shared" si="0"/>
        <v>491367.42233407497</v>
      </c>
      <c r="E17" s="5">
        <f t="shared" si="1"/>
        <v>6.6314392299529048E-4</v>
      </c>
      <c r="F17" s="24">
        <f>1 +(B17-G17)/G17</f>
        <v>1.0425888821121767</v>
      </c>
      <c r="G17" s="27">
        <f>SUM(H17:M17)</f>
        <v>710698626</v>
      </c>
      <c r="H17" s="195">
        <v>347363230</v>
      </c>
      <c r="I17" s="196">
        <v>93474158</v>
      </c>
      <c r="J17" s="196">
        <v>261123945</v>
      </c>
      <c r="K17" s="197">
        <v>268763</v>
      </c>
      <c r="L17" s="197">
        <v>7620205</v>
      </c>
      <c r="M17" s="200">
        <v>848325</v>
      </c>
    </row>
    <row r="18" spans="1:18" x14ac:dyDescent="0.25">
      <c r="A18">
        <f>'Purchased Power Model'!A206</f>
        <v>2009</v>
      </c>
      <c r="B18" s="6">
        <f>'Purchased Power Model'!B206</f>
        <v>732869984</v>
      </c>
      <c r="C18" s="6">
        <f>'Purchased Power Model'!M206</f>
        <v>738417077.78610682</v>
      </c>
      <c r="D18" s="37">
        <f t="shared" si="0"/>
        <v>5547093.7861068249</v>
      </c>
      <c r="E18" s="5">
        <f t="shared" si="1"/>
        <v>7.5690011969528617E-3</v>
      </c>
      <c r="F18" s="24">
        <f t="shared" si="2"/>
        <v>1.0354829336126383</v>
      </c>
      <c r="G18" s="27">
        <f t="shared" si="3"/>
        <v>707756700</v>
      </c>
      <c r="H18" s="195">
        <v>348619359</v>
      </c>
      <c r="I18" s="196">
        <v>91450221</v>
      </c>
      <c r="J18" s="196">
        <v>258998141</v>
      </c>
      <c r="K18" s="197">
        <v>262522</v>
      </c>
      <c r="L18" s="197">
        <v>7603009</v>
      </c>
      <c r="M18" s="200">
        <v>823448</v>
      </c>
    </row>
    <row r="19" spans="1:18" x14ac:dyDescent="0.25">
      <c r="A19">
        <f>'Purchased Power Model'!A207</f>
        <v>2010</v>
      </c>
      <c r="B19" s="6">
        <f>'Purchased Power Model'!B207</f>
        <v>714199062</v>
      </c>
      <c r="C19" s="6">
        <f>'Purchased Power Model'!M207</f>
        <v>729090573.03183043</v>
      </c>
      <c r="D19" s="37">
        <f t="shared" si="0"/>
        <v>14891511.03183043</v>
      </c>
      <c r="E19" s="5">
        <f t="shared" si="1"/>
        <v>2.085064490301785E-2</v>
      </c>
      <c r="F19" s="24">
        <f t="shared" si="2"/>
        <v>1.0445204387280596</v>
      </c>
      <c r="G19" s="27">
        <f t="shared" si="3"/>
        <v>683757862</v>
      </c>
      <c r="H19" s="195">
        <v>326493714</v>
      </c>
      <c r="I19" s="196">
        <v>91377364</v>
      </c>
      <c r="J19" s="196">
        <v>257036820</v>
      </c>
      <c r="K19" s="197">
        <v>258147</v>
      </c>
      <c r="L19" s="197">
        <v>7754588</v>
      </c>
      <c r="M19" s="200">
        <v>837229</v>
      </c>
    </row>
    <row r="20" spans="1:18" x14ac:dyDescent="0.25">
      <c r="A20">
        <f>'Purchased Power Model'!A208</f>
        <v>2011</v>
      </c>
      <c r="B20" s="6">
        <f>'Purchased Power Model'!B208</f>
        <v>745049194</v>
      </c>
      <c r="C20" s="27">
        <f>'Purchased Power Model'!M208</f>
        <v>734157347.45087898</v>
      </c>
      <c r="D20" s="37">
        <f t="shared" si="0"/>
        <v>-10891846.549121022</v>
      </c>
      <c r="E20" s="5">
        <f t="shared" si="1"/>
        <v>-1.4618962931353795E-2</v>
      </c>
      <c r="F20" s="24">
        <f t="shared" si="2"/>
        <v>1.0465217405234657</v>
      </c>
      <c r="G20" s="27">
        <f>SUM(H20:M20)</f>
        <v>711929017</v>
      </c>
      <c r="H20" s="195">
        <v>345282279</v>
      </c>
      <c r="I20" s="196">
        <v>101728299</v>
      </c>
      <c r="J20" s="196">
        <v>255968368</v>
      </c>
      <c r="K20" s="197">
        <v>260362</v>
      </c>
      <c r="L20" s="197">
        <v>7814836</v>
      </c>
      <c r="M20" s="200">
        <v>874873</v>
      </c>
    </row>
    <row r="21" spans="1:18" x14ac:dyDescent="0.25">
      <c r="A21">
        <f>'Purchased Power Model'!A209</f>
        <v>2012</v>
      </c>
      <c r="B21" s="199">
        <f>'Purchased Power Model'!B209</f>
        <v>706953513</v>
      </c>
      <c r="C21" s="27">
        <f>'Purchased Power Model'!M209</f>
        <v>694701033.39093661</v>
      </c>
      <c r="D21" s="37">
        <f t="shared" si="0"/>
        <v>-12252479.609063387</v>
      </c>
      <c r="E21" s="5">
        <f t="shared" si="1"/>
        <v>-1.7331379480765643E-2</v>
      </c>
      <c r="F21" s="24">
        <f t="shared" si="2"/>
        <v>1.0446059893380324</v>
      </c>
      <c r="G21" s="27">
        <f t="shared" si="3"/>
        <v>676765709</v>
      </c>
      <c r="H21" s="67">
        <v>316127645</v>
      </c>
      <c r="I21" s="67">
        <v>97479014</v>
      </c>
      <c r="J21" s="67">
        <v>254314087</v>
      </c>
      <c r="K21" s="67">
        <v>246512</v>
      </c>
      <c r="L21" s="67">
        <v>7736459</v>
      </c>
      <c r="M21" s="67">
        <v>861992</v>
      </c>
    </row>
    <row r="22" spans="1:18" x14ac:dyDescent="0.25">
      <c r="A22">
        <f>'Purchased Power Model'!A210</f>
        <v>2013</v>
      </c>
      <c r="B22" s="199">
        <f>'Purchased Power Model'!B210</f>
        <v>730568311</v>
      </c>
      <c r="C22" s="27">
        <f>'Purchased Power Model'!M210</f>
        <v>714650129.51209605</v>
      </c>
      <c r="D22" s="37">
        <f t="shared" si="0"/>
        <v>-15918181.487903953</v>
      </c>
      <c r="E22" s="5">
        <f t="shared" si="1"/>
        <v>-2.1788765332724586E-2</v>
      </c>
      <c r="F22" s="24">
        <f t="shared" si="2"/>
        <v>1.0614958266693164</v>
      </c>
      <c r="G22" s="27">
        <f>SUM(H22:M22)</f>
        <v>688244167</v>
      </c>
      <c r="H22" s="67">
        <v>324185392</v>
      </c>
      <c r="I22" s="67">
        <v>95827695</v>
      </c>
      <c r="J22" s="67">
        <v>259048750</v>
      </c>
      <c r="K22" s="67">
        <v>237315</v>
      </c>
      <c r="L22" s="67">
        <v>8087592</v>
      </c>
      <c r="M22" s="67">
        <f>1447923-590500</f>
        <v>857423</v>
      </c>
    </row>
    <row r="23" spans="1:18" x14ac:dyDescent="0.25">
      <c r="A23">
        <f>'Purchased Power Model'!A211</f>
        <v>2014</v>
      </c>
      <c r="B23" s="199">
        <f>'Purchased Power Model'!B211</f>
        <v>730490284.99000001</v>
      </c>
      <c r="C23" s="27">
        <f>'Purchased Power Model'!M211</f>
        <v>738289357.05702746</v>
      </c>
      <c r="D23" s="37">
        <f t="shared" si="0"/>
        <v>7799072.0670274496</v>
      </c>
      <c r="E23" s="5">
        <f t="shared" si="1"/>
        <v>1.0676489786765903E-2</v>
      </c>
      <c r="F23" s="24">
        <f t="shared" si="2"/>
        <v>1.0408170385773401</v>
      </c>
      <c r="G23" s="27">
        <f t="shared" si="3"/>
        <v>701843127</v>
      </c>
      <c r="H23" s="67">
        <v>334950383</v>
      </c>
      <c r="I23" s="67">
        <v>99153426</v>
      </c>
      <c r="J23" s="67">
        <v>258807830</v>
      </c>
      <c r="K23" s="67">
        <v>243349</v>
      </c>
      <c r="L23" s="67">
        <v>7812115</v>
      </c>
      <c r="M23" s="67">
        <v>876024</v>
      </c>
    </row>
    <row r="24" spans="1:18" x14ac:dyDescent="0.25">
      <c r="A24">
        <f>'Purchased Power Model'!A212</f>
        <v>2015</v>
      </c>
      <c r="B24" s="199">
        <f>'Purchased Power Model'!B212</f>
        <v>698517377.1099999</v>
      </c>
      <c r="C24" s="27">
        <f>'Purchased Power Model'!M212</f>
        <v>712983673.07175934</v>
      </c>
      <c r="D24" s="37">
        <f t="shared" si="0"/>
        <v>14466295.961759448</v>
      </c>
      <c r="E24" s="5">
        <f t="shared" ref="E24" si="4">D24/B24</f>
        <v>2.0710001548725036E-2</v>
      </c>
      <c r="F24" s="198">
        <f t="shared" ref="F24" si="5">1 +(B24-G24)/G24</f>
        <v>1.0435171705156632</v>
      </c>
      <c r="G24" s="27">
        <f t="shared" si="3"/>
        <v>669387526</v>
      </c>
      <c r="H24" s="67">
        <v>310458240</v>
      </c>
      <c r="I24" s="67">
        <v>95701162</v>
      </c>
      <c r="J24" s="67">
        <v>254784565</v>
      </c>
      <c r="K24" s="67">
        <v>235238</v>
      </c>
      <c r="L24" s="67">
        <v>7295612</v>
      </c>
      <c r="M24" s="67">
        <v>912709</v>
      </c>
    </row>
    <row r="25" spans="1:18" x14ac:dyDescent="0.25">
      <c r="A25">
        <f>'Purchased Power Model'!A213</f>
        <v>2016</v>
      </c>
      <c r="B25" s="6">
        <f>'Purchased Power Model'!B213</f>
        <v>669958461.73000014</v>
      </c>
      <c r="C25" s="27">
        <f>'Purchased Power Model'!M213</f>
        <v>672893773.87281346</v>
      </c>
      <c r="D25" s="37">
        <f t="shared" ref="D25" si="6">C25-B25</f>
        <v>2935312.1428133249</v>
      </c>
      <c r="E25" s="5">
        <f t="shared" ref="E25" si="7">D25/B25</f>
        <v>4.3813345311493126E-3</v>
      </c>
      <c r="F25" s="198">
        <f>1 +(B25-G25)/G25</f>
        <v>1.0519444996030285</v>
      </c>
      <c r="G25" s="27">
        <f t="shared" si="3"/>
        <v>636876243.92999995</v>
      </c>
      <c r="H25" s="67">
        <v>288746486.39999998</v>
      </c>
      <c r="I25" s="67">
        <v>92174996</v>
      </c>
      <c r="J25" s="67">
        <v>249955178</v>
      </c>
      <c r="K25" s="67">
        <v>227055.8</v>
      </c>
      <c r="L25" s="67">
        <v>4869277.0999999996</v>
      </c>
      <c r="M25" s="67">
        <f>1489410.2-586159.57</f>
        <v>903250.63</v>
      </c>
    </row>
    <row r="26" spans="1:18" x14ac:dyDescent="0.25">
      <c r="A26">
        <v>2017</v>
      </c>
      <c r="B26" s="199">
        <f>'Purchased Power Model'!B214</f>
        <v>652970473</v>
      </c>
      <c r="C26" s="199">
        <f>'Purchased Power Model'!M214</f>
        <v>650957509.5807122</v>
      </c>
      <c r="D26" s="37">
        <f t="shared" ref="D26" si="8">C26-B26</f>
        <v>-2012963.4192878008</v>
      </c>
      <c r="E26" s="5">
        <f t="shared" ref="E26" si="9">D26/B26</f>
        <v>-3.0827786286253722E-3</v>
      </c>
      <c r="F26" s="198">
        <f>1 +(B26-G26)/G26</f>
        <v>1.0488769185235338</v>
      </c>
      <c r="G26" s="199">
        <f t="shared" si="3"/>
        <v>622542513.29999995</v>
      </c>
      <c r="H26" s="67">
        <v>282820546.89999998</v>
      </c>
      <c r="I26" s="67">
        <v>91035995.200000003</v>
      </c>
      <c r="J26" s="67">
        <v>245166375.80000001</v>
      </c>
      <c r="K26" s="67">
        <v>213661.2</v>
      </c>
      <c r="L26" s="67">
        <v>2398221.2999999998</v>
      </c>
      <c r="M26" s="67">
        <v>907712.9</v>
      </c>
      <c r="N26" s="160"/>
      <c r="O26" s="160"/>
      <c r="P26" s="160"/>
      <c r="Q26" s="160"/>
      <c r="R26" s="160"/>
    </row>
    <row r="27" spans="1:18" x14ac:dyDescent="0.25">
      <c r="A27">
        <v>2018</v>
      </c>
      <c r="B27" s="75">
        <f>'Purchased Power Model'!B215</f>
        <v>0</v>
      </c>
      <c r="C27" s="75">
        <f>'Purchased Power Model'!M215</f>
        <v>646080810.26982498</v>
      </c>
      <c r="D27" s="75"/>
      <c r="E27" s="75"/>
      <c r="F27" s="75"/>
      <c r="G27" s="75">
        <f>C27/F29</f>
        <v>617594338.74970031</v>
      </c>
      <c r="H27" s="75"/>
      <c r="I27" s="75"/>
      <c r="J27" s="75"/>
      <c r="K27" s="75"/>
      <c r="L27" s="75"/>
      <c r="M27" s="75"/>
      <c r="N27" s="160"/>
      <c r="O27" s="160"/>
      <c r="P27" s="160"/>
      <c r="Q27" s="160"/>
      <c r="R27" s="160"/>
    </row>
    <row r="28" spans="1:18" x14ac:dyDescent="0.25">
      <c r="H28" s="53"/>
      <c r="I28" s="53"/>
      <c r="J28" s="53"/>
      <c r="K28" s="53"/>
      <c r="L28" s="53"/>
      <c r="M28" s="53"/>
    </row>
    <row r="29" spans="1:18" x14ac:dyDescent="0.25">
      <c r="A29" s="18" t="s">
        <v>16</v>
      </c>
      <c r="C29" s="55"/>
      <c r="D29" s="64"/>
      <c r="F29" s="24">
        <f>AVERAGE(F12:F26)</f>
        <v>1.0461248909402159</v>
      </c>
    </row>
    <row r="30" spans="1:18" x14ac:dyDescent="0.25">
      <c r="C30" s="163"/>
      <c r="D30" s="64"/>
      <c r="K30" s="160"/>
      <c r="L30" s="160"/>
    </row>
    <row r="31" spans="1:18" x14ac:dyDescent="0.25">
      <c r="C31" s="55"/>
      <c r="F31" s="24"/>
    </row>
    <row r="32" spans="1:18" x14ac:dyDescent="0.25">
      <c r="A32" s="21" t="s">
        <v>18</v>
      </c>
      <c r="B32" s="12"/>
      <c r="N32" s="61"/>
    </row>
    <row r="35" spans="1:16" x14ac:dyDescent="0.25">
      <c r="H35" s="27"/>
      <c r="I35" s="27"/>
      <c r="J35" s="27"/>
      <c r="K35" s="27"/>
      <c r="L35" s="27"/>
      <c r="M35" s="27"/>
    </row>
    <row r="36" spans="1:16" x14ac:dyDescent="0.25">
      <c r="A36">
        <f t="shared" ref="A36:A49" si="10">A12</f>
        <v>2003</v>
      </c>
      <c r="H36" s="27">
        <f>H12/'Rate Class Customer Model'!B4</f>
        <v>12298.132357062781</v>
      </c>
      <c r="I36" s="27">
        <f>I12/'Rate Class Customer Model'!C4</f>
        <v>29772.223529411764</v>
      </c>
      <c r="J36" s="27">
        <f>J12/'Rate Class Customer Model'!D4</f>
        <v>629506.41050119337</v>
      </c>
      <c r="K36" s="27">
        <f>K12/'Rate Class Customer Model'!E4</f>
        <v>593.48068669527902</v>
      </c>
      <c r="L36" s="27">
        <f>L12/'Rate Class Customer Model'!F4</f>
        <v>834.49831767026342</v>
      </c>
      <c r="M36" s="199">
        <f>M12/'Rate Class Customer Model'!G4</f>
        <v>70969.75</v>
      </c>
    </row>
    <row r="37" spans="1:16" x14ac:dyDescent="0.25">
      <c r="A37">
        <f t="shared" si="10"/>
        <v>2004</v>
      </c>
      <c r="H37" s="27">
        <f>H13/'Rate Class Customer Model'!B5</f>
        <v>12482.160084033614</v>
      </c>
      <c r="I37" s="27">
        <f>I13/'Rate Class Customer Model'!C5</f>
        <v>29480.088389282413</v>
      </c>
      <c r="J37" s="27">
        <f>J13/'Rate Class Customer Model'!D5</f>
        <v>628742.38679245277</v>
      </c>
      <c r="K37" s="27">
        <f>K13/'Rate Class Customer Model'!E5</f>
        <v>624.95278969957087</v>
      </c>
      <c r="L37" s="27">
        <f>L13/'Rate Class Customer Model'!F5</f>
        <v>854.09693109438331</v>
      </c>
      <c r="M37" s="199">
        <f>M13/'Rate Class Customer Model'!G5</f>
        <v>44350.210526315786</v>
      </c>
    </row>
    <row r="38" spans="1:16" x14ac:dyDescent="0.25">
      <c r="A38">
        <f t="shared" si="10"/>
        <v>2005</v>
      </c>
      <c r="H38" s="27">
        <f>H14/'Rate Class Customer Model'!B6</f>
        <v>12152.654640257559</v>
      </c>
      <c r="I38" s="27">
        <f>I14/'Rate Class Customer Model'!C6</f>
        <v>29197.196701282835</v>
      </c>
      <c r="J38" s="27">
        <f>J14/'Rate Class Customer Model'!D6</f>
        <v>617335.85614849185</v>
      </c>
      <c r="K38" s="27">
        <f>K14/'Rate Class Customer Model'!E6</f>
        <v>613.0849673202614</v>
      </c>
      <c r="L38" s="27">
        <f>L14/'Rate Class Customer Model'!F6</f>
        <v>893.2107151122425</v>
      </c>
      <c r="M38" s="199">
        <f>M14/'Rate Class Customer Model'!G6</f>
        <v>31326.925925925927</v>
      </c>
    </row>
    <row r="39" spans="1:16" x14ac:dyDescent="0.25">
      <c r="A39">
        <f t="shared" si="10"/>
        <v>2006</v>
      </c>
      <c r="H39" s="27">
        <f>H15/'Rate Class Customer Model'!B7</f>
        <v>11728.757133864876</v>
      </c>
      <c r="I39" s="27">
        <f>I15/'Rate Class Customer Model'!C7</f>
        <v>26286.238412602241</v>
      </c>
      <c r="J39" s="27">
        <f>J15/'Rate Class Customer Model'!D7</f>
        <v>616292.60879629629</v>
      </c>
      <c r="K39" s="27">
        <f>K15/'Rate Class Customer Model'!E7</f>
        <v>610.26503340757233</v>
      </c>
      <c r="L39" s="27">
        <f>L15/'Rate Class Customer Model'!F7</f>
        <v>877.96652429874177</v>
      </c>
      <c r="M39" s="199">
        <f>M15/'Rate Class Customer Model'!G7</f>
        <v>30576.892857142859</v>
      </c>
    </row>
    <row r="40" spans="1:16" x14ac:dyDescent="0.25">
      <c r="A40">
        <f t="shared" si="10"/>
        <v>2007</v>
      </c>
      <c r="H40" s="27">
        <f>H16/'Rate Class Customer Model'!B8</f>
        <v>11836.337303527767</v>
      </c>
      <c r="I40" s="27">
        <f>I16/'Rate Class Customer Model'!C8</f>
        <v>28535.877649909147</v>
      </c>
      <c r="J40" s="27">
        <f>J16/'Rate Class Customer Model'!D8</f>
        <v>605898.37529137533</v>
      </c>
      <c r="K40" s="27">
        <f>K16/'Rate Class Customer Model'!E8</f>
        <v>607.34537246049661</v>
      </c>
      <c r="L40" s="27">
        <f>L16/'Rate Class Customer Model'!F8</f>
        <v>877.17101182956242</v>
      </c>
      <c r="M40" s="27">
        <f>M16/'Rate Class Customer Model'!G8</f>
        <v>31999.333333333332</v>
      </c>
    </row>
    <row r="41" spans="1:16" x14ac:dyDescent="0.25">
      <c r="A41">
        <f t="shared" si="10"/>
        <v>2008</v>
      </c>
      <c r="F41" s="24"/>
      <c r="H41" s="27">
        <f>H17/'Rate Class Customer Model'!B9</f>
        <v>12069.604933981931</v>
      </c>
      <c r="I41" s="27">
        <f>I17/'Rate Class Customer Model'!C9</f>
        <v>28112.528721804512</v>
      </c>
      <c r="J41" s="27">
        <f>J17/'Rate Class Customer Model'!D9</f>
        <v>612967.00704225351</v>
      </c>
      <c r="K41" s="27">
        <f>K17/'Rate Class Customer Model'!E9</f>
        <v>617.84597701149426</v>
      </c>
      <c r="L41" s="27">
        <f>L17/'Rate Class Customer Model'!F9</f>
        <v>871.77725660679562</v>
      </c>
      <c r="M41" s="27">
        <f>M17/'Rate Class Customer Model'!G9</f>
        <v>38560.227272727272</v>
      </c>
    </row>
    <row r="42" spans="1:16" x14ac:dyDescent="0.25">
      <c r="A42">
        <f t="shared" si="10"/>
        <v>2009</v>
      </c>
      <c r="F42" s="24"/>
      <c r="H42" s="27">
        <f>H18/'Rate Class Customer Model'!B10</f>
        <v>12033.390597494046</v>
      </c>
      <c r="I42" s="27">
        <f>I18/'Rate Class Customer Model'!C10</f>
        <v>27282.285501193317</v>
      </c>
      <c r="J42" s="27">
        <f>J18/'Rate Class Customer Model'!D10</f>
        <v>598148.13163972285</v>
      </c>
      <c r="K42" s="27">
        <f>K18/'Rate Class Customer Model'!E10</f>
        <v>620.61938534278954</v>
      </c>
      <c r="L42" s="27">
        <f>L18/'Rate Class Customer Model'!F10</f>
        <v>864.07648596431409</v>
      </c>
      <c r="M42" s="27">
        <f>M18/'Rate Class Customer Model'!G10</f>
        <v>48438.117647058825</v>
      </c>
    </row>
    <row r="43" spans="1:16" x14ac:dyDescent="0.25">
      <c r="A43">
        <f t="shared" si="10"/>
        <v>2010</v>
      </c>
      <c r="F43" s="24"/>
      <c r="H43" s="27">
        <f>H19/'Rate Class Customer Model'!B11</f>
        <v>11236.318752796227</v>
      </c>
      <c r="I43" s="27">
        <f>I19/'Rate Class Customer Model'!C11</f>
        <v>27317.597608370703</v>
      </c>
      <c r="J43" s="27">
        <f>J19/'Rate Class Customer Model'!D11</f>
        <v>590889.24137931038</v>
      </c>
      <c r="K43" s="27">
        <f>K19/'Rate Class Customer Model'!E11</f>
        <v>628.09489051094886</v>
      </c>
      <c r="L43" s="27">
        <f>L19/'Rate Class Customer Model'!F11</f>
        <v>876.62084557992318</v>
      </c>
      <c r="M43" s="27">
        <f>M19/'Rate Class Customer Model'!G11</f>
        <v>52326.8125</v>
      </c>
    </row>
    <row r="44" spans="1:16" x14ac:dyDescent="0.25">
      <c r="A44">
        <f t="shared" si="10"/>
        <v>2011</v>
      </c>
      <c r="F44" s="24"/>
      <c r="H44" s="27">
        <f>H20/'Rate Class Customer Model'!B12</f>
        <v>11855.592604037907</v>
      </c>
      <c r="I44" s="27">
        <f>I20/'Rate Class Customer Model'!C12</f>
        <v>30222.311051693403</v>
      </c>
      <c r="J44" s="27">
        <f>J20/'Rate Class Customer Model'!D12</f>
        <v>635157.2406947891</v>
      </c>
      <c r="K44" s="27">
        <f>K20/'Rate Class Customer Model'!E12</f>
        <v>647.66666666666663</v>
      </c>
      <c r="L44" s="27">
        <f>L20/'Rate Class Customer Model'!F12</f>
        <v>883.43160750621746</v>
      </c>
      <c r="M44" s="27">
        <f>M20/'Rate Class Customer Model'!G12</f>
        <v>46045.947368421053</v>
      </c>
    </row>
    <row r="45" spans="1:16" x14ac:dyDescent="0.25">
      <c r="A45">
        <f t="shared" si="10"/>
        <v>2012</v>
      </c>
      <c r="F45" s="24"/>
      <c r="H45" s="27">
        <f>H21/'Rate Class Customer Model'!B13</f>
        <v>10779.406178606745</v>
      </c>
      <c r="I45" s="27">
        <f>I21/'Rate Class Customer Model'!C13</f>
        <v>28271.175754060325</v>
      </c>
      <c r="J45" s="27">
        <f>J21/'Rate Class Customer Model'!D13</f>
        <v>694847.23224043718</v>
      </c>
      <c r="K45" s="27">
        <f>K21/'Rate Class Customer Model'!E13</f>
        <v>628.85714285714289</v>
      </c>
      <c r="L45" s="27">
        <f>L21/'Rate Class Customer Model'!F13</f>
        <v>874.57144472077778</v>
      </c>
      <c r="M45" s="27">
        <f>M21/'Rate Class Customer Model'!G13</f>
        <v>41047.238095238092</v>
      </c>
      <c r="P45" s="25"/>
    </row>
    <row r="46" spans="1:16" x14ac:dyDescent="0.25">
      <c r="A46">
        <f t="shared" si="10"/>
        <v>2013</v>
      </c>
      <c r="F46" s="24"/>
      <c r="H46" s="27">
        <f>H22/'Rate Class Customer Model'!B14</f>
        <v>10987.845444685467</v>
      </c>
      <c r="I46" s="27">
        <f>I22/'Rate Class Customer Model'!C14</f>
        <v>27584.253022452504</v>
      </c>
      <c r="J46" s="27">
        <f>J22/'Rate Class Customer Model'!D14</f>
        <v>694500.67024128686</v>
      </c>
      <c r="K46" s="27">
        <f>K22/'Rate Class Customer Model'!E14</f>
        <v>634.5320855614973</v>
      </c>
      <c r="L46" s="27">
        <f>L22/'Rate Class Customer Model'!F14</f>
        <v>914.26543070314267</v>
      </c>
      <c r="M46" s="27">
        <f>M22/'Rate Class Customer Model'!G14</f>
        <v>40829.666666666664</v>
      </c>
      <c r="P46" s="25"/>
    </row>
    <row r="47" spans="1:16" x14ac:dyDescent="0.25">
      <c r="A47">
        <f t="shared" si="10"/>
        <v>2014</v>
      </c>
      <c r="F47" s="24"/>
      <c r="H47" s="27">
        <f>H23/'Rate Class Customer Model'!B15</f>
        <v>11348.864369451785</v>
      </c>
      <c r="I47" s="27">
        <f>I23/'Rate Class Customer Model'!C15</f>
        <v>28623.968244803695</v>
      </c>
      <c r="J47" s="27">
        <f>J23/'Rate Class Customer Model'!D15</f>
        <v>699480.62162162166</v>
      </c>
      <c r="K47" s="27">
        <f>K23/'Rate Class Customer Model'!E15</f>
        <v>672.23480662983422</v>
      </c>
      <c r="L47" s="27">
        <f>L23/'Rate Class Customer Model'!F15</f>
        <v>883.12401085236263</v>
      </c>
      <c r="M47" s="27">
        <f>M23/'Rate Class Customer Model'!G15</f>
        <v>41715.428571428572</v>
      </c>
      <c r="P47" s="25"/>
    </row>
    <row r="48" spans="1:16" x14ac:dyDescent="0.25">
      <c r="A48">
        <f t="shared" si="10"/>
        <v>2015</v>
      </c>
      <c r="H48" s="199">
        <f>H24/'Rate Class Customer Model'!B16</f>
        <v>10500.515456943787</v>
      </c>
      <c r="I48" s="199">
        <f>I24/'Rate Class Customer Model'!C16</f>
        <v>27893.081317400174</v>
      </c>
      <c r="J48" s="199">
        <f>J24/'Rate Class Customer Model'!D16</f>
        <v>683068.53887399461</v>
      </c>
      <c r="K48" s="199">
        <f>K24/'Rate Class Customer Model'!E16</f>
        <v>653.43888888888887</v>
      </c>
      <c r="L48" s="199">
        <f>L24/'Rate Class Customer Model'!F16</f>
        <v>825.38884489195607</v>
      </c>
      <c r="M48" s="199">
        <f>M24/'Rate Class Customer Model'!G16</f>
        <v>43462.333333333336</v>
      </c>
    </row>
    <row r="49" spans="1:15" x14ac:dyDescent="0.25">
      <c r="A49">
        <f t="shared" si="10"/>
        <v>2016</v>
      </c>
      <c r="H49" s="199">
        <f>H25/'Rate Class Customer Model'!B17</f>
        <v>9748.3621336934502</v>
      </c>
      <c r="I49" s="199">
        <f>I25/'Rate Class Customer Model'!C17</f>
        <v>26999.120093731693</v>
      </c>
      <c r="J49" s="199">
        <f>J25/'Rate Class Customer Model'!D17</f>
        <v>692396.6149584488</v>
      </c>
      <c r="K49" s="199">
        <f>K25/'Rate Class Customer Model'!E17</f>
        <v>627.22596685082874</v>
      </c>
      <c r="L49" s="199">
        <f>L25/'Rate Class Customer Model'!F17</f>
        <v>548.83646302975649</v>
      </c>
      <c r="M49" s="199">
        <f>M25/'Rate Class Customer Model'!G17</f>
        <v>43011.934761904762</v>
      </c>
    </row>
    <row r="50" spans="1:15" x14ac:dyDescent="0.25">
      <c r="A50">
        <v>2017</v>
      </c>
      <c r="H50" s="199">
        <f>H26/'Rate Class Customer Model'!B18</f>
        <v>9513.28826734838</v>
      </c>
      <c r="I50" s="199">
        <f>I26/'Rate Class Customer Model'!C18</f>
        <v>26642.082294410302</v>
      </c>
      <c r="J50" s="199">
        <f>J26/'Rate Class Customer Model'!D18</f>
        <v>679131.23490304709</v>
      </c>
      <c r="K50" s="199">
        <f>K26/'Rate Class Customer Model'!E18</f>
        <v>591.85927977839333</v>
      </c>
      <c r="L50" s="199">
        <f>L26/'Rate Class Customer Model'!F18</f>
        <v>297.17736059479552</v>
      </c>
      <c r="M50" s="199">
        <f>M26/'Rate Class Customer Model'!G18</f>
        <v>43224.423809523811</v>
      </c>
    </row>
    <row r="51" spans="1:15" x14ac:dyDescent="0.25">
      <c r="A51" s="38">
        <v>2018</v>
      </c>
      <c r="D51" s="6"/>
      <c r="H51" s="199">
        <f t="shared" ref="H51:M51" si="11">+H50*H68</f>
        <v>9513.28826734838</v>
      </c>
      <c r="I51" s="199">
        <f t="shared" si="11"/>
        <v>26642.082294410302</v>
      </c>
      <c r="J51" s="199">
        <f t="shared" si="11"/>
        <v>679131.23490304709</v>
      </c>
      <c r="K51" s="199">
        <f t="shared" si="11"/>
        <v>591.85927977839333</v>
      </c>
      <c r="L51" s="199">
        <f t="shared" si="11"/>
        <v>297.17736059479552</v>
      </c>
      <c r="M51" s="199">
        <f t="shared" si="11"/>
        <v>43224.423809523811</v>
      </c>
    </row>
    <row r="52" spans="1:15" x14ac:dyDescent="0.25">
      <c r="A52" s="38"/>
      <c r="D52" s="6"/>
      <c r="H52" s="25"/>
      <c r="I52" s="25"/>
      <c r="J52" s="25"/>
      <c r="K52" s="25"/>
      <c r="L52" s="25"/>
      <c r="M52" s="25"/>
    </row>
    <row r="53" spans="1:15" x14ac:dyDescent="0.25">
      <c r="A53" s="38">
        <f t="shared" ref="A53:A64" si="12">A36</f>
        <v>2003</v>
      </c>
      <c r="D53" s="6"/>
      <c r="H53" s="25"/>
      <c r="I53" s="25"/>
      <c r="J53" s="25"/>
      <c r="K53" s="25"/>
      <c r="L53" s="25"/>
      <c r="M53" s="25"/>
    </row>
    <row r="54" spans="1:15" x14ac:dyDescent="0.25">
      <c r="A54" s="38">
        <f t="shared" si="12"/>
        <v>2004</v>
      </c>
      <c r="D54" s="6"/>
      <c r="H54" s="25">
        <f t="shared" ref="H54:M60" si="13">H37/H36</f>
        <v>1.0149638759469966</v>
      </c>
      <c r="I54" s="25">
        <f t="shared" si="13"/>
        <v>0.99018766133336489</v>
      </c>
      <c r="J54" s="25">
        <f t="shared" si="13"/>
        <v>0.99878631306052579</v>
      </c>
      <c r="K54" s="25">
        <f t="shared" si="13"/>
        <v>1.0530297003926787</v>
      </c>
      <c r="L54" s="25">
        <f t="shared" si="13"/>
        <v>1.0234855038160351</v>
      </c>
      <c r="M54" s="25">
        <f t="shared" ref="M54" si="14">M37/M36</f>
        <v>0.62491710237553022</v>
      </c>
    </row>
    <row r="55" spans="1:15" x14ac:dyDescent="0.25">
      <c r="A55" s="38">
        <f t="shared" si="12"/>
        <v>2005</v>
      </c>
      <c r="D55" s="6"/>
      <c r="H55" s="25">
        <f t="shared" si="13"/>
        <v>0.97360188929177904</v>
      </c>
      <c r="I55" s="25">
        <f t="shared" si="13"/>
        <v>0.99040397422612803</v>
      </c>
      <c r="J55" s="25">
        <f t="shared" si="13"/>
        <v>0.98185818089638954</v>
      </c>
      <c r="K55" s="25">
        <f t="shared" si="13"/>
        <v>0.98101004975909523</v>
      </c>
      <c r="L55" s="25">
        <f t="shared" si="13"/>
        <v>1.0457954859616945</v>
      </c>
      <c r="M55" s="25">
        <f t="shared" ref="M55" si="15">M38/M37</f>
        <v>0.70635348861168723</v>
      </c>
    </row>
    <row r="56" spans="1:15" x14ac:dyDescent="0.25">
      <c r="A56" s="38">
        <f t="shared" si="12"/>
        <v>2006</v>
      </c>
      <c r="D56" s="6"/>
      <c r="H56" s="25">
        <f t="shared" si="13"/>
        <v>0.96511893747161581</v>
      </c>
      <c r="I56" s="25">
        <f t="shared" si="13"/>
        <v>0.9003000761181742</v>
      </c>
      <c r="J56" s="25">
        <f t="shared" si="13"/>
        <v>0.99831008138956279</v>
      </c>
      <c r="K56" s="25">
        <f t="shared" si="13"/>
        <v>0.99540041908870358</v>
      </c>
      <c r="L56" s="25">
        <f t="shared" si="13"/>
        <v>0.98293326473184428</v>
      </c>
      <c r="M56" s="25">
        <f t="shared" ref="M56" si="16">M39/M38</f>
        <v>0.97605787843478298</v>
      </c>
    </row>
    <row r="57" spans="1:15" x14ac:dyDescent="0.25">
      <c r="A57" s="38">
        <f t="shared" si="12"/>
        <v>2007</v>
      </c>
      <c r="D57" s="6"/>
      <c r="H57" s="25">
        <f t="shared" si="13"/>
        <v>1.0091723418291501</v>
      </c>
      <c r="I57" s="25">
        <f t="shared" si="13"/>
        <v>1.0855823949397179</v>
      </c>
      <c r="J57" s="25">
        <f t="shared" si="13"/>
        <v>0.98313425577953573</v>
      </c>
      <c r="K57" s="25">
        <f t="shared" si="13"/>
        <v>0.99521574924459777</v>
      </c>
      <c r="L57" s="25">
        <f t="shared" si="13"/>
        <v>0.99909391480522025</v>
      </c>
      <c r="M57" s="25">
        <f t="shared" ref="M57" si="17">M40/M39</f>
        <v>1.0465201118647407</v>
      </c>
    </row>
    <row r="58" spans="1:15" x14ac:dyDescent="0.25">
      <c r="A58" s="38">
        <f t="shared" si="12"/>
        <v>2008</v>
      </c>
      <c r="D58" s="6"/>
      <c r="H58" s="25">
        <f t="shared" si="13"/>
        <v>1.0197077545588904</v>
      </c>
      <c r="I58" s="25">
        <f t="shared" si="13"/>
        <v>0.9851643277526464</v>
      </c>
      <c r="J58" s="25">
        <f t="shared" si="13"/>
        <v>1.0116663652505733</v>
      </c>
      <c r="K58" s="25">
        <f t="shared" si="13"/>
        <v>1.0172893464363733</v>
      </c>
      <c r="L58" s="25">
        <f t="shared" si="13"/>
        <v>0.9938509650341536</v>
      </c>
      <c r="M58" s="25">
        <f t="shared" ref="M58" si="18">M41/M40</f>
        <v>1.2050322071103754</v>
      </c>
    </row>
    <row r="59" spans="1:15" x14ac:dyDescent="0.25">
      <c r="A59" s="38">
        <f t="shared" si="12"/>
        <v>2009</v>
      </c>
      <c r="D59" s="6"/>
      <c r="H59" s="25">
        <f t="shared" si="13"/>
        <v>0.99699954251311707</v>
      </c>
      <c r="I59" s="25">
        <f t="shared" si="13"/>
        <v>0.9704671454913536</v>
      </c>
      <c r="J59" s="25">
        <f t="shared" si="13"/>
        <v>0.97582435068726436</v>
      </c>
      <c r="K59" s="25">
        <f t="shared" si="13"/>
        <v>1.0044888344902887</v>
      </c>
      <c r="L59" s="25">
        <f t="shared" si="13"/>
        <v>0.99116658460160445</v>
      </c>
      <c r="M59" s="25">
        <f t="shared" si="13"/>
        <v>1.2561678463269315</v>
      </c>
    </row>
    <row r="60" spans="1:15" x14ac:dyDescent="0.25">
      <c r="A60" s="38">
        <f t="shared" si="12"/>
        <v>2010</v>
      </c>
      <c r="D60" s="6"/>
      <c r="H60" s="25">
        <f t="shared" si="13"/>
        <v>0.93376165776054765</v>
      </c>
      <c r="I60" s="25">
        <f t="shared" si="13"/>
        <v>1.001294323643664</v>
      </c>
      <c r="J60" s="25">
        <f t="shared" si="13"/>
        <v>0.98786439365694678</v>
      </c>
      <c r="K60" s="25">
        <f t="shared" si="13"/>
        <v>1.012045233108583</v>
      </c>
      <c r="L60" s="25">
        <f t="shared" si="13"/>
        <v>1.0145176495592396</v>
      </c>
      <c r="M60" s="25">
        <f t="shared" ref="M60" si="19">M43/M42</f>
        <v>1.0802817087417784</v>
      </c>
    </row>
    <row r="61" spans="1:15" x14ac:dyDescent="0.25">
      <c r="A61" s="38">
        <f t="shared" si="12"/>
        <v>2011</v>
      </c>
      <c r="D61" s="6"/>
      <c r="H61" s="25">
        <f t="shared" ref="H61:M61" si="20">H44/H43</f>
        <v>1.0551135887888166</v>
      </c>
      <c r="I61" s="25">
        <f t="shared" si="20"/>
        <v>1.1063312186146499</v>
      </c>
      <c r="J61" s="25">
        <f t="shared" si="20"/>
        <v>1.0749175923598544</v>
      </c>
      <c r="K61" s="25">
        <f t="shared" si="20"/>
        <v>1.0311605403123028</v>
      </c>
      <c r="L61" s="25">
        <f t="shared" si="20"/>
        <v>1.0077693360369371</v>
      </c>
      <c r="M61" s="25">
        <f t="shared" si="20"/>
        <v>0.87996851267065146</v>
      </c>
    </row>
    <row r="62" spans="1:15" x14ac:dyDescent="0.25">
      <c r="A62" s="38">
        <f t="shared" si="12"/>
        <v>2012</v>
      </c>
      <c r="D62" s="6"/>
      <c r="H62" s="25">
        <f t="shared" ref="H62:M62" si="21">H45/H44</f>
        <v>0.90922542116835026</v>
      </c>
      <c r="I62" s="25">
        <f t="shared" si="21"/>
        <v>0.93544056593502123</v>
      </c>
      <c r="J62" s="25">
        <f t="shared" si="21"/>
        <v>1.0939767158764562</v>
      </c>
      <c r="K62" s="25">
        <f t="shared" si="21"/>
        <v>0.97095801779280944</v>
      </c>
      <c r="L62" s="25">
        <f t="shared" si="21"/>
        <v>0.98997074282812847</v>
      </c>
      <c r="M62" s="25">
        <f t="shared" si="21"/>
        <v>0.89144084205310226</v>
      </c>
      <c r="O62" s="72"/>
    </row>
    <row r="63" spans="1:15" x14ac:dyDescent="0.25">
      <c r="A63" s="38">
        <f t="shared" si="12"/>
        <v>2013</v>
      </c>
      <c r="D63" s="6"/>
      <c r="H63" s="25">
        <f>H46/H45</f>
        <v>1.0193368041453339</v>
      </c>
      <c r="I63" s="25">
        <f t="shared" ref="I63:M63" si="22">I46/I45</f>
        <v>0.97570236421776113</v>
      </c>
      <c r="J63" s="25">
        <f t="shared" si="22"/>
        <v>0.99950124000921348</v>
      </c>
      <c r="K63" s="25">
        <f t="shared" si="22"/>
        <v>1.0090242160223719</v>
      </c>
      <c r="L63" s="25">
        <f t="shared" si="22"/>
        <v>1.0453867848326992</v>
      </c>
      <c r="M63" s="25">
        <f t="shared" si="22"/>
        <v>0.99469948677017883</v>
      </c>
      <c r="O63" s="25"/>
    </row>
    <row r="64" spans="1:15" x14ac:dyDescent="0.25">
      <c r="A64" s="38">
        <f t="shared" si="12"/>
        <v>2014</v>
      </c>
      <c r="D64" s="6"/>
      <c r="H64" s="25">
        <f>H47/H46</f>
        <v>1.0328562070320104</v>
      </c>
      <c r="I64" s="25">
        <f t="shared" ref="I64:M66" si="23">I47/I46</f>
        <v>1.0376923464813386</v>
      </c>
      <c r="J64" s="25">
        <f t="shared" si="23"/>
        <v>1.0071705494230907</v>
      </c>
      <c r="K64" s="25">
        <f t="shared" si="23"/>
        <v>1.0594181475235784</v>
      </c>
      <c r="L64" s="25">
        <f t="shared" si="23"/>
        <v>0.96593831637402083</v>
      </c>
      <c r="M64" s="25">
        <f t="shared" si="23"/>
        <v>1.0216940763193898</v>
      </c>
      <c r="O64" s="25"/>
    </row>
    <row r="65" spans="1:22" x14ac:dyDescent="0.25">
      <c r="A65" s="38">
        <v>2015</v>
      </c>
      <c r="B65" s="205"/>
      <c r="C65" s="205"/>
      <c r="D65" s="160"/>
      <c r="E65" s="205"/>
      <c r="F65" s="205"/>
      <c r="G65" s="160"/>
      <c r="H65" s="25">
        <f>H48/H47</f>
        <v>0.92524812308167725</v>
      </c>
      <c r="I65" s="25">
        <f t="shared" si="23"/>
        <v>0.97446591188361165</v>
      </c>
      <c r="J65" s="25">
        <f t="shared" si="23"/>
        <v>0.97653675850293242</v>
      </c>
      <c r="K65" s="25">
        <f t="shared" si="23"/>
        <v>0.97203965406793447</v>
      </c>
      <c r="L65" s="25">
        <f t="shared" si="23"/>
        <v>0.93462394267291804</v>
      </c>
      <c r="M65" s="25">
        <f t="shared" si="23"/>
        <v>1.0418767065742491</v>
      </c>
      <c r="N65" s="160"/>
      <c r="O65" s="25"/>
      <c r="P65" s="160"/>
      <c r="Q65" s="160"/>
      <c r="R65" s="160"/>
    </row>
    <row r="66" spans="1:22" x14ac:dyDescent="0.25">
      <c r="A66" s="38">
        <v>2016</v>
      </c>
      <c r="B66" s="205"/>
      <c r="C66" s="205"/>
      <c r="D66" s="160"/>
      <c r="E66" s="205"/>
      <c r="F66" s="205"/>
      <c r="G66" s="160"/>
      <c r="H66" s="25">
        <f>H49/H48</f>
        <v>0.92836986657136411</v>
      </c>
      <c r="I66" s="25">
        <f t="shared" si="23"/>
        <v>0.96795043138131842</v>
      </c>
      <c r="J66" s="25">
        <f t="shared" si="23"/>
        <v>1.0136561348584889</v>
      </c>
      <c r="K66" s="25">
        <f t="shared" si="23"/>
        <v>0.95988466177360099</v>
      </c>
      <c r="L66" s="25">
        <f t="shared" si="23"/>
        <v>0.66494291318124066</v>
      </c>
      <c r="M66" s="25">
        <f t="shared" si="23"/>
        <v>0.98963703655820201</v>
      </c>
      <c r="N66" s="160"/>
      <c r="O66" s="25"/>
      <c r="P66" s="160"/>
      <c r="Q66" s="160"/>
      <c r="R66" s="160"/>
    </row>
    <row r="67" spans="1:22" x14ac:dyDescent="0.25">
      <c r="A67" s="3"/>
      <c r="D67" s="6"/>
      <c r="E67" s="6"/>
      <c r="F67" s="6"/>
    </row>
    <row r="68" spans="1:22" x14ac:dyDescent="0.25">
      <c r="A68" t="s">
        <v>21</v>
      </c>
      <c r="D68" s="6"/>
      <c r="H68" s="25">
        <v>1</v>
      </c>
      <c r="I68" s="25">
        <v>1</v>
      </c>
      <c r="J68" s="25">
        <v>1</v>
      </c>
      <c r="K68" s="25">
        <v>1</v>
      </c>
      <c r="L68" s="25">
        <v>1</v>
      </c>
      <c r="M68" s="25">
        <v>1</v>
      </c>
    </row>
    <row r="69" spans="1:22" x14ac:dyDescent="0.25">
      <c r="A69" s="3"/>
      <c r="D69" s="6"/>
      <c r="H69" s="12"/>
      <c r="I69" s="12"/>
      <c r="K69" s="11"/>
      <c r="L69" s="11"/>
      <c r="M69" s="11"/>
    </row>
    <row r="70" spans="1:22" x14ac:dyDescent="0.25">
      <c r="A70" t="s">
        <v>17</v>
      </c>
      <c r="D70" s="6"/>
      <c r="H70" s="25">
        <f>GEOMEAN(H54:H66)</f>
        <v>0.98228584081936232</v>
      </c>
      <c r="I70" s="25">
        <f t="shared" ref="I70:L70" si="24">GEOMEAN(I54:I66)</f>
        <v>0.99250731989097052</v>
      </c>
      <c r="J70" s="25">
        <f t="shared" si="24"/>
        <v>1.0073517305192901</v>
      </c>
      <c r="K70" s="25">
        <f t="shared" si="24"/>
        <v>1.0042630763406732</v>
      </c>
      <c r="L70" s="25">
        <f t="shared" si="24"/>
        <v>0.96828085609375492</v>
      </c>
      <c r="M70" s="25">
        <f>GEOMEAN(M54:M66)</f>
        <v>0.96221126862615247</v>
      </c>
      <c r="O70" s="25"/>
      <c r="S70" s="57">
        <f>AVERAGE(L12:L25)</f>
        <v>7437417.1499999994</v>
      </c>
      <c r="T70" s="107" t="s">
        <v>279</v>
      </c>
    </row>
    <row r="71" spans="1:22" x14ac:dyDescent="0.25">
      <c r="D71" s="6"/>
      <c r="H71" s="25"/>
      <c r="I71" s="25"/>
      <c r="J71" s="25"/>
      <c r="K71" s="25"/>
      <c r="L71" s="25"/>
      <c r="M71" s="25"/>
    </row>
    <row r="72" spans="1:22" x14ac:dyDescent="0.25">
      <c r="A72" s="18" t="s">
        <v>47</v>
      </c>
    </row>
    <row r="73" spans="1:22" x14ac:dyDescent="0.25">
      <c r="A73" s="18">
        <v>2018</v>
      </c>
      <c r="B73" s="205"/>
      <c r="C73" s="205"/>
      <c r="D73" s="205"/>
      <c r="E73" s="205"/>
      <c r="F73" s="205"/>
      <c r="G73" s="160">
        <f>SUM(H73:M73)</f>
        <v>621362339.37523508</v>
      </c>
      <c r="H73" s="160">
        <f>H51*'Rate Class Customer Model'!B19</f>
        <v>283643461.61472178</v>
      </c>
      <c r="I73" s="160">
        <f>I51*'Rate Class Customer Model'!C19+192360</f>
        <v>91595061.933817983</v>
      </c>
      <c r="J73" s="160">
        <f>J51*'Rate Class Customer Model'!D19</f>
        <v>242571062.95680615</v>
      </c>
      <c r="K73" s="160">
        <f>K51*'Rate Class Customer Model'!E19</f>
        <v>209800.13099560147</v>
      </c>
      <c r="L73" s="160">
        <f>L51*'Rate Class Customer Model'!F19</f>
        <v>2398221.2999999998</v>
      </c>
      <c r="M73" s="160">
        <f>(M51*'Rate Class Customer Model'!G19)</f>
        <v>944731.43889360514</v>
      </c>
      <c r="N73" s="160"/>
      <c r="O73" s="160"/>
      <c r="P73" s="160"/>
      <c r="Q73" s="160"/>
      <c r="R73" s="160"/>
      <c r="S73" s="57">
        <f>L73-S70</f>
        <v>-5039195.8499999996</v>
      </c>
      <c r="T73" s="57">
        <f>S73*F29</f>
        <v>-5271628.2090076385</v>
      </c>
      <c r="U73" s="57">
        <f>T73/12</f>
        <v>-439302.35075063654</v>
      </c>
      <c r="V73" s="107" t="s">
        <v>280</v>
      </c>
    </row>
    <row r="75" spans="1:22" x14ac:dyDescent="0.25">
      <c r="A75" s="18" t="s">
        <v>46</v>
      </c>
      <c r="N75" s="6" t="s">
        <v>20</v>
      </c>
    </row>
    <row r="76" spans="1:22" x14ac:dyDescent="0.25">
      <c r="A76" s="18">
        <v>2018</v>
      </c>
      <c r="B76" s="205"/>
      <c r="C76" s="205"/>
      <c r="D76" s="205"/>
      <c r="E76" s="205"/>
      <c r="F76" s="205"/>
      <c r="G76" s="199">
        <f>G27</f>
        <v>617594338.74970031</v>
      </c>
      <c r="H76" s="160">
        <f t="shared" ref="H76:M76" si="25">H73+H82-H85</f>
        <v>281151925.91048598</v>
      </c>
      <c r="I76" s="160">
        <f t="shared" si="25"/>
        <v>90542146.755002111</v>
      </c>
      <c r="J76" s="160">
        <f t="shared" si="25"/>
        <v>240024913.21432304</v>
      </c>
      <c r="K76" s="160">
        <f t="shared" si="25"/>
        <v>209800.13099560147</v>
      </c>
      <c r="L76" s="160">
        <f t="shared" si="25"/>
        <v>2398221.2999999998</v>
      </c>
      <c r="M76" s="160">
        <f t="shared" si="25"/>
        <v>944731.43889360514</v>
      </c>
      <c r="N76" s="160">
        <f>SUM(H76:M76)</f>
        <v>615271738.74970031</v>
      </c>
      <c r="O76" s="160">
        <f>G76-N76</f>
        <v>2322600</v>
      </c>
      <c r="P76" s="160">
        <f>G85</f>
        <v>2322600</v>
      </c>
      <c r="Q76" s="160">
        <f>O76-P76</f>
        <v>0</v>
      </c>
      <c r="R76"/>
    </row>
    <row r="78" spans="1:22" x14ac:dyDescent="0.25">
      <c r="A78" t="s">
        <v>48</v>
      </c>
      <c r="H78" s="164">
        <v>0.92649999999999999</v>
      </c>
      <c r="I78" s="165">
        <v>0.92649999999999999</v>
      </c>
      <c r="J78" s="165">
        <v>0.85299999999999998</v>
      </c>
      <c r="K78" s="166"/>
      <c r="L78" s="166"/>
      <c r="M78" s="166"/>
      <c r="N78" s="6" t="s">
        <v>20</v>
      </c>
    </row>
    <row r="79" spans="1:22" x14ac:dyDescent="0.25">
      <c r="A79" s="18">
        <v>2018</v>
      </c>
      <c r="B79" s="205"/>
      <c r="C79" s="205"/>
      <c r="D79" s="205"/>
      <c r="E79" s="205"/>
      <c r="F79" s="205"/>
      <c r="G79" s="160">
        <f>G76-G73</f>
        <v>-3768000.6255347729</v>
      </c>
      <c r="H79" s="160">
        <f t="shared" ref="H79:M79" si="26">H73*H$78</f>
        <v>262795667.18603972</v>
      </c>
      <c r="I79" s="160">
        <f t="shared" si="26"/>
        <v>84862824.881682366</v>
      </c>
      <c r="J79" s="160">
        <f t="shared" si="26"/>
        <v>206913116.70215565</v>
      </c>
      <c r="K79" s="160">
        <f t="shared" si="26"/>
        <v>0</v>
      </c>
      <c r="L79" s="160">
        <f t="shared" si="26"/>
        <v>0</v>
      </c>
      <c r="M79" s="160">
        <f t="shared" si="26"/>
        <v>0</v>
      </c>
      <c r="N79" s="160">
        <f>SUM(H79:M79)</f>
        <v>554571608.76987767</v>
      </c>
      <c r="O79" s="160"/>
      <c r="P79" s="160"/>
      <c r="Q79" s="160"/>
      <c r="R79" s="160"/>
    </row>
    <row r="80" spans="1:22" ht="12" customHeight="1" x14ac:dyDescent="0.25"/>
    <row r="81" spans="1:18" x14ac:dyDescent="0.25">
      <c r="A81" t="s">
        <v>49</v>
      </c>
    </row>
    <row r="82" spans="1:18" x14ac:dyDescent="0.25">
      <c r="A82" s="18">
        <v>2018</v>
      </c>
      <c r="B82" s="205"/>
      <c r="C82" s="205"/>
      <c r="D82" s="205"/>
      <c r="E82" s="205"/>
      <c r="F82" s="205"/>
      <c r="G82" s="26"/>
      <c r="H82" s="160">
        <f>H79/$N$79*$G$79</f>
        <v>-1785548.0206447425</v>
      </c>
      <c r="I82" s="160">
        <f t="shared" ref="I82:M82" si="27">I79/$N$79*$G$79</f>
        <v>-576594.92873807461</v>
      </c>
      <c r="J82" s="160">
        <f t="shared" si="27"/>
        <v>-1405857.676151956</v>
      </c>
      <c r="K82" s="160">
        <f t="shared" si="27"/>
        <v>0</v>
      </c>
      <c r="L82" s="160">
        <f t="shared" si="27"/>
        <v>0</v>
      </c>
      <c r="M82" s="160">
        <f t="shared" si="27"/>
        <v>0</v>
      </c>
      <c r="N82" s="160">
        <f>SUM(H82:M82)</f>
        <v>-3768000.6255347733</v>
      </c>
      <c r="O82" s="160"/>
      <c r="P82" s="160"/>
      <c r="Q82" s="160"/>
      <c r="R82" s="160"/>
    </row>
    <row r="83" spans="1:18" x14ac:dyDescent="0.25">
      <c r="G83" s="26"/>
    </row>
    <row r="84" spans="1:18" x14ac:dyDescent="0.25">
      <c r="A84" s="107" t="s">
        <v>105</v>
      </c>
    </row>
    <row r="85" spans="1:18" x14ac:dyDescent="0.25">
      <c r="A85" s="18">
        <v>2018</v>
      </c>
      <c r="G85" s="160">
        <f>'CDM Activity'!S4*0.5</f>
        <v>2322600</v>
      </c>
      <c r="H85" s="199">
        <f>'CDM Activity'!S9*0.5</f>
        <v>705987.6835910494</v>
      </c>
      <c r="I85" s="199">
        <f>'CDM Activity'!S14*0.5</f>
        <v>476320.25007779768</v>
      </c>
      <c r="J85" s="199">
        <f>'CDM Activity'!S19*0.5</f>
        <v>1140292.0663311528</v>
      </c>
      <c r="K85" s="199"/>
      <c r="L85" s="199"/>
      <c r="M85" s="199"/>
      <c r="N85" s="160">
        <f>SUM(H85:M85)</f>
        <v>2322600</v>
      </c>
    </row>
    <row r="86" spans="1:18" x14ac:dyDescent="0.25">
      <c r="A86" s="18"/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zoomScaleNormal="100" workbookViewId="0">
      <pane xSplit="1" ySplit="2" topLeftCell="D9" activePane="bottomRight" state="frozen"/>
      <selection activeCell="M35" sqref="M35"/>
      <selection pane="topRight" activeCell="M35" sqref="M35"/>
      <selection pane="bottomLeft" activeCell="M35" sqref="M35"/>
      <selection pane="bottomRight" activeCell="I26" sqref="I26"/>
    </sheetView>
  </sheetViews>
  <sheetFormatPr defaultRowHeight="13.2" x14ac:dyDescent="0.25"/>
  <cols>
    <col min="1" max="1" width="11" customWidth="1"/>
    <col min="2" max="2" width="15" style="6" customWidth="1"/>
    <col min="3" max="3" width="14.109375" style="6" bestFit="1" customWidth="1"/>
    <col min="4" max="4" width="17.88671875" style="6" bestFit="1" customWidth="1"/>
    <col min="5" max="5" width="17.5546875" style="6" customWidth="1"/>
    <col min="6" max="7" width="12.5546875" style="6" customWidth="1"/>
    <col min="8" max="8" width="12.6640625" style="6" bestFit="1" customWidth="1"/>
    <col min="9" max="9" width="11.6640625" style="6" bestFit="1" customWidth="1"/>
    <col min="10" max="10" width="10.6640625" style="6" bestFit="1" customWidth="1"/>
    <col min="11" max="12" width="9.109375" style="6" customWidth="1"/>
    <col min="16" max="17" width="10.44140625" style="54" bestFit="1" customWidth="1"/>
  </cols>
  <sheetData>
    <row r="2" spans="1:17" ht="26.4" x14ac:dyDescent="0.25">
      <c r="B2" s="9" t="str">
        <f>'Rate Class Energy Model'!H2</f>
        <v>Residential</v>
      </c>
      <c r="C2" s="9" t="str">
        <f>'Rate Class Energy Model'!I2</f>
        <v>General Service &lt;50 kW</v>
      </c>
      <c r="D2" s="9" t="str">
        <f>'Rate Class Energy Model'!J2</f>
        <v>General Service 50 to 4,999 kW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>USL</v>
      </c>
      <c r="H2" s="6" t="s">
        <v>12</v>
      </c>
      <c r="L2" s="194" t="s">
        <v>172</v>
      </c>
      <c r="M2" s="190"/>
      <c r="N2" s="190"/>
      <c r="O2" s="190"/>
      <c r="P2" s="191"/>
      <c r="Q2" s="191"/>
    </row>
    <row r="3" spans="1:17" x14ac:dyDescent="0.25">
      <c r="A3" s="4"/>
      <c r="B3" s="40"/>
      <c r="C3" s="40"/>
      <c r="D3" s="40"/>
      <c r="E3" s="40"/>
      <c r="F3" s="40"/>
      <c r="G3" s="40"/>
      <c r="H3" s="39"/>
      <c r="L3" s="189">
        <v>2013</v>
      </c>
      <c r="M3" s="344" t="s">
        <v>168</v>
      </c>
      <c r="N3" s="345" t="s">
        <v>169</v>
      </c>
      <c r="O3" s="345" t="s">
        <v>170</v>
      </c>
      <c r="P3" s="346" t="s">
        <v>171</v>
      </c>
      <c r="Q3" s="192" t="s">
        <v>16</v>
      </c>
    </row>
    <row r="4" spans="1:17" x14ac:dyDescent="0.25">
      <c r="A4" s="4">
        <v>2003</v>
      </c>
      <c r="B4" s="40">
        <v>28544</v>
      </c>
      <c r="C4" s="40">
        <v>3230</v>
      </c>
      <c r="D4" s="40">
        <v>419</v>
      </c>
      <c r="E4" s="40">
        <v>466</v>
      </c>
      <c r="F4" s="40">
        <v>8619</v>
      </c>
      <c r="G4" s="40">
        <v>12</v>
      </c>
      <c r="H4" s="39">
        <f t="shared" ref="H4:H16" si="0">SUM(B4:G4)</f>
        <v>41290</v>
      </c>
      <c r="I4" s="160"/>
      <c r="L4" s="193" t="s">
        <v>163</v>
      </c>
      <c r="M4" s="190">
        <f>27098+2345</f>
        <v>29443</v>
      </c>
      <c r="N4" s="190">
        <f>27133+2293</f>
        <v>29426</v>
      </c>
      <c r="O4" s="190">
        <f>27330+2302</f>
        <v>29632</v>
      </c>
      <c r="P4" s="191">
        <f>27246+2270</f>
        <v>29516</v>
      </c>
      <c r="Q4" s="191">
        <f t="shared" ref="Q4:Q9" si="1">AVERAGE(M4:P4)</f>
        <v>29504.25</v>
      </c>
    </row>
    <row r="5" spans="1:17" x14ac:dyDescent="0.25">
      <c r="A5" s="4">
        <v>2004</v>
      </c>
      <c r="B5" s="40">
        <v>28560</v>
      </c>
      <c r="C5" s="40">
        <v>3247</v>
      </c>
      <c r="D5" s="40">
        <v>424</v>
      </c>
      <c r="E5" s="40">
        <v>466</v>
      </c>
      <c r="F5" s="40">
        <v>8635</v>
      </c>
      <c r="G5" s="40">
        <v>19</v>
      </c>
      <c r="H5" s="39">
        <f t="shared" si="0"/>
        <v>41351</v>
      </c>
      <c r="I5" s="160"/>
      <c r="J5" s="160"/>
      <c r="L5" s="193" t="s">
        <v>164</v>
      </c>
      <c r="M5" s="190">
        <f>3266+197</f>
        <v>3463</v>
      </c>
      <c r="N5" s="190">
        <f>3277+190</f>
        <v>3467</v>
      </c>
      <c r="O5" s="190">
        <f>3292+190</f>
        <v>3482</v>
      </c>
      <c r="P5" s="191">
        <f>3298+185</f>
        <v>3483</v>
      </c>
      <c r="Q5" s="191">
        <f t="shared" si="1"/>
        <v>3473.75</v>
      </c>
    </row>
    <row r="6" spans="1:17" x14ac:dyDescent="0.25">
      <c r="A6" s="4">
        <v>2005</v>
      </c>
      <c r="B6" s="40">
        <v>28576</v>
      </c>
      <c r="C6" s="40">
        <v>3274</v>
      </c>
      <c r="D6" s="40">
        <v>431</v>
      </c>
      <c r="E6" s="40">
        <v>459</v>
      </c>
      <c r="F6" s="40">
        <v>8642</v>
      </c>
      <c r="G6" s="40">
        <v>27</v>
      </c>
      <c r="H6" s="39">
        <f t="shared" si="0"/>
        <v>41409</v>
      </c>
      <c r="I6" s="160"/>
      <c r="J6" s="160"/>
      <c r="L6" s="193" t="s">
        <v>165</v>
      </c>
      <c r="M6" s="190">
        <f>331+43</f>
        <v>374</v>
      </c>
      <c r="N6" s="190">
        <f>331+44</f>
        <v>375</v>
      </c>
      <c r="O6" s="190">
        <f>333+42</f>
        <v>375</v>
      </c>
      <c r="P6" s="191">
        <f>327+41</f>
        <v>368</v>
      </c>
      <c r="Q6" s="191">
        <f t="shared" si="1"/>
        <v>373</v>
      </c>
    </row>
    <row r="7" spans="1:17" x14ac:dyDescent="0.25">
      <c r="A7" s="4">
        <v>2006</v>
      </c>
      <c r="B7" s="40">
        <v>28596</v>
      </c>
      <c r="C7" s="40">
        <v>3301</v>
      </c>
      <c r="D7" s="40">
        <v>432</v>
      </c>
      <c r="E7" s="40">
        <v>449</v>
      </c>
      <c r="F7" s="40">
        <v>8663</v>
      </c>
      <c r="G7" s="40">
        <v>28</v>
      </c>
      <c r="H7" s="39">
        <f t="shared" si="0"/>
        <v>41469</v>
      </c>
      <c r="I7" s="160"/>
      <c r="J7" s="160"/>
      <c r="L7" s="193" t="s">
        <v>140</v>
      </c>
      <c r="M7" s="190">
        <v>21</v>
      </c>
      <c r="N7" s="190">
        <v>21</v>
      </c>
      <c r="O7" s="190">
        <v>21</v>
      </c>
      <c r="P7" s="191">
        <v>21</v>
      </c>
      <c r="Q7" s="191">
        <f t="shared" si="1"/>
        <v>21</v>
      </c>
    </row>
    <row r="8" spans="1:17" x14ac:dyDescent="0.25">
      <c r="A8" s="4">
        <v>2007</v>
      </c>
      <c r="B8" s="40">
        <v>28630</v>
      </c>
      <c r="C8" s="40">
        <v>3302</v>
      </c>
      <c r="D8" s="40">
        <v>429</v>
      </c>
      <c r="E8" s="40">
        <v>443</v>
      </c>
      <c r="F8" s="40">
        <v>8707</v>
      </c>
      <c r="G8" s="40">
        <v>27</v>
      </c>
      <c r="H8" s="39">
        <f t="shared" si="0"/>
        <v>41538</v>
      </c>
      <c r="I8" s="160"/>
      <c r="J8" s="160"/>
      <c r="L8" s="193" t="s">
        <v>166</v>
      </c>
      <c r="M8" s="190">
        <v>378</v>
      </c>
      <c r="N8" s="190">
        <v>378</v>
      </c>
      <c r="O8" s="190">
        <v>378</v>
      </c>
      <c r="P8" s="191">
        <v>363</v>
      </c>
      <c r="Q8" s="191">
        <f t="shared" si="1"/>
        <v>374.25</v>
      </c>
    </row>
    <row r="9" spans="1:17" x14ac:dyDescent="0.25">
      <c r="A9" s="4">
        <v>2008</v>
      </c>
      <c r="B9" s="40">
        <v>28780</v>
      </c>
      <c r="C9" s="40">
        <v>3325</v>
      </c>
      <c r="D9" s="40">
        <v>426</v>
      </c>
      <c r="E9" s="40">
        <v>435</v>
      </c>
      <c r="F9" s="40">
        <v>8741</v>
      </c>
      <c r="G9" s="40">
        <v>22</v>
      </c>
      <c r="H9" s="39">
        <f t="shared" si="0"/>
        <v>41729</v>
      </c>
      <c r="I9" s="160"/>
      <c r="J9" s="160"/>
      <c r="L9" s="193" t="s">
        <v>167</v>
      </c>
      <c r="M9" s="190">
        <v>8846</v>
      </c>
      <c r="N9" s="190">
        <v>8846</v>
      </c>
      <c r="O9" s="190">
        <v>8846</v>
      </c>
      <c r="P9" s="191">
        <v>8846</v>
      </c>
      <c r="Q9" s="191">
        <f t="shared" si="1"/>
        <v>8846</v>
      </c>
    </row>
    <row r="10" spans="1:17" x14ac:dyDescent="0.25">
      <c r="A10" s="4">
        <v>2009</v>
      </c>
      <c r="B10" s="40">
        <v>28971</v>
      </c>
      <c r="C10" s="40">
        <v>3352</v>
      </c>
      <c r="D10" s="40">
        <v>433</v>
      </c>
      <c r="E10" s="40">
        <v>423</v>
      </c>
      <c r="F10" s="40">
        <v>8799</v>
      </c>
      <c r="G10" s="40">
        <v>17</v>
      </c>
      <c r="H10" s="39">
        <f t="shared" si="0"/>
        <v>41995</v>
      </c>
      <c r="I10" s="160"/>
      <c r="J10" s="160"/>
      <c r="L10" s="193" t="s">
        <v>12</v>
      </c>
      <c r="M10" s="190">
        <f>SUM(M4:M9)</f>
        <v>42525</v>
      </c>
      <c r="N10" s="190">
        <f>SUM(N4:N9)</f>
        <v>42513</v>
      </c>
      <c r="O10" s="190">
        <f>SUM(O4:O9)</f>
        <v>42734</v>
      </c>
      <c r="P10" s="190">
        <f>SUM(P4:P9)</f>
        <v>42597</v>
      </c>
      <c r="Q10" s="191"/>
    </row>
    <row r="11" spans="1:17" x14ac:dyDescent="0.25">
      <c r="A11" s="4">
        <v>2010</v>
      </c>
      <c r="B11" s="40">
        <v>29057</v>
      </c>
      <c r="C11" s="40">
        <v>3345</v>
      </c>
      <c r="D11" s="40">
        <v>435</v>
      </c>
      <c r="E11" s="40">
        <v>411</v>
      </c>
      <c r="F11" s="40">
        <v>8846</v>
      </c>
      <c r="G11" s="40">
        <v>16</v>
      </c>
      <c r="H11" s="39">
        <f t="shared" si="0"/>
        <v>42110</v>
      </c>
      <c r="I11" s="160"/>
      <c r="J11" s="160"/>
    </row>
    <row r="12" spans="1:17" x14ac:dyDescent="0.25">
      <c r="A12" s="4">
        <v>2011</v>
      </c>
      <c r="B12" s="40">
        <v>29124</v>
      </c>
      <c r="C12" s="40">
        <v>3366</v>
      </c>
      <c r="D12" s="40">
        <v>403</v>
      </c>
      <c r="E12" s="40">
        <v>402</v>
      </c>
      <c r="F12" s="40">
        <v>8846</v>
      </c>
      <c r="G12" s="40">
        <v>19</v>
      </c>
      <c r="H12" s="39">
        <f t="shared" si="0"/>
        <v>42160</v>
      </c>
      <c r="I12" s="160"/>
      <c r="J12" s="160"/>
      <c r="L12" s="189">
        <v>2012</v>
      </c>
      <c r="M12" s="344" t="s">
        <v>168</v>
      </c>
      <c r="N12" s="345" t="s">
        <v>169</v>
      </c>
      <c r="O12" s="345" t="s">
        <v>170</v>
      </c>
      <c r="P12" s="346" t="s">
        <v>171</v>
      </c>
      <c r="Q12" s="192" t="s">
        <v>16</v>
      </c>
    </row>
    <row r="13" spans="1:17" x14ac:dyDescent="0.25">
      <c r="A13" s="4">
        <v>2012</v>
      </c>
      <c r="B13" s="40">
        <v>29327</v>
      </c>
      <c r="C13" s="40">
        <v>3448</v>
      </c>
      <c r="D13" s="40">
        <v>366</v>
      </c>
      <c r="E13" s="40">
        <v>392</v>
      </c>
      <c r="F13" s="40">
        <v>8846</v>
      </c>
      <c r="G13" s="40">
        <v>21</v>
      </c>
      <c r="H13" s="39">
        <f t="shared" si="0"/>
        <v>42400</v>
      </c>
      <c r="I13" s="160">
        <f t="shared" ref="I13:I19" si="2">SUM(B13:D13)+G13+5</f>
        <v>33167</v>
      </c>
      <c r="J13" s="160"/>
      <c r="L13" s="193" t="s">
        <v>163</v>
      </c>
      <c r="M13" s="190">
        <v>29334</v>
      </c>
      <c r="N13" s="190">
        <v>29345</v>
      </c>
      <c r="O13" s="190">
        <v>29358</v>
      </c>
      <c r="P13" s="191">
        <v>29270</v>
      </c>
      <c r="Q13" s="191">
        <f t="shared" ref="Q13:Q18" si="3">AVERAGE(M13:P13)</f>
        <v>29326.75</v>
      </c>
    </row>
    <row r="14" spans="1:17" x14ac:dyDescent="0.25">
      <c r="A14" s="4">
        <v>2013</v>
      </c>
      <c r="B14" s="40">
        <v>29504</v>
      </c>
      <c r="C14" s="40">
        <v>3474</v>
      </c>
      <c r="D14" s="40">
        <v>373</v>
      </c>
      <c r="E14" s="40">
        <v>374</v>
      </c>
      <c r="F14" s="40">
        <v>8846</v>
      </c>
      <c r="G14" s="40">
        <v>21</v>
      </c>
      <c r="H14" s="39">
        <f t="shared" si="0"/>
        <v>42592</v>
      </c>
      <c r="I14" s="160">
        <f t="shared" si="2"/>
        <v>33377</v>
      </c>
      <c r="J14" s="160"/>
      <c r="K14" s="160"/>
      <c r="L14" s="193" t="s">
        <v>164</v>
      </c>
      <c r="M14" s="190">
        <v>3470</v>
      </c>
      <c r="N14" s="190">
        <v>3466</v>
      </c>
      <c r="O14" s="190">
        <v>3455</v>
      </c>
      <c r="P14" s="191">
        <v>3402</v>
      </c>
      <c r="Q14" s="191">
        <f t="shared" si="3"/>
        <v>3448.25</v>
      </c>
    </row>
    <row r="15" spans="1:17" x14ac:dyDescent="0.25">
      <c r="A15" s="4">
        <v>2014</v>
      </c>
      <c r="B15" s="40">
        <v>29514</v>
      </c>
      <c r="C15" s="40">
        <v>3464</v>
      </c>
      <c r="D15" s="40">
        <v>370</v>
      </c>
      <c r="E15" s="40">
        <v>362</v>
      </c>
      <c r="F15" s="40">
        <v>8846</v>
      </c>
      <c r="G15" s="40">
        <v>21</v>
      </c>
      <c r="H15" s="39">
        <f t="shared" si="0"/>
        <v>42577</v>
      </c>
      <c r="I15" s="160">
        <f t="shared" si="2"/>
        <v>33374</v>
      </c>
      <c r="J15" s="160"/>
      <c r="K15" s="160"/>
      <c r="L15" s="193" t="s">
        <v>165</v>
      </c>
      <c r="M15" s="190">
        <v>373</v>
      </c>
      <c r="N15" s="190">
        <v>373</v>
      </c>
      <c r="O15" s="190">
        <v>373</v>
      </c>
      <c r="P15" s="191">
        <v>357</v>
      </c>
      <c r="Q15" s="191">
        <f t="shared" si="3"/>
        <v>369</v>
      </c>
    </row>
    <row r="16" spans="1:17" x14ac:dyDescent="0.25">
      <c r="A16" s="4">
        <v>2015</v>
      </c>
      <c r="B16" s="67">
        <v>29566</v>
      </c>
      <c r="C16" s="67">
        <v>3431</v>
      </c>
      <c r="D16" s="67">
        <v>373</v>
      </c>
      <c r="E16" s="67">
        <v>360</v>
      </c>
      <c r="F16" s="67">
        <v>8839</v>
      </c>
      <c r="G16" s="67">
        <v>21</v>
      </c>
      <c r="H16" s="67">
        <f t="shared" si="0"/>
        <v>42590</v>
      </c>
      <c r="I16" s="160">
        <f t="shared" si="2"/>
        <v>33396</v>
      </c>
      <c r="J16" s="160"/>
      <c r="K16" s="160"/>
      <c r="L16" s="193" t="s">
        <v>140</v>
      </c>
      <c r="M16" s="190">
        <v>21</v>
      </c>
      <c r="N16" s="190">
        <v>21</v>
      </c>
      <c r="O16" s="190">
        <v>21</v>
      </c>
      <c r="P16" s="191">
        <v>21</v>
      </c>
      <c r="Q16" s="191">
        <f t="shared" si="3"/>
        <v>21</v>
      </c>
    </row>
    <row r="17" spans="1:17" x14ac:dyDescent="0.25">
      <c r="A17" s="4">
        <v>2016</v>
      </c>
      <c r="B17" s="67">
        <v>29620</v>
      </c>
      <c r="C17" s="67">
        <v>3414</v>
      </c>
      <c r="D17" s="67">
        <v>361</v>
      </c>
      <c r="E17" s="67">
        <v>362</v>
      </c>
      <c r="F17" s="67">
        <v>8872</v>
      </c>
      <c r="G17" s="67">
        <v>21</v>
      </c>
      <c r="H17" s="67">
        <f t="shared" ref="H17:H18" si="4">SUM(B17:G17)</f>
        <v>42650</v>
      </c>
      <c r="I17" s="160">
        <f t="shared" si="2"/>
        <v>33421</v>
      </c>
      <c r="J17" s="160"/>
      <c r="K17" s="160"/>
      <c r="L17" s="193" t="s">
        <v>166</v>
      </c>
      <c r="M17" s="190">
        <v>402</v>
      </c>
      <c r="N17" s="190">
        <v>402</v>
      </c>
      <c r="O17" s="190">
        <v>385</v>
      </c>
      <c r="P17" s="191">
        <v>378</v>
      </c>
      <c r="Q17" s="191">
        <f t="shared" si="3"/>
        <v>391.75</v>
      </c>
    </row>
    <row r="18" spans="1:17" x14ac:dyDescent="0.25">
      <c r="A18" s="4">
        <v>2017</v>
      </c>
      <c r="B18" s="67">
        <v>29729</v>
      </c>
      <c r="C18" s="67">
        <v>3417</v>
      </c>
      <c r="D18" s="67">
        <v>361</v>
      </c>
      <c r="E18" s="67">
        <v>361</v>
      </c>
      <c r="F18" s="67">
        <v>8070</v>
      </c>
      <c r="G18" s="67">
        <v>21</v>
      </c>
      <c r="H18" s="67">
        <f t="shared" si="4"/>
        <v>41959</v>
      </c>
      <c r="I18" s="160">
        <f t="shared" si="2"/>
        <v>33533</v>
      </c>
      <c r="J18" s="25">
        <f>I18/I17</f>
        <v>1.003351186379821</v>
      </c>
      <c r="K18" s="160"/>
      <c r="L18" s="193" t="s">
        <v>167</v>
      </c>
      <c r="M18" s="190">
        <v>8846</v>
      </c>
      <c r="N18" s="190">
        <v>8846</v>
      </c>
      <c r="O18" s="190">
        <v>8846</v>
      </c>
      <c r="P18" s="191">
        <v>8846</v>
      </c>
      <c r="Q18" s="191">
        <f t="shared" si="3"/>
        <v>8846</v>
      </c>
    </row>
    <row r="19" spans="1:17" x14ac:dyDescent="0.25">
      <c r="A19" s="4">
        <v>2018</v>
      </c>
      <c r="B19" s="20">
        <f>B18*$B$40</f>
        <v>29815.501606131944</v>
      </c>
      <c r="C19" s="20">
        <f>C18*$C$40</f>
        <v>3430.7641919188468</v>
      </c>
      <c r="D19" s="20">
        <f>D18*$D$40</f>
        <v>357.17848110967191</v>
      </c>
      <c r="E19" s="20">
        <f>E18*$E$40</f>
        <v>354.47637329291484</v>
      </c>
      <c r="F19" s="20">
        <v>8070</v>
      </c>
      <c r="G19" s="20">
        <f>G18*$G$40</f>
        <v>21.856426428186388</v>
      </c>
      <c r="H19" s="20">
        <f t="shared" ref="H19" si="5">SUM(B19:G19)</f>
        <v>42049.777078881569</v>
      </c>
      <c r="I19" s="160">
        <f t="shared" si="2"/>
        <v>33630.300705588656</v>
      </c>
      <c r="J19" s="25">
        <f>I19/I18</f>
        <v>1.002901640342011</v>
      </c>
      <c r="K19" s="160"/>
      <c r="L19" s="193" t="s">
        <v>12</v>
      </c>
      <c r="M19" s="190">
        <f>SUM(M13:M18)</f>
        <v>42446</v>
      </c>
      <c r="N19" s="190">
        <f>SUM(N13:N18)</f>
        <v>42453</v>
      </c>
      <c r="O19" s="190">
        <f>SUM(O13:O18)</f>
        <v>42438</v>
      </c>
      <c r="P19" s="190">
        <f>SUM(P13:P18)</f>
        <v>42274</v>
      </c>
      <c r="Q19" s="191"/>
    </row>
    <row r="20" spans="1:17" x14ac:dyDescent="0.25">
      <c r="A20" s="19"/>
      <c r="B20" s="61"/>
      <c r="C20" s="61"/>
      <c r="D20" s="61"/>
      <c r="E20" s="61"/>
      <c r="F20" s="61"/>
      <c r="G20" s="61"/>
      <c r="L20" s="398"/>
      <c r="M20" s="32"/>
      <c r="N20" s="32"/>
      <c r="O20" s="32"/>
      <c r="P20" s="32"/>
      <c r="Q20" s="386"/>
    </row>
    <row r="21" spans="1:17" x14ac:dyDescent="0.25">
      <c r="A21" s="18" t="s">
        <v>45</v>
      </c>
      <c r="B21" s="5"/>
      <c r="C21" s="5"/>
      <c r="D21" s="5"/>
      <c r="E21" s="5"/>
      <c r="F21" s="5"/>
      <c r="G21" s="5"/>
      <c r="L21" s="189">
        <v>2014</v>
      </c>
      <c r="M21" s="344" t="s">
        <v>168</v>
      </c>
      <c r="N21" s="345" t="s">
        <v>169</v>
      </c>
      <c r="O21" s="345" t="s">
        <v>170</v>
      </c>
      <c r="P21" s="346" t="s">
        <v>171</v>
      </c>
      <c r="Q21" s="192" t="s">
        <v>16</v>
      </c>
    </row>
    <row r="22" spans="1:17" x14ac:dyDescent="0.25">
      <c r="A22" s="4"/>
      <c r="B22" s="24"/>
      <c r="C22" s="24"/>
      <c r="D22" s="24"/>
      <c r="E22" s="24"/>
      <c r="F22" s="24"/>
      <c r="G22" s="24"/>
      <c r="L22" s="193" t="s">
        <v>163</v>
      </c>
      <c r="M22" s="190">
        <f>27171+2183</f>
        <v>29354</v>
      </c>
      <c r="N22" s="190">
        <f>27418+2119</f>
        <v>29537</v>
      </c>
      <c r="O22" s="190">
        <f>27422+2106</f>
        <v>29528</v>
      </c>
      <c r="P22" s="191">
        <f>27583+2052</f>
        <v>29635</v>
      </c>
      <c r="Q22" s="191">
        <f t="shared" ref="Q22:Q27" si="6">AVERAGE(M22:P22)</f>
        <v>29513.5</v>
      </c>
    </row>
    <row r="23" spans="1:17" x14ac:dyDescent="0.25">
      <c r="A23" s="4">
        <v>2002</v>
      </c>
      <c r="B23" s="24"/>
      <c r="C23" s="24"/>
      <c r="D23" s="24"/>
      <c r="E23" s="24"/>
      <c r="F23" s="24"/>
      <c r="G23" s="24"/>
      <c r="L23" s="193" t="s">
        <v>164</v>
      </c>
      <c r="M23" s="190">
        <f>3236+180</f>
        <v>3416</v>
      </c>
      <c r="N23" s="190">
        <f>3296+185</f>
        <v>3481</v>
      </c>
      <c r="O23" s="190">
        <f>3282+194</f>
        <v>3476</v>
      </c>
      <c r="P23" s="191">
        <f>3274+207</f>
        <v>3481</v>
      </c>
      <c r="Q23" s="191">
        <f t="shared" si="6"/>
        <v>3463.5</v>
      </c>
    </row>
    <row r="24" spans="1:17" x14ac:dyDescent="0.25">
      <c r="A24" s="4">
        <v>2003</v>
      </c>
      <c r="B24" s="24"/>
      <c r="C24" s="24"/>
      <c r="D24" s="24"/>
      <c r="E24" s="24"/>
      <c r="F24" s="24"/>
      <c r="G24" s="24"/>
      <c r="L24" s="193" t="s">
        <v>165</v>
      </c>
      <c r="M24" s="190">
        <f>328+41</f>
        <v>369</v>
      </c>
      <c r="N24" s="190">
        <f>326+44</f>
        <v>370</v>
      </c>
      <c r="O24" s="190">
        <f>324+46</f>
        <v>370</v>
      </c>
      <c r="P24" s="191">
        <f>333+38</f>
        <v>371</v>
      </c>
      <c r="Q24" s="191">
        <f t="shared" si="6"/>
        <v>370</v>
      </c>
    </row>
    <row r="25" spans="1:17" x14ac:dyDescent="0.25">
      <c r="A25" s="4">
        <v>2004</v>
      </c>
      <c r="B25" s="24">
        <f t="shared" ref="B25:G38" si="7">B5/B4</f>
        <v>1.0005605381165918</v>
      </c>
      <c r="C25" s="24">
        <f t="shared" si="7"/>
        <v>1.0052631578947369</v>
      </c>
      <c r="D25" s="24">
        <f t="shared" si="7"/>
        <v>1.0119331742243436</v>
      </c>
      <c r="E25" s="24">
        <f t="shared" si="7"/>
        <v>1</v>
      </c>
      <c r="F25" s="24">
        <f t="shared" si="7"/>
        <v>1.0018563638473141</v>
      </c>
      <c r="G25" s="198">
        <f t="shared" si="7"/>
        <v>1.5833333333333333</v>
      </c>
      <c r="H25" s="61"/>
      <c r="L25" s="193" t="s">
        <v>140</v>
      </c>
      <c r="M25" s="190">
        <v>21</v>
      </c>
      <c r="N25" s="190">
        <v>21</v>
      </c>
      <c r="O25" s="190">
        <v>20</v>
      </c>
      <c r="P25" s="191">
        <v>20</v>
      </c>
      <c r="Q25" s="191">
        <f t="shared" si="6"/>
        <v>20.5</v>
      </c>
    </row>
    <row r="26" spans="1:17" x14ac:dyDescent="0.25">
      <c r="A26" s="4">
        <v>2005</v>
      </c>
      <c r="B26" s="24">
        <f t="shared" si="7"/>
        <v>1.0005602240896359</v>
      </c>
      <c r="C26" s="24">
        <f t="shared" si="7"/>
        <v>1.0083153680320296</v>
      </c>
      <c r="D26" s="24">
        <f t="shared" si="7"/>
        <v>1.0165094339622642</v>
      </c>
      <c r="E26" s="24">
        <f t="shared" si="7"/>
        <v>0.98497854077253222</v>
      </c>
      <c r="F26" s="24">
        <f t="shared" si="7"/>
        <v>1.0008106543138391</v>
      </c>
      <c r="G26" s="198">
        <f t="shared" si="7"/>
        <v>1.4210526315789473</v>
      </c>
      <c r="J26" s="397"/>
      <c r="L26" s="193" t="s">
        <v>166</v>
      </c>
      <c r="M26" s="190">
        <v>363</v>
      </c>
      <c r="N26" s="190">
        <v>366</v>
      </c>
      <c r="O26" s="190">
        <v>363</v>
      </c>
      <c r="P26" s="191">
        <v>357</v>
      </c>
      <c r="Q26" s="191">
        <f t="shared" si="6"/>
        <v>362.25</v>
      </c>
    </row>
    <row r="27" spans="1:17" x14ac:dyDescent="0.25">
      <c r="A27" s="4">
        <v>2006</v>
      </c>
      <c r="B27" s="24">
        <f t="shared" si="7"/>
        <v>1.0006998880179172</v>
      </c>
      <c r="C27" s="24">
        <f t="shared" si="7"/>
        <v>1.0082467929138668</v>
      </c>
      <c r="D27" s="24">
        <f t="shared" si="7"/>
        <v>1.0023201856148491</v>
      </c>
      <c r="E27" s="24">
        <f t="shared" si="7"/>
        <v>0.97821350762527237</v>
      </c>
      <c r="F27" s="24">
        <f t="shared" si="7"/>
        <v>1.0024299930571627</v>
      </c>
      <c r="G27" s="198">
        <f t="shared" si="7"/>
        <v>1.037037037037037</v>
      </c>
      <c r="J27" s="397"/>
      <c r="L27" s="193" t="s">
        <v>167</v>
      </c>
      <c r="M27" s="190">
        <v>8846</v>
      </c>
      <c r="N27" s="190">
        <v>8846</v>
      </c>
      <c r="O27" s="190">
        <v>8846</v>
      </c>
      <c r="P27" s="191">
        <v>8846</v>
      </c>
      <c r="Q27" s="191">
        <f t="shared" si="6"/>
        <v>8846</v>
      </c>
    </row>
    <row r="28" spans="1:17" x14ac:dyDescent="0.25">
      <c r="A28" s="4">
        <v>2007</v>
      </c>
      <c r="B28" s="24">
        <f t="shared" si="7"/>
        <v>1.0011889774793676</v>
      </c>
      <c r="C28" s="24">
        <f t="shared" si="7"/>
        <v>1.0003029385034838</v>
      </c>
      <c r="D28" s="24">
        <f t="shared" si="7"/>
        <v>0.99305555555555558</v>
      </c>
      <c r="E28" s="24">
        <f t="shared" si="7"/>
        <v>0.98663697104677062</v>
      </c>
      <c r="F28" s="24">
        <f t="shared" si="7"/>
        <v>1.0050790719150411</v>
      </c>
      <c r="G28" s="198">
        <f t="shared" si="7"/>
        <v>0.9642857142857143</v>
      </c>
      <c r="J28" s="397"/>
      <c r="L28" s="193" t="s">
        <v>12</v>
      </c>
      <c r="M28" s="190">
        <f>SUM(M22:M27)</f>
        <v>42369</v>
      </c>
      <c r="N28" s="190">
        <f>SUM(N22:N27)</f>
        <v>42621</v>
      </c>
      <c r="O28" s="190">
        <f>SUM(O22:O27)</f>
        <v>42603</v>
      </c>
      <c r="P28" s="191">
        <f>SUM(P22:P27)</f>
        <v>42710</v>
      </c>
      <c r="Q28" s="191"/>
    </row>
    <row r="29" spans="1:17" x14ac:dyDescent="0.25">
      <c r="A29" s="4">
        <v>2008</v>
      </c>
      <c r="B29" s="24">
        <f t="shared" si="7"/>
        <v>1.0052392595179882</v>
      </c>
      <c r="C29" s="24">
        <f t="shared" si="7"/>
        <v>1.0069654754694124</v>
      </c>
      <c r="D29" s="24">
        <f t="shared" si="7"/>
        <v>0.99300699300699302</v>
      </c>
      <c r="E29" s="24">
        <f t="shared" si="7"/>
        <v>0.98194130925507905</v>
      </c>
      <c r="F29" s="24">
        <f t="shared" si="7"/>
        <v>1.0039049041001493</v>
      </c>
      <c r="G29" s="198">
        <f t="shared" si="7"/>
        <v>0.81481481481481477</v>
      </c>
      <c r="J29" s="397"/>
      <c r="L29" s="189"/>
      <c r="M29" s="190"/>
      <c r="N29" s="190"/>
      <c r="O29" s="190"/>
      <c r="P29" s="191"/>
      <c r="Q29" s="191"/>
    </row>
    <row r="30" spans="1:17" x14ac:dyDescent="0.25">
      <c r="A30" s="4">
        <v>2009</v>
      </c>
      <c r="B30" s="24">
        <f t="shared" si="7"/>
        <v>1.0066365531619179</v>
      </c>
      <c r="C30" s="24">
        <f t="shared" si="7"/>
        <v>1.0081203007518797</v>
      </c>
      <c r="D30" s="24">
        <f t="shared" si="7"/>
        <v>1.016431924882629</v>
      </c>
      <c r="E30" s="24">
        <f t="shared" si="7"/>
        <v>0.97241379310344822</v>
      </c>
      <c r="F30" s="24">
        <f t="shared" si="7"/>
        <v>1.0066353964077337</v>
      </c>
      <c r="G30" s="24">
        <f t="shared" si="7"/>
        <v>0.77272727272727271</v>
      </c>
      <c r="J30" s="397"/>
      <c r="L30" s="189">
        <v>2015</v>
      </c>
      <c r="M30" s="344" t="s">
        <v>168</v>
      </c>
      <c r="N30" s="345" t="s">
        <v>169</v>
      </c>
      <c r="O30" s="345" t="s">
        <v>170</v>
      </c>
      <c r="P30" s="346" t="s">
        <v>171</v>
      </c>
      <c r="Q30" s="192" t="s">
        <v>16</v>
      </c>
    </row>
    <row r="31" spans="1:17" x14ac:dyDescent="0.25">
      <c r="A31" s="4">
        <v>2010</v>
      </c>
      <c r="B31" s="24">
        <f t="shared" si="7"/>
        <v>1.0029684857271064</v>
      </c>
      <c r="C31" s="24">
        <f t="shared" si="7"/>
        <v>0.99791169451073991</v>
      </c>
      <c r="D31" s="24">
        <f t="shared" si="7"/>
        <v>1.0046189376443417</v>
      </c>
      <c r="E31" s="24">
        <f t="shared" si="7"/>
        <v>0.97163120567375882</v>
      </c>
      <c r="F31" s="24">
        <f t="shared" si="7"/>
        <v>1.0053415160813728</v>
      </c>
      <c r="G31" s="24">
        <f t="shared" si="7"/>
        <v>0.94117647058823528</v>
      </c>
      <c r="L31" s="193" t="s">
        <v>163</v>
      </c>
      <c r="M31" s="190">
        <f>27635+2024</f>
        <v>29659</v>
      </c>
      <c r="N31" s="190">
        <f>27588+1864</f>
        <v>29452</v>
      </c>
      <c r="O31" s="190">
        <f>27817+1742</f>
        <v>29559</v>
      </c>
      <c r="P31" s="191">
        <f>27900+1695</f>
        <v>29595</v>
      </c>
      <c r="Q31" s="191">
        <f t="shared" ref="Q31:Q36" si="8">AVERAGE(M31:P31)</f>
        <v>29566.25</v>
      </c>
    </row>
    <row r="32" spans="1:17" x14ac:dyDescent="0.25">
      <c r="A32" s="4">
        <v>2011</v>
      </c>
      <c r="B32" s="24">
        <f t="shared" si="7"/>
        <v>1.0023058127129436</v>
      </c>
      <c r="C32" s="24">
        <f t="shared" si="7"/>
        <v>1.0062780269058296</v>
      </c>
      <c r="D32" s="24">
        <f t="shared" si="7"/>
        <v>0.9264367816091954</v>
      </c>
      <c r="E32" s="24">
        <f t="shared" si="7"/>
        <v>0.97810218978102192</v>
      </c>
      <c r="F32" s="24">
        <f t="shared" si="7"/>
        <v>1</v>
      </c>
      <c r="G32" s="24">
        <f t="shared" si="7"/>
        <v>1.1875</v>
      </c>
      <c r="L32" s="193" t="s">
        <v>164</v>
      </c>
      <c r="M32" s="190">
        <f>3237+245</f>
        <v>3482</v>
      </c>
      <c r="N32" s="190">
        <f>3145+267</f>
        <v>3412</v>
      </c>
      <c r="O32" s="190">
        <f>3147+267</f>
        <v>3414</v>
      </c>
      <c r="P32" s="191">
        <f>3140+276</f>
        <v>3416</v>
      </c>
      <c r="Q32" s="191">
        <f t="shared" si="8"/>
        <v>3431</v>
      </c>
    </row>
    <row r="33" spans="1:19" x14ac:dyDescent="0.25">
      <c r="A33" s="4">
        <v>2012</v>
      </c>
      <c r="B33" s="24">
        <f t="shared" si="7"/>
        <v>1.0069701964015931</v>
      </c>
      <c r="C33" s="24">
        <f t="shared" si="7"/>
        <v>1.0243612596553773</v>
      </c>
      <c r="D33" s="24">
        <f t="shared" si="7"/>
        <v>0.90818858560794047</v>
      </c>
      <c r="E33" s="24">
        <f t="shared" si="7"/>
        <v>0.97512437810945274</v>
      </c>
      <c r="F33" s="24">
        <f t="shared" si="7"/>
        <v>1</v>
      </c>
      <c r="G33" s="24">
        <f t="shared" si="7"/>
        <v>1.1052631578947369</v>
      </c>
      <c r="L33" s="193" t="s">
        <v>165</v>
      </c>
      <c r="M33" s="190">
        <f>331+41</f>
        <v>372</v>
      </c>
      <c r="N33" s="190">
        <f>323+47</f>
        <v>370</v>
      </c>
      <c r="O33" s="190">
        <f>323+50</f>
        <v>373</v>
      </c>
      <c r="P33" s="191">
        <f>325+50</f>
        <v>375</v>
      </c>
      <c r="Q33" s="191">
        <f t="shared" si="8"/>
        <v>372.5</v>
      </c>
      <c r="S33" s="229"/>
    </row>
    <row r="34" spans="1:19" x14ac:dyDescent="0.25">
      <c r="A34" s="4">
        <v>2013</v>
      </c>
      <c r="B34" s="24">
        <f t="shared" si="7"/>
        <v>1.006035394005524</v>
      </c>
      <c r="C34" s="24">
        <f t="shared" si="7"/>
        <v>1.0075406032482599</v>
      </c>
      <c r="D34" s="24">
        <f t="shared" si="7"/>
        <v>1.0191256830601092</v>
      </c>
      <c r="E34" s="24">
        <f t="shared" si="7"/>
        <v>0.95408163265306123</v>
      </c>
      <c r="F34" s="24">
        <f t="shared" si="7"/>
        <v>1</v>
      </c>
      <c r="G34" s="24">
        <f t="shared" si="7"/>
        <v>1</v>
      </c>
      <c r="L34" s="193" t="s">
        <v>140</v>
      </c>
      <c r="M34" s="190">
        <v>20</v>
      </c>
      <c r="N34" s="190">
        <v>22</v>
      </c>
      <c r="O34" s="190">
        <v>20</v>
      </c>
      <c r="P34" s="191">
        <v>20</v>
      </c>
      <c r="Q34" s="191">
        <f t="shared" si="8"/>
        <v>20.5</v>
      </c>
      <c r="S34" s="229"/>
    </row>
    <row r="35" spans="1:19" x14ac:dyDescent="0.25">
      <c r="A35" s="4">
        <v>2014</v>
      </c>
      <c r="B35" s="24">
        <f t="shared" si="7"/>
        <v>1.0003389370932756</v>
      </c>
      <c r="C35" s="24">
        <f t="shared" si="7"/>
        <v>0.99712147380541161</v>
      </c>
      <c r="D35" s="24">
        <f t="shared" si="7"/>
        <v>0.99195710455764075</v>
      </c>
      <c r="E35" s="24">
        <f t="shared" si="7"/>
        <v>0.96791443850267378</v>
      </c>
      <c r="F35" s="24">
        <f t="shared" si="7"/>
        <v>1</v>
      </c>
      <c r="G35" s="24">
        <f t="shared" si="7"/>
        <v>1</v>
      </c>
      <c r="L35" s="193" t="s">
        <v>166</v>
      </c>
      <c r="M35" s="190">
        <v>353</v>
      </c>
      <c r="N35" s="190">
        <v>354</v>
      </c>
      <c r="O35" s="190">
        <v>367</v>
      </c>
      <c r="P35" s="191">
        <v>365</v>
      </c>
      <c r="Q35" s="191">
        <f t="shared" si="8"/>
        <v>359.75</v>
      </c>
      <c r="R35" s="32"/>
      <c r="S35" s="229"/>
    </row>
    <row r="36" spans="1:19" x14ac:dyDescent="0.25">
      <c r="A36" s="4">
        <v>2015</v>
      </c>
      <c r="B36" s="24">
        <f t="shared" si="7"/>
        <v>1.0017618757199973</v>
      </c>
      <c r="C36" s="24">
        <f t="shared" si="7"/>
        <v>0.99047344110854507</v>
      </c>
      <c r="D36" s="24">
        <f t="shared" si="7"/>
        <v>1.008108108108108</v>
      </c>
      <c r="E36" s="24">
        <f t="shared" si="7"/>
        <v>0.99447513812154698</v>
      </c>
      <c r="F36" s="24">
        <f t="shared" si="7"/>
        <v>0.9992086818901198</v>
      </c>
      <c r="G36" s="24">
        <f t="shared" si="7"/>
        <v>1</v>
      </c>
      <c r="H36" s="160"/>
      <c r="I36" s="160"/>
      <c r="J36" s="160"/>
      <c r="K36" s="160"/>
      <c r="L36" s="193" t="s">
        <v>167</v>
      </c>
      <c r="M36" s="190">
        <v>8846</v>
      </c>
      <c r="N36" s="190">
        <v>8836</v>
      </c>
      <c r="O36" s="190">
        <v>8836</v>
      </c>
      <c r="P36" s="191">
        <v>8836</v>
      </c>
      <c r="Q36" s="191">
        <f t="shared" si="8"/>
        <v>8838.5</v>
      </c>
      <c r="R36" s="32"/>
      <c r="S36" s="229"/>
    </row>
    <row r="37" spans="1:19" x14ac:dyDescent="0.25">
      <c r="A37" s="4">
        <v>2016</v>
      </c>
      <c r="B37" s="24">
        <f t="shared" si="7"/>
        <v>1.0018264222417641</v>
      </c>
      <c r="C37" s="24">
        <f t="shared" si="7"/>
        <v>0.99504517633343048</v>
      </c>
      <c r="D37" s="24">
        <f t="shared" si="7"/>
        <v>0.96782841823056298</v>
      </c>
      <c r="E37" s="24">
        <f t="shared" si="7"/>
        <v>1.0055555555555555</v>
      </c>
      <c r="F37" s="24">
        <f t="shared" si="7"/>
        <v>1.0037334540106346</v>
      </c>
      <c r="G37" s="24">
        <f t="shared" si="7"/>
        <v>1</v>
      </c>
      <c r="H37" s="160"/>
      <c r="I37" s="160"/>
      <c r="J37" s="160"/>
      <c r="K37" s="160"/>
      <c r="L37" s="193" t="s">
        <v>12</v>
      </c>
      <c r="M37" s="190">
        <f>SUM(M31:M36)</f>
        <v>42732</v>
      </c>
      <c r="N37" s="190">
        <f>SUM(N31:N36)</f>
        <v>42446</v>
      </c>
      <c r="O37" s="190">
        <f>SUM(O31:O36)</f>
        <v>42569</v>
      </c>
      <c r="P37" s="191">
        <f>SUM(P31:P36)</f>
        <v>42607</v>
      </c>
      <c r="Q37" s="191"/>
      <c r="R37" s="32"/>
      <c r="S37" s="229"/>
    </row>
    <row r="38" spans="1:19" x14ac:dyDescent="0.25">
      <c r="A38" s="4">
        <v>2017</v>
      </c>
      <c r="B38" s="198">
        <f t="shared" si="7"/>
        <v>1.0036799459824444</v>
      </c>
      <c r="C38" s="198">
        <f t="shared" si="7"/>
        <v>1.0008787346221442</v>
      </c>
      <c r="D38" s="198">
        <f t="shared" si="7"/>
        <v>1</v>
      </c>
      <c r="E38" s="198">
        <f t="shared" si="7"/>
        <v>0.99723756906077343</v>
      </c>
      <c r="F38" s="198">
        <f t="shared" si="7"/>
        <v>0.9096032461677187</v>
      </c>
      <c r="G38" s="198">
        <f t="shared" si="7"/>
        <v>1</v>
      </c>
      <c r="H38" s="160"/>
      <c r="I38" s="160"/>
      <c r="J38" s="160"/>
      <c r="K38" s="160"/>
      <c r="L38" s="193"/>
      <c r="M38" s="190"/>
      <c r="N38" s="190"/>
      <c r="O38" s="190"/>
      <c r="P38" s="191"/>
      <c r="Q38" s="191"/>
      <c r="R38" s="32"/>
      <c r="S38" s="229"/>
    </row>
    <row r="39" spans="1:19" x14ac:dyDescent="0.25">
      <c r="L39" s="189"/>
      <c r="M39" s="190"/>
      <c r="N39" s="190"/>
      <c r="O39" s="190"/>
      <c r="P39" s="191"/>
      <c r="Q39" s="191"/>
      <c r="R39" s="32"/>
      <c r="S39" s="229"/>
    </row>
    <row r="40" spans="1:19" x14ac:dyDescent="0.25">
      <c r="A40" t="s">
        <v>63</v>
      </c>
      <c r="B40" s="25">
        <f>B42</f>
        <v>1.0029096708981784</v>
      </c>
      <c r="C40" s="25">
        <f t="shared" ref="C40:G40" si="9">C42</f>
        <v>1.0040281509859077</v>
      </c>
      <c r="D40" s="25">
        <f t="shared" si="9"/>
        <v>0.98941407509604407</v>
      </c>
      <c r="E40" s="25">
        <f t="shared" si="9"/>
        <v>0.98192901189173087</v>
      </c>
      <c r="F40" s="25">
        <f t="shared" si="9"/>
        <v>0.99530991962429038</v>
      </c>
      <c r="G40" s="25">
        <f t="shared" si="9"/>
        <v>1.0407822108660185</v>
      </c>
      <c r="L40" s="189"/>
      <c r="M40" s="190"/>
      <c r="N40" s="190"/>
      <c r="O40" s="190"/>
      <c r="P40" s="191"/>
      <c r="Q40" s="191"/>
    </row>
    <row r="41" spans="1:19" x14ac:dyDescent="0.25">
      <c r="B41" s="25"/>
      <c r="C41" s="25"/>
      <c r="D41" s="25"/>
      <c r="E41" s="25"/>
      <c r="F41" s="25"/>
      <c r="G41" s="25"/>
      <c r="L41" s="189">
        <v>2016</v>
      </c>
      <c r="M41" s="344" t="s">
        <v>168</v>
      </c>
      <c r="N41" s="345" t="s">
        <v>169</v>
      </c>
      <c r="O41" s="345" t="s">
        <v>170</v>
      </c>
      <c r="P41" s="346" t="s">
        <v>171</v>
      </c>
      <c r="Q41" s="192" t="s">
        <v>16</v>
      </c>
    </row>
    <row r="42" spans="1:19" x14ac:dyDescent="0.25">
      <c r="A42" t="s">
        <v>17</v>
      </c>
      <c r="B42" s="25">
        <f>GEOMEAN(B25:B38)</f>
        <v>1.0029096708981784</v>
      </c>
      <c r="C42" s="25">
        <f t="shared" ref="C42:G42" si="10">GEOMEAN(C25:C38)</f>
        <v>1.0040281509859077</v>
      </c>
      <c r="D42" s="25">
        <f t="shared" si="10"/>
        <v>0.98941407509604407</v>
      </c>
      <c r="E42" s="25">
        <f t="shared" si="10"/>
        <v>0.98192901189173087</v>
      </c>
      <c r="F42" s="25">
        <f t="shared" si="10"/>
        <v>0.99530991962429038</v>
      </c>
      <c r="G42" s="25">
        <f t="shared" si="10"/>
        <v>1.0407822108660185</v>
      </c>
      <c r="L42" s="193" t="s">
        <v>163</v>
      </c>
      <c r="M42" s="190">
        <f>28013+1581</f>
        <v>29594</v>
      </c>
      <c r="N42" s="190">
        <f>28050+1497</f>
        <v>29547</v>
      </c>
      <c r="O42" s="190">
        <f>28224+1386</f>
        <v>29610</v>
      </c>
      <c r="P42" s="191">
        <v>29727</v>
      </c>
      <c r="Q42" s="191">
        <f>AVERAGE(M42:P42)</f>
        <v>29619.5</v>
      </c>
    </row>
    <row r="43" spans="1:19" x14ac:dyDescent="0.25">
      <c r="A43" s="4"/>
      <c r="B43" s="25"/>
      <c r="C43" s="25"/>
      <c r="D43" s="25"/>
      <c r="E43" s="25"/>
      <c r="F43" s="25"/>
      <c r="G43" s="25"/>
      <c r="L43" s="193" t="s">
        <v>164</v>
      </c>
      <c r="M43" s="190">
        <f>3141+275</f>
        <v>3416</v>
      </c>
      <c r="N43" s="190">
        <f>3146+269</f>
        <v>3415</v>
      </c>
      <c r="O43" s="190">
        <f>3135+269</f>
        <v>3404</v>
      </c>
      <c r="P43" s="191">
        <v>3414</v>
      </c>
      <c r="Q43" s="191">
        <f t="shared" ref="Q43:Q47" si="11">AVERAGE(M43:P43)</f>
        <v>3412.25</v>
      </c>
    </row>
    <row r="44" spans="1:19" x14ac:dyDescent="0.25">
      <c r="A44" s="4"/>
      <c r="B44" s="25">
        <f t="shared" ref="B44:G44" si="12">B42-1</f>
        <v>2.9096708981783959E-3</v>
      </c>
      <c r="C44" s="25">
        <f>C42-1</f>
        <v>4.0281509859076969E-3</v>
      </c>
      <c r="D44" s="25">
        <f t="shared" si="12"/>
        <v>-1.0585924903955934E-2</v>
      </c>
      <c r="E44" s="25">
        <f t="shared" si="12"/>
        <v>-1.8070988108269126E-2</v>
      </c>
      <c r="F44" s="25">
        <f t="shared" si="12"/>
        <v>-4.6900803757096154E-3</v>
      </c>
      <c r="G44" s="25">
        <f t="shared" si="12"/>
        <v>4.078221086601852E-2</v>
      </c>
      <c r="L44" s="193" t="s">
        <v>165</v>
      </c>
      <c r="M44" s="190">
        <f>324+52</f>
        <v>376</v>
      </c>
      <c r="N44" s="190">
        <f>319+53</f>
        <v>372</v>
      </c>
      <c r="O44" s="190">
        <f>320+52</f>
        <v>372</v>
      </c>
      <c r="P44" s="191">
        <v>361</v>
      </c>
      <c r="Q44" s="191">
        <f t="shared" si="11"/>
        <v>370.25</v>
      </c>
    </row>
    <row r="45" spans="1:19" x14ac:dyDescent="0.25">
      <c r="A45" s="4"/>
      <c r="B45" s="25"/>
      <c r="C45" s="25"/>
      <c r="D45" s="25"/>
      <c r="E45" s="25"/>
      <c r="F45" s="25"/>
      <c r="G45" s="25"/>
      <c r="L45" s="193" t="s">
        <v>140</v>
      </c>
      <c r="M45" s="190">
        <v>21</v>
      </c>
      <c r="N45" s="190">
        <v>21</v>
      </c>
      <c r="O45" s="190">
        <v>21</v>
      </c>
      <c r="P45" s="191">
        <v>21</v>
      </c>
      <c r="Q45" s="191">
        <f t="shared" si="11"/>
        <v>21</v>
      </c>
    </row>
    <row r="46" spans="1:19" x14ac:dyDescent="0.25">
      <c r="A46" s="4"/>
      <c r="B46" s="63"/>
      <c r="C46" s="25"/>
      <c r="D46" s="25"/>
      <c r="L46" s="193" t="s">
        <v>166</v>
      </c>
      <c r="M46" s="190">
        <v>365</v>
      </c>
      <c r="N46" s="190">
        <v>361</v>
      </c>
      <c r="O46" s="190">
        <v>359</v>
      </c>
      <c r="P46" s="191">
        <v>362</v>
      </c>
      <c r="Q46" s="191">
        <f t="shared" si="11"/>
        <v>361.75</v>
      </c>
    </row>
    <row r="47" spans="1:19" x14ac:dyDescent="0.25">
      <c r="A47" s="4"/>
      <c r="B47" s="25"/>
      <c r="C47" s="25"/>
      <c r="D47" s="25"/>
      <c r="E47" s="25"/>
      <c r="F47" s="25"/>
      <c r="G47" s="25"/>
      <c r="L47" s="193" t="s">
        <v>167</v>
      </c>
      <c r="M47" s="190">
        <v>8836</v>
      </c>
      <c r="N47" s="190">
        <v>8836</v>
      </c>
      <c r="O47" s="190">
        <v>8836</v>
      </c>
      <c r="P47" s="191">
        <v>8980</v>
      </c>
      <c r="Q47" s="191">
        <f t="shared" si="11"/>
        <v>8872</v>
      </c>
    </row>
    <row r="48" spans="1:19" x14ac:dyDescent="0.25">
      <c r="A48" s="4"/>
      <c r="B48" s="25"/>
      <c r="C48" s="25"/>
      <c r="D48" s="25"/>
      <c r="E48" s="25"/>
      <c r="F48" s="25"/>
      <c r="G48" s="25"/>
      <c r="L48" s="193" t="s">
        <v>12</v>
      </c>
      <c r="M48" s="190">
        <f>SUM(M42:M47)</f>
        <v>42608</v>
      </c>
      <c r="N48" s="190">
        <f>SUM(N42:N47)</f>
        <v>42552</v>
      </c>
      <c r="O48" s="190">
        <f>SUM(O42:O47)</f>
        <v>42602</v>
      </c>
      <c r="P48" s="190">
        <f>SUM(P42:P47)</f>
        <v>42865</v>
      </c>
      <c r="Q48" s="191"/>
    </row>
    <row r="49" spans="2:17" x14ac:dyDescent="0.25">
      <c r="B49"/>
      <c r="C49"/>
      <c r="D49"/>
      <c r="E49"/>
      <c r="F49"/>
      <c r="G49"/>
    </row>
    <row r="50" spans="2:17" x14ac:dyDescent="0.25">
      <c r="B50"/>
      <c r="C50"/>
      <c r="D50"/>
      <c r="E50"/>
      <c r="F50"/>
      <c r="G50"/>
      <c r="L50" s="189">
        <v>2017</v>
      </c>
      <c r="M50" s="344" t="s">
        <v>168</v>
      </c>
      <c r="N50" s="345" t="s">
        <v>169</v>
      </c>
      <c r="O50" s="345" t="s">
        <v>170</v>
      </c>
      <c r="P50" s="346" t="s">
        <v>171</v>
      </c>
      <c r="Q50" s="192" t="s">
        <v>16</v>
      </c>
    </row>
    <row r="51" spans="2:17" x14ac:dyDescent="0.25">
      <c r="B51"/>
      <c r="C51"/>
      <c r="D51"/>
      <c r="E51"/>
      <c r="F51"/>
      <c r="G51"/>
      <c r="L51" s="193" t="s">
        <v>163</v>
      </c>
      <c r="M51" s="190">
        <v>29727</v>
      </c>
      <c r="N51" s="190">
        <v>29674</v>
      </c>
      <c r="O51" s="190">
        <v>29713</v>
      </c>
      <c r="P51" s="190">
        <v>29803</v>
      </c>
      <c r="Q51" s="191">
        <f>AVERAGE(M51:P51)</f>
        <v>29729.25</v>
      </c>
    </row>
    <row r="52" spans="2:17" x14ac:dyDescent="0.25">
      <c r="B52"/>
      <c r="C52"/>
      <c r="D52"/>
      <c r="E52"/>
      <c r="F52"/>
      <c r="G52"/>
      <c r="L52" s="193" t="s">
        <v>164</v>
      </c>
      <c r="M52" s="190">
        <v>3414</v>
      </c>
      <c r="N52" s="190">
        <v>3421</v>
      </c>
      <c r="O52" s="190">
        <v>3417</v>
      </c>
      <c r="P52" s="190">
        <v>3414</v>
      </c>
      <c r="Q52" s="191">
        <f t="shared" ref="Q52:Q56" si="13">AVERAGE(M52:P52)</f>
        <v>3416.5</v>
      </c>
    </row>
    <row r="53" spans="2:17" x14ac:dyDescent="0.25">
      <c r="B53"/>
      <c r="C53"/>
      <c r="D53"/>
      <c r="E53"/>
      <c r="F53"/>
      <c r="G53"/>
      <c r="L53" s="193" t="s">
        <v>165</v>
      </c>
      <c r="M53" s="190">
        <v>361</v>
      </c>
      <c r="N53" s="190">
        <v>361</v>
      </c>
      <c r="O53" s="190">
        <v>360</v>
      </c>
      <c r="P53" s="190">
        <v>362</v>
      </c>
      <c r="Q53" s="191">
        <f t="shared" si="13"/>
        <v>361</v>
      </c>
    </row>
    <row r="54" spans="2:17" x14ac:dyDescent="0.25">
      <c r="B54"/>
      <c r="C54"/>
      <c r="D54"/>
      <c r="E54"/>
      <c r="F54"/>
      <c r="G54"/>
      <c r="L54" s="193" t="s">
        <v>140</v>
      </c>
      <c r="M54" s="190">
        <v>21</v>
      </c>
      <c r="N54" s="190">
        <v>21</v>
      </c>
      <c r="O54" s="190">
        <v>21</v>
      </c>
      <c r="P54" s="190">
        <v>21</v>
      </c>
      <c r="Q54" s="191">
        <f t="shared" si="13"/>
        <v>21</v>
      </c>
    </row>
    <row r="55" spans="2:17" x14ac:dyDescent="0.25">
      <c r="B55"/>
      <c r="C55"/>
      <c r="D55"/>
      <c r="E55"/>
      <c r="F55"/>
      <c r="G55"/>
      <c r="L55" s="193" t="s">
        <v>166</v>
      </c>
      <c r="M55" s="190">
        <v>362</v>
      </c>
      <c r="N55" s="190">
        <v>363</v>
      </c>
      <c r="O55" s="190">
        <v>359</v>
      </c>
      <c r="P55" s="190">
        <v>358</v>
      </c>
      <c r="Q55" s="191">
        <f t="shared" si="13"/>
        <v>360.5</v>
      </c>
    </row>
    <row r="56" spans="2:17" x14ac:dyDescent="0.25">
      <c r="B56"/>
      <c r="C56"/>
      <c r="D56"/>
      <c r="E56"/>
      <c r="F56"/>
      <c r="G56"/>
      <c r="L56" s="193" t="s">
        <v>167</v>
      </c>
      <c r="M56" s="190">
        <v>8980</v>
      </c>
      <c r="N56" s="190">
        <v>9317</v>
      </c>
      <c r="O56" s="190">
        <v>9317</v>
      </c>
      <c r="P56" s="190">
        <v>9317</v>
      </c>
      <c r="Q56" s="191">
        <f t="shared" si="13"/>
        <v>9232.75</v>
      </c>
    </row>
    <row r="57" spans="2:17" x14ac:dyDescent="0.25">
      <c r="B57"/>
      <c r="C57"/>
      <c r="D57"/>
      <c r="E57"/>
      <c r="F57"/>
      <c r="G57"/>
      <c r="L57" s="193" t="s">
        <v>12</v>
      </c>
      <c r="M57" s="190">
        <f>SUM(M51:M56)</f>
        <v>42865</v>
      </c>
      <c r="N57" s="190">
        <f>SUM(N51:N56)</f>
        <v>43157</v>
      </c>
      <c r="O57" s="190">
        <f>SUM(O51:O56)</f>
        <v>43187</v>
      </c>
      <c r="P57" s="190">
        <f>SUM(P51:P56)</f>
        <v>43275</v>
      </c>
      <c r="Q57" s="191"/>
    </row>
    <row r="58" spans="2:17" x14ac:dyDescent="0.25">
      <c r="B58"/>
      <c r="C58"/>
      <c r="D58"/>
      <c r="E58"/>
      <c r="F58"/>
      <c r="G58"/>
    </row>
    <row r="59" spans="2:17" x14ac:dyDescent="0.25">
      <c r="B59"/>
      <c r="C59"/>
      <c r="D59"/>
      <c r="E59"/>
      <c r="F59"/>
      <c r="G59"/>
    </row>
    <row r="60" spans="2:17" x14ac:dyDescent="0.25">
      <c r="B60"/>
      <c r="C60"/>
      <c r="D60"/>
      <c r="E60"/>
      <c r="F60"/>
      <c r="G60"/>
    </row>
    <row r="61" spans="2:17" x14ac:dyDescent="0.25">
      <c r="B61"/>
      <c r="C61"/>
      <c r="D61"/>
      <c r="E61"/>
      <c r="F61"/>
      <c r="G61"/>
    </row>
    <row r="62" spans="2:17" x14ac:dyDescent="0.25">
      <c r="B62"/>
      <c r="C62"/>
      <c r="D62"/>
      <c r="E62"/>
      <c r="F62"/>
      <c r="G62"/>
    </row>
    <row r="63" spans="2:17" x14ac:dyDescent="0.25">
      <c r="B63"/>
      <c r="C63"/>
      <c r="D63"/>
      <c r="E63"/>
      <c r="F63"/>
      <c r="G63"/>
    </row>
    <row r="64" spans="2:17" x14ac:dyDescent="0.25">
      <c r="B64"/>
      <c r="C64"/>
      <c r="D64"/>
      <c r="E64"/>
      <c r="F64"/>
      <c r="G64"/>
    </row>
    <row r="65" spans="2:17" x14ac:dyDescent="0.25">
      <c r="B65"/>
      <c r="C65"/>
      <c r="D65"/>
      <c r="E65"/>
      <c r="F65"/>
      <c r="G65"/>
    </row>
    <row r="66" spans="2:17" x14ac:dyDescent="0.25">
      <c r="B66"/>
      <c r="C66"/>
      <c r="D66"/>
      <c r="E66"/>
      <c r="F66"/>
      <c r="G66"/>
    </row>
    <row r="67" spans="2:17" x14ac:dyDescent="0.25">
      <c r="B67"/>
      <c r="C67"/>
      <c r="D67"/>
      <c r="E67"/>
      <c r="F67"/>
      <c r="G67"/>
    </row>
    <row r="68" spans="2:17" x14ac:dyDescent="0.25">
      <c r="B68"/>
      <c r="C68"/>
      <c r="D68"/>
      <c r="E68"/>
      <c r="F68"/>
      <c r="G68"/>
    </row>
    <row r="69" spans="2:17" x14ac:dyDescent="0.25">
      <c r="B69" s="25"/>
      <c r="C69" s="25"/>
      <c r="D69" s="25"/>
      <c r="E69" s="25"/>
      <c r="F69" s="25"/>
      <c r="G69" s="25"/>
    </row>
    <row r="70" spans="2:17" x14ac:dyDescent="0.25">
      <c r="B70" s="25"/>
      <c r="C70" s="25"/>
      <c r="D70" s="25"/>
      <c r="E70" s="25"/>
      <c r="F70" s="25"/>
      <c r="G70" s="25"/>
    </row>
    <row r="71" spans="2:17" x14ac:dyDescent="0.25">
      <c r="B71" s="25"/>
      <c r="C71" s="25"/>
      <c r="D71" s="25"/>
      <c r="E71" s="25"/>
      <c r="F71" s="25"/>
      <c r="G71" s="25"/>
    </row>
    <row r="72" spans="2:17" x14ac:dyDescent="0.25">
      <c r="B72" s="25"/>
      <c r="C72" s="25"/>
      <c r="D72" s="25"/>
      <c r="E72" s="25"/>
      <c r="F72" s="25"/>
      <c r="G72" s="25"/>
    </row>
    <row r="73" spans="2:17" x14ac:dyDescent="0.25">
      <c r="B73" s="25"/>
      <c r="C73" s="25"/>
      <c r="D73" s="25"/>
      <c r="E73" s="25"/>
      <c r="F73" s="25"/>
      <c r="G73" s="25"/>
    </row>
    <row r="74" spans="2:17" x14ac:dyDescent="0.25">
      <c r="B74" s="25"/>
      <c r="C74" s="25"/>
      <c r="D74" s="25"/>
      <c r="E74" s="25"/>
      <c r="F74" s="25"/>
      <c r="G74" s="25"/>
    </row>
    <row r="75" spans="2:17" x14ac:dyDescent="0.25">
      <c r="B75" s="25"/>
      <c r="C75" s="25"/>
      <c r="E75" s="25"/>
      <c r="F75" s="25"/>
      <c r="G75" s="25"/>
    </row>
    <row r="76" spans="2:17" x14ac:dyDescent="0.25">
      <c r="B76"/>
      <c r="C76"/>
      <c r="D76"/>
      <c r="E76"/>
      <c r="F76"/>
      <c r="G76"/>
      <c r="H76"/>
      <c r="I76"/>
      <c r="J76"/>
      <c r="K76"/>
      <c r="L76"/>
      <c r="P76"/>
      <c r="Q76"/>
    </row>
    <row r="77" spans="2:17" x14ac:dyDescent="0.25">
      <c r="B77"/>
      <c r="C77"/>
      <c r="D77"/>
      <c r="E77"/>
      <c r="F77"/>
      <c r="G77"/>
      <c r="H77"/>
      <c r="I77"/>
      <c r="J77"/>
      <c r="K77"/>
      <c r="L77"/>
      <c r="P77"/>
      <c r="Q77"/>
    </row>
    <row r="78" spans="2:17" x14ac:dyDescent="0.25">
      <c r="B78"/>
      <c r="C78"/>
      <c r="D78"/>
      <c r="E78"/>
      <c r="F78"/>
      <c r="G78"/>
      <c r="H78"/>
      <c r="I78"/>
      <c r="J78"/>
      <c r="K78"/>
      <c r="L78"/>
      <c r="P78"/>
      <c r="Q78"/>
    </row>
    <row r="79" spans="2:17" x14ac:dyDescent="0.25">
      <c r="B79"/>
      <c r="C79"/>
      <c r="D79"/>
      <c r="E79"/>
      <c r="F79"/>
      <c r="G79"/>
      <c r="H79"/>
      <c r="I79"/>
      <c r="J79"/>
      <c r="K79"/>
      <c r="L79"/>
      <c r="P79"/>
      <c r="Q79"/>
    </row>
    <row r="80" spans="2:17" x14ac:dyDescent="0.25">
      <c r="B80"/>
      <c r="C80"/>
      <c r="D80"/>
      <c r="E80"/>
      <c r="F80"/>
      <c r="G80"/>
      <c r="H80"/>
      <c r="I80"/>
      <c r="J80"/>
      <c r="K80"/>
      <c r="L80"/>
      <c r="P80"/>
      <c r="Q80"/>
    </row>
    <row r="81" spans="2:17" x14ac:dyDescent="0.25">
      <c r="B81"/>
      <c r="C81"/>
      <c r="D81"/>
      <c r="E81"/>
      <c r="F81"/>
      <c r="G81"/>
      <c r="H81"/>
      <c r="I81"/>
      <c r="J81"/>
      <c r="K81"/>
      <c r="L81"/>
      <c r="P81"/>
      <c r="Q81"/>
    </row>
    <row r="82" spans="2:17" x14ac:dyDescent="0.25">
      <c r="B82"/>
      <c r="C82"/>
      <c r="D82"/>
      <c r="E82"/>
      <c r="F82"/>
      <c r="G82"/>
      <c r="H82"/>
      <c r="I82"/>
      <c r="J82"/>
      <c r="K82"/>
      <c r="L82"/>
      <c r="P82"/>
      <c r="Q82"/>
    </row>
    <row r="83" spans="2:17" x14ac:dyDescent="0.25">
      <c r="B83"/>
      <c r="C83"/>
      <c r="D83"/>
      <c r="E83"/>
      <c r="F83"/>
      <c r="G83"/>
      <c r="H83"/>
      <c r="I83"/>
      <c r="J83"/>
      <c r="K83"/>
      <c r="L83"/>
      <c r="P83"/>
      <c r="Q83"/>
    </row>
    <row r="84" spans="2:17" x14ac:dyDescent="0.25">
      <c r="B84"/>
      <c r="C84"/>
      <c r="D84"/>
      <c r="E84"/>
      <c r="F84"/>
      <c r="G84"/>
      <c r="H84"/>
      <c r="I84"/>
      <c r="J84"/>
      <c r="K84"/>
      <c r="L84"/>
      <c r="P84"/>
      <c r="Q84"/>
    </row>
    <row r="85" spans="2:17" x14ac:dyDescent="0.25">
      <c r="B85"/>
      <c r="C85"/>
      <c r="D85"/>
      <c r="E85"/>
      <c r="F85"/>
      <c r="G85"/>
      <c r="H85"/>
      <c r="I85"/>
      <c r="J85"/>
      <c r="K85"/>
      <c r="L85"/>
      <c r="P85"/>
      <c r="Q85"/>
    </row>
    <row r="86" spans="2:17" x14ac:dyDescent="0.25">
      <c r="B86"/>
      <c r="C86"/>
      <c r="D86"/>
      <c r="E86"/>
      <c r="F86"/>
      <c r="G86"/>
      <c r="H86"/>
      <c r="I86"/>
      <c r="J86"/>
      <c r="K86"/>
      <c r="L86"/>
      <c r="P86"/>
      <c r="Q86"/>
    </row>
    <row r="87" spans="2:17" x14ac:dyDescent="0.25">
      <c r="B87"/>
      <c r="C87"/>
      <c r="D87"/>
      <c r="E87"/>
      <c r="F87"/>
      <c r="G87"/>
      <c r="H87"/>
      <c r="I87"/>
      <c r="J87"/>
      <c r="K87"/>
      <c r="L87"/>
      <c r="P87"/>
      <c r="Q87"/>
    </row>
    <row r="88" spans="2:17" x14ac:dyDescent="0.25">
      <c r="B88"/>
      <c r="C88"/>
      <c r="D88"/>
      <c r="E88"/>
      <c r="F88"/>
      <c r="G88"/>
      <c r="H88"/>
      <c r="I88"/>
      <c r="J88"/>
      <c r="K88"/>
      <c r="L88"/>
      <c r="P88"/>
      <c r="Q88"/>
    </row>
    <row r="89" spans="2:17" x14ac:dyDescent="0.25">
      <c r="B89"/>
      <c r="C89"/>
      <c r="D89"/>
      <c r="E89"/>
      <c r="F89"/>
      <c r="G89"/>
      <c r="H89"/>
      <c r="I89"/>
      <c r="J89"/>
      <c r="K89"/>
      <c r="L89"/>
      <c r="P89"/>
      <c r="Q89"/>
    </row>
    <row r="90" spans="2:17" x14ac:dyDescent="0.25">
      <c r="B90"/>
      <c r="C90"/>
      <c r="D90"/>
      <c r="E90"/>
      <c r="F90"/>
      <c r="G90"/>
      <c r="H90"/>
      <c r="I90"/>
      <c r="J90"/>
      <c r="K90"/>
      <c r="L90"/>
      <c r="P90"/>
      <c r="Q90"/>
    </row>
    <row r="91" spans="2:17" x14ac:dyDescent="0.25">
      <c r="B91"/>
      <c r="C91"/>
      <c r="D91"/>
      <c r="E91"/>
      <c r="F91"/>
      <c r="G91"/>
      <c r="H91"/>
      <c r="I91"/>
      <c r="J91"/>
      <c r="K91"/>
      <c r="L91"/>
      <c r="P91"/>
      <c r="Q91"/>
    </row>
    <row r="92" spans="2:17" x14ac:dyDescent="0.25">
      <c r="B92"/>
      <c r="C92"/>
      <c r="D92"/>
      <c r="E92"/>
      <c r="F92"/>
      <c r="G92"/>
      <c r="H92"/>
      <c r="I92"/>
      <c r="J92"/>
      <c r="K92"/>
      <c r="L92"/>
      <c r="P92"/>
      <c r="Q92"/>
    </row>
    <row r="93" spans="2:17" x14ac:dyDescent="0.25">
      <c r="B93"/>
      <c r="C93"/>
      <c r="D93"/>
      <c r="E93"/>
      <c r="F93"/>
      <c r="G93"/>
      <c r="H93"/>
      <c r="I93"/>
      <c r="J93"/>
      <c r="K93"/>
      <c r="L93"/>
      <c r="P93"/>
      <c r="Q93"/>
    </row>
    <row r="94" spans="2:17" x14ac:dyDescent="0.25">
      <c r="B94"/>
      <c r="C94"/>
      <c r="D94"/>
      <c r="E94"/>
      <c r="F94"/>
      <c r="G94"/>
      <c r="H94"/>
      <c r="I94"/>
      <c r="J94"/>
      <c r="K94"/>
      <c r="L94"/>
      <c r="P94"/>
      <c r="Q94"/>
    </row>
    <row r="95" spans="2:17" x14ac:dyDescent="0.25">
      <c r="B95"/>
      <c r="C95"/>
      <c r="D95"/>
      <c r="E95"/>
      <c r="F95"/>
      <c r="G95"/>
      <c r="H95"/>
      <c r="I95"/>
      <c r="J95"/>
      <c r="K95"/>
      <c r="L95"/>
      <c r="P95"/>
      <c r="Q95"/>
    </row>
    <row r="96" spans="2:17" x14ac:dyDescent="0.25">
      <c r="B96"/>
      <c r="C96"/>
      <c r="D96"/>
      <c r="E96"/>
      <c r="F96"/>
      <c r="G96"/>
      <c r="H96"/>
      <c r="I96"/>
      <c r="J96"/>
      <c r="K96"/>
      <c r="L96"/>
      <c r="P96"/>
      <c r="Q96"/>
    </row>
    <row r="97" spans="2:17" x14ac:dyDescent="0.25">
      <c r="B97"/>
      <c r="C97"/>
      <c r="D97"/>
      <c r="E97"/>
      <c r="F97"/>
      <c r="G97"/>
      <c r="H97"/>
      <c r="I97"/>
      <c r="J97"/>
      <c r="K97"/>
      <c r="L97"/>
      <c r="P97"/>
      <c r="Q97"/>
    </row>
    <row r="98" spans="2:17" x14ac:dyDescent="0.25">
      <c r="B98"/>
      <c r="C98"/>
      <c r="D98"/>
      <c r="E98"/>
      <c r="F98"/>
      <c r="G98"/>
      <c r="H98"/>
      <c r="I98"/>
      <c r="J98"/>
      <c r="K98"/>
      <c r="L98"/>
      <c r="P98"/>
      <c r="Q98"/>
    </row>
    <row r="99" spans="2:17" x14ac:dyDescent="0.25">
      <c r="B99"/>
      <c r="C99"/>
      <c r="D99"/>
      <c r="E99"/>
      <c r="F99"/>
      <c r="G99"/>
      <c r="H99"/>
      <c r="I99"/>
      <c r="J99"/>
      <c r="K99"/>
      <c r="L99"/>
      <c r="P99"/>
      <c r="Q99"/>
    </row>
    <row r="100" spans="2:17" x14ac:dyDescent="0.25">
      <c r="B100"/>
      <c r="C100"/>
      <c r="D100"/>
      <c r="E100"/>
      <c r="F100"/>
      <c r="G100"/>
      <c r="H100"/>
      <c r="I100"/>
      <c r="J100"/>
      <c r="K100"/>
      <c r="L100"/>
      <c r="P100"/>
      <c r="Q100"/>
    </row>
    <row r="101" spans="2:17" x14ac:dyDescent="0.25">
      <c r="B101"/>
      <c r="C101"/>
      <c r="D101"/>
      <c r="E101"/>
      <c r="F101"/>
      <c r="G101"/>
      <c r="H101"/>
      <c r="I101"/>
      <c r="J101"/>
      <c r="K101"/>
      <c r="L101"/>
      <c r="P101"/>
      <c r="Q101"/>
    </row>
    <row r="102" spans="2:17" x14ac:dyDescent="0.25">
      <c r="B102"/>
      <c r="C102"/>
      <c r="D102"/>
      <c r="E102"/>
      <c r="F102"/>
      <c r="G102"/>
      <c r="H102"/>
      <c r="I102"/>
      <c r="J102"/>
      <c r="K102"/>
      <c r="L102"/>
      <c r="P102"/>
      <c r="Q102"/>
    </row>
    <row r="103" spans="2:17" x14ac:dyDescent="0.25">
      <c r="B103"/>
      <c r="C103"/>
      <c r="D103"/>
      <c r="E103"/>
      <c r="F103"/>
      <c r="G103"/>
      <c r="H103"/>
      <c r="I103"/>
      <c r="J103"/>
      <c r="K103"/>
      <c r="L103"/>
      <c r="P103"/>
      <c r="Q103"/>
    </row>
    <row r="104" spans="2:17" x14ac:dyDescent="0.25">
      <c r="B104"/>
      <c r="C104"/>
      <c r="D104"/>
      <c r="E104"/>
      <c r="F104"/>
      <c r="G104"/>
      <c r="H104"/>
      <c r="I104"/>
      <c r="J104"/>
      <c r="K104"/>
      <c r="L104"/>
      <c r="P104"/>
      <c r="Q104"/>
    </row>
    <row r="105" spans="2:17" x14ac:dyDescent="0.25">
      <c r="B105"/>
      <c r="C105"/>
      <c r="D105"/>
      <c r="E105"/>
      <c r="F105"/>
      <c r="G105"/>
      <c r="H105"/>
      <c r="I105"/>
      <c r="J105"/>
      <c r="K105"/>
      <c r="L105"/>
      <c r="P105"/>
      <c r="Q105"/>
    </row>
    <row r="106" spans="2:17" x14ac:dyDescent="0.25">
      <c r="B106"/>
      <c r="C106"/>
      <c r="D106"/>
      <c r="E106"/>
      <c r="F106"/>
      <c r="G106"/>
      <c r="H106"/>
      <c r="I106"/>
      <c r="J106"/>
      <c r="K106"/>
      <c r="L106"/>
      <c r="P106"/>
      <c r="Q106"/>
    </row>
    <row r="107" spans="2:17" x14ac:dyDescent="0.25">
      <c r="B107"/>
      <c r="C107"/>
      <c r="D107"/>
      <c r="E107"/>
      <c r="F107"/>
      <c r="G107"/>
      <c r="H107"/>
      <c r="I107"/>
      <c r="J107"/>
      <c r="K107"/>
      <c r="L107"/>
      <c r="P107"/>
      <c r="Q107"/>
    </row>
    <row r="108" spans="2:17" x14ac:dyDescent="0.25">
      <c r="B108"/>
      <c r="C108"/>
      <c r="D108"/>
      <c r="E108"/>
      <c r="F108"/>
      <c r="G108"/>
      <c r="H108"/>
      <c r="I108"/>
      <c r="J108"/>
      <c r="K108"/>
      <c r="L108"/>
      <c r="P108"/>
      <c r="Q108"/>
    </row>
    <row r="109" spans="2:17" x14ac:dyDescent="0.25">
      <c r="B109"/>
      <c r="C109"/>
      <c r="D109"/>
      <c r="E109"/>
      <c r="F109"/>
      <c r="G109"/>
      <c r="H109"/>
      <c r="I109"/>
      <c r="J109"/>
      <c r="K109"/>
      <c r="L109"/>
      <c r="P109"/>
      <c r="Q109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19" zoomScaleNormal="100" workbookViewId="0">
      <selection activeCell="D40" sqref="D40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7.6640625" style="6" customWidth="1"/>
    <col min="4" max="4" width="12.5546875" style="6" customWidth="1"/>
    <col min="5" max="5" width="12.6640625" style="6" bestFit="1" customWidth="1"/>
    <col min="6" max="6" width="12.33203125" style="6" bestFit="1" customWidth="1"/>
    <col min="7" max="7" width="10.6640625" style="6" bestFit="1" customWidth="1"/>
    <col min="8" max="9" width="9.109375" style="6" customWidth="1"/>
  </cols>
  <sheetData>
    <row r="1" spans="1:6" ht="42" customHeight="1" x14ac:dyDescent="0.25">
      <c r="B1" s="8" t="str">
        <f>'Rate Class Customer Model'!D2</f>
        <v>General Service 50 to 4,999 kW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12</v>
      </c>
    </row>
    <row r="2" spans="1:6" x14ac:dyDescent="0.25">
      <c r="A2" s="30">
        <v>2001</v>
      </c>
      <c r="B2" s="22"/>
      <c r="C2" s="22"/>
      <c r="D2" s="22"/>
    </row>
    <row r="3" spans="1:6" x14ac:dyDescent="0.25">
      <c r="A3" s="30">
        <v>2002</v>
      </c>
      <c r="B3" s="47"/>
      <c r="C3" s="47"/>
      <c r="D3" s="47"/>
      <c r="E3" s="6">
        <f t="shared" ref="E3:E19" si="0">SUM(B3:D3)</f>
        <v>0</v>
      </c>
    </row>
    <row r="4" spans="1:6" x14ac:dyDescent="0.25">
      <c r="A4" s="30">
        <v>2003</v>
      </c>
      <c r="B4" s="48">
        <v>659827</v>
      </c>
      <c r="C4" s="48">
        <v>768</v>
      </c>
      <c r="D4" s="47">
        <v>21295</v>
      </c>
      <c r="E4" s="6">
        <f t="shared" si="0"/>
        <v>681890</v>
      </c>
    </row>
    <row r="5" spans="1:6" x14ac:dyDescent="0.25">
      <c r="A5" s="30">
        <v>2004</v>
      </c>
      <c r="B5" s="48">
        <v>673069</v>
      </c>
      <c r="C5" s="48">
        <v>873</v>
      </c>
      <c r="D5" s="47">
        <v>21340</v>
      </c>
      <c r="E5" s="6">
        <f t="shared" si="0"/>
        <v>695282</v>
      </c>
    </row>
    <row r="6" spans="1:6" x14ac:dyDescent="0.25">
      <c r="A6" s="30">
        <v>2005</v>
      </c>
      <c r="B6" s="48">
        <v>682195</v>
      </c>
      <c r="C6" s="48">
        <v>784</v>
      </c>
      <c r="D6" s="47">
        <v>21295</v>
      </c>
      <c r="E6" s="6">
        <f t="shared" si="0"/>
        <v>704274</v>
      </c>
    </row>
    <row r="7" spans="1:6" x14ac:dyDescent="0.25">
      <c r="A7" s="30">
        <v>2006</v>
      </c>
      <c r="B7" s="48">
        <v>657827</v>
      </c>
      <c r="C7" s="48">
        <v>766</v>
      </c>
      <c r="D7" s="47">
        <v>23029</v>
      </c>
      <c r="E7" s="6">
        <f t="shared" si="0"/>
        <v>681622</v>
      </c>
    </row>
    <row r="8" spans="1:6" x14ac:dyDescent="0.25">
      <c r="A8" s="30">
        <v>2007</v>
      </c>
      <c r="B8" s="48">
        <v>657184</v>
      </c>
      <c r="C8" s="48">
        <v>747</v>
      </c>
      <c r="D8" s="47">
        <v>21406</v>
      </c>
      <c r="E8" s="6">
        <f t="shared" si="0"/>
        <v>679337</v>
      </c>
    </row>
    <row r="9" spans="1:6" x14ac:dyDescent="0.25">
      <c r="A9" s="30">
        <v>2008</v>
      </c>
      <c r="B9" s="48">
        <v>650699</v>
      </c>
      <c r="C9" s="48">
        <v>744</v>
      </c>
      <c r="D9" s="47">
        <v>21317</v>
      </c>
      <c r="E9" s="6">
        <f t="shared" si="0"/>
        <v>672760</v>
      </c>
    </row>
    <row r="10" spans="1:6" x14ac:dyDescent="0.25">
      <c r="A10" s="30">
        <v>2009</v>
      </c>
      <c r="B10" s="48">
        <v>637622</v>
      </c>
      <c r="C10" s="48">
        <v>730</v>
      </c>
      <c r="D10" s="47">
        <v>21346</v>
      </c>
      <c r="E10" s="6">
        <f t="shared" si="0"/>
        <v>659698</v>
      </c>
    </row>
    <row r="11" spans="1:6" x14ac:dyDescent="0.25">
      <c r="A11" s="30">
        <v>2010</v>
      </c>
      <c r="B11" s="47">
        <v>635104</v>
      </c>
      <c r="C11" s="47">
        <v>714</v>
      </c>
      <c r="D11" s="47">
        <v>23264</v>
      </c>
      <c r="E11" s="6">
        <f t="shared" si="0"/>
        <v>659082</v>
      </c>
    </row>
    <row r="12" spans="1:6" x14ac:dyDescent="0.25">
      <c r="A12" s="30">
        <v>2011</v>
      </c>
      <c r="B12" s="73">
        <v>629024</v>
      </c>
      <c r="C12" s="73">
        <v>703</v>
      </c>
      <c r="D12" s="73">
        <v>21619</v>
      </c>
      <c r="E12" s="6">
        <f t="shared" si="0"/>
        <v>651346</v>
      </c>
    </row>
    <row r="13" spans="1:6" x14ac:dyDescent="0.25">
      <c r="A13" s="30">
        <v>2012</v>
      </c>
      <c r="B13" s="73">
        <v>627836</v>
      </c>
      <c r="C13" s="73">
        <v>687</v>
      </c>
      <c r="D13" s="73">
        <v>21596</v>
      </c>
      <c r="E13" s="6">
        <f t="shared" si="0"/>
        <v>650119</v>
      </c>
    </row>
    <row r="14" spans="1:6" x14ac:dyDescent="0.25">
      <c r="A14" s="30">
        <v>2013</v>
      </c>
      <c r="B14" s="73">
        <v>656137</v>
      </c>
      <c r="C14" s="73">
        <v>660</v>
      </c>
      <c r="D14" s="73">
        <v>21588</v>
      </c>
      <c r="E14" s="6">
        <f t="shared" si="0"/>
        <v>678385</v>
      </c>
    </row>
    <row r="15" spans="1:6" x14ac:dyDescent="0.25">
      <c r="A15" s="30">
        <v>2014</v>
      </c>
      <c r="B15" s="73">
        <v>634289</v>
      </c>
      <c r="C15" s="73">
        <v>676</v>
      </c>
      <c r="D15" s="73">
        <v>21876</v>
      </c>
      <c r="E15" s="6">
        <f t="shared" si="0"/>
        <v>656841</v>
      </c>
      <c r="F15" s="76"/>
    </row>
    <row r="16" spans="1:6" x14ac:dyDescent="0.25">
      <c r="A16" s="30">
        <v>2015</v>
      </c>
      <c r="B16" s="73">
        <v>711311</v>
      </c>
      <c r="C16" s="73">
        <v>752</v>
      </c>
      <c r="D16" s="73">
        <v>21794</v>
      </c>
      <c r="E16" s="6">
        <f t="shared" si="0"/>
        <v>733857</v>
      </c>
    </row>
    <row r="17" spans="1:9" x14ac:dyDescent="0.25">
      <c r="A17" s="30">
        <v>2016</v>
      </c>
      <c r="B17" s="73">
        <v>622066.30000000005</v>
      </c>
      <c r="C17" s="73">
        <v>630</v>
      </c>
      <c r="D17" s="73">
        <v>14262.4</v>
      </c>
      <c r="E17" s="6">
        <f t="shared" si="0"/>
        <v>636958.70000000007</v>
      </c>
    </row>
    <row r="18" spans="1:9" x14ac:dyDescent="0.25">
      <c r="A18" s="30">
        <v>2017</v>
      </c>
      <c r="B18" s="73">
        <v>610764.1</v>
      </c>
      <c r="C18" s="73">
        <v>619.20000000000005</v>
      </c>
      <c r="D18" s="73">
        <v>7030.1</v>
      </c>
      <c r="E18" s="160">
        <f t="shared" si="0"/>
        <v>618413.39999999991</v>
      </c>
      <c r="F18" s="160"/>
      <c r="G18" s="160"/>
      <c r="H18" s="160"/>
      <c r="I18" s="160"/>
    </row>
    <row r="19" spans="1:9" x14ac:dyDescent="0.25">
      <c r="A19" s="30">
        <v>2018</v>
      </c>
      <c r="B19" s="31">
        <f>$B$40*'Rate Class Energy Model'!J76</f>
        <v>603193.73069710995</v>
      </c>
      <c r="C19" s="31">
        <f>$C$40*'Rate Class Energy Model'!K76</f>
        <v>592.51480879014923</v>
      </c>
      <c r="D19" s="31">
        <v>7030.1</v>
      </c>
      <c r="E19" s="160">
        <f t="shared" si="0"/>
        <v>610816.3455059001</v>
      </c>
      <c r="F19" s="160"/>
      <c r="G19" s="160"/>
      <c r="H19" s="160"/>
      <c r="I19" s="160"/>
    </row>
    <row r="20" spans="1:9" x14ac:dyDescent="0.25">
      <c r="A20" s="19"/>
    </row>
    <row r="21" spans="1:9" x14ac:dyDescent="0.25">
      <c r="A21" s="18" t="s">
        <v>64</v>
      </c>
      <c r="B21" s="5"/>
      <c r="C21" s="5"/>
      <c r="D21" s="5"/>
      <c r="E21" s="61"/>
    </row>
    <row r="22" spans="1:9" x14ac:dyDescent="0.25">
      <c r="A22" s="4">
        <v>2001</v>
      </c>
      <c r="B22" s="28"/>
      <c r="C22" s="28"/>
      <c r="D22" s="5"/>
      <c r="F22" s="25"/>
    </row>
    <row r="23" spans="1:9" x14ac:dyDescent="0.25">
      <c r="A23" s="4">
        <v>2002</v>
      </c>
      <c r="B23" s="28"/>
      <c r="C23" s="28"/>
      <c r="D23" s="28"/>
    </row>
    <row r="24" spans="1:9" x14ac:dyDescent="0.25">
      <c r="A24" s="4">
        <v>2003</v>
      </c>
      <c r="B24" s="28">
        <f>B4/'Rate Class Energy Model'!J12</f>
        <v>2.5015886788689306E-3</v>
      </c>
      <c r="C24" s="28">
        <f>C4/'Rate Class Energy Model'!K12</f>
        <v>2.7769541730244935E-3</v>
      </c>
      <c r="D24" s="28">
        <f>D4/'Rate Class Energy Model'!L12</f>
        <v>2.9607060981647515E-3</v>
      </c>
    </row>
    <row r="25" spans="1:9" x14ac:dyDescent="0.25">
      <c r="A25" s="4">
        <v>2004</v>
      </c>
      <c r="B25" s="28">
        <f>B5/'Rate Class Energy Model'!J13</f>
        <v>2.5247651822724346E-3</v>
      </c>
      <c r="C25" s="28">
        <f>C5/'Rate Class Energy Model'!K13</f>
        <v>2.9976513247352591E-3</v>
      </c>
      <c r="D25" s="28">
        <f>D5/'Rate Class Energy Model'!L13</f>
        <v>2.8935094948195467E-3</v>
      </c>
    </row>
    <row r="26" spans="1:9" x14ac:dyDescent="0.25">
      <c r="A26" s="4">
        <v>2005</v>
      </c>
      <c r="B26" s="28">
        <f>B6/'Rate Class Energy Model'!J14</f>
        <v>2.563951226480057E-3</v>
      </c>
      <c r="C26" s="28">
        <f>C6/'Rate Class Energy Model'!K14</f>
        <v>2.7860102485377002E-3</v>
      </c>
      <c r="D26" s="28">
        <f>D6/'Rate Class Energy Model'!L14</f>
        <v>2.7587316544992716E-3</v>
      </c>
    </row>
    <row r="27" spans="1:9" x14ac:dyDescent="0.25">
      <c r="A27" s="4">
        <v>2006</v>
      </c>
      <c r="B27" s="28">
        <f>B7/'Rate Class Energy Model'!J15</f>
        <v>2.4708193209704715E-3</v>
      </c>
      <c r="C27" s="28">
        <f>C7/'Rate Class Energy Model'!K15</f>
        <v>2.7955286140236269E-3</v>
      </c>
      <c r="D27" s="28">
        <f>D7/'Rate Class Energy Model'!L15</f>
        <v>3.0278113193258219E-3</v>
      </c>
    </row>
    <row r="28" spans="1:9" x14ac:dyDescent="0.25">
      <c r="A28" s="4">
        <v>2007</v>
      </c>
      <c r="B28" s="28">
        <f>B8/'Rate Class Energy Model'!J16</f>
        <v>2.5283075485402146E-3</v>
      </c>
      <c r="C28" s="28">
        <f>C8/'Rate Class Energy Model'!K16</f>
        <v>2.7763943297627984E-3</v>
      </c>
      <c r="D28" s="28">
        <f>D8/'Rate Class Energy Model'!L16</f>
        <v>2.8027393156529181E-3</v>
      </c>
    </row>
    <row r="29" spans="1:9" x14ac:dyDescent="0.25">
      <c r="A29" s="4">
        <v>2008</v>
      </c>
      <c r="B29" s="28">
        <f>B9/'Rate Class Energy Model'!J17</f>
        <v>2.4919162430699338E-3</v>
      </c>
      <c r="C29" s="28">
        <f>C9/'Rate Class Energy Model'!K17</f>
        <v>2.7682381875481373E-3</v>
      </c>
      <c r="D29" s="28">
        <f>D9/'Rate Class Energy Model'!L17</f>
        <v>2.797431302701174E-3</v>
      </c>
    </row>
    <row r="30" spans="1:9" x14ac:dyDescent="0.25">
      <c r="A30" s="4">
        <v>2009</v>
      </c>
      <c r="B30" s="28">
        <f>B10/'Rate Class Energy Model'!J18</f>
        <v>2.4618786742565848E-3</v>
      </c>
      <c r="C30" s="28">
        <f>C10/'Rate Class Energy Model'!K18</f>
        <v>2.78071933018947E-3</v>
      </c>
      <c r="D30" s="28">
        <f>D10/'Rate Class Energy Model'!L18</f>
        <v>2.8075726334139549E-3</v>
      </c>
    </row>
    <row r="31" spans="1:9" x14ac:dyDescent="0.25">
      <c r="A31" s="4">
        <v>2010</v>
      </c>
      <c r="B31" s="28">
        <f>B11/'Rate Class Energy Model'!J19</f>
        <v>2.4708677924042168E-3</v>
      </c>
      <c r="C31" s="28">
        <f>C11/'Rate Class Energy Model'!K19</f>
        <v>2.7658659600925052E-3</v>
      </c>
      <c r="D31" s="28">
        <f>D11/'Rate Class Energy Model'!L19</f>
        <v>3.0000304335962144E-3</v>
      </c>
    </row>
    <row r="32" spans="1:9" x14ac:dyDescent="0.25">
      <c r="A32" s="4">
        <v>2011</v>
      </c>
      <c r="B32" s="28">
        <f>B12/'Rate Class Energy Model'!J20</f>
        <v>2.4574286460270749E-3</v>
      </c>
      <c r="C32" s="28">
        <f>C12/'Rate Class Energy Model'!K20</f>
        <v>2.7000868022215223E-3</v>
      </c>
      <c r="D32" s="28">
        <f>D12/'Rate Class Energy Model'!L20</f>
        <v>2.7664048228267361E-3</v>
      </c>
      <c r="F32" s="28"/>
    </row>
    <row r="33" spans="1:9" x14ac:dyDescent="0.25">
      <c r="A33" s="4">
        <v>2012</v>
      </c>
      <c r="B33" s="28">
        <f>B13/'Rate Class Energy Model'!J21</f>
        <v>2.4687425199532891E-3</v>
      </c>
      <c r="C33" s="28">
        <f>C13/'Rate Class Energy Model'!K21</f>
        <v>2.7868825858376064E-3</v>
      </c>
      <c r="D33" s="28">
        <f>D13/'Rate Class Energy Model'!L21</f>
        <v>2.7914579525335818E-3</v>
      </c>
      <c r="F33" s="28"/>
    </row>
    <row r="34" spans="1:9" x14ac:dyDescent="0.25">
      <c r="A34" s="4">
        <v>2013</v>
      </c>
      <c r="B34" s="28">
        <f>B14/'Rate Class Energy Model'!J22</f>
        <v>2.5328707434411476E-3</v>
      </c>
      <c r="C34" s="28">
        <f>C14/'Rate Class Energy Model'!K22</f>
        <v>2.7811137096264457E-3</v>
      </c>
      <c r="D34" s="28">
        <f>D14/'Rate Class Energy Model'!L22</f>
        <v>2.6692741176854618E-3</v>
      </c>
      <c r="F34" s="28"/>
    </row>
    <row r="35" spans="1:9" x14ac:dyDescent="0.25">
      <c r="A35" s="4">
        <v>2014</v>
      </c>
      <c r="B35" s="28">
        <f>B15/'Rate Class Energy Model'!J23</f>
        <v>2.4508107038338058E-3</v>
      </c>
      <c r="C35" s="28">
        <f>C15/'Rate Class Energy Model'!K23</f>
        <v>2.7779033404698602E-3</v>
      </c>
      <c r="D35" s="28">
        <f>D15/'Rate Class Energy Model'!L23</f>
        <v>2.8002659971083374E-3</v>
      </c>
      <c r="F35" s="28"/>
    </row>
    <row r="36" spans="1:9" x14ac:dyDescent="0.25">
      <c r="A36" s="4">
        <v>2015</v>
      </c>
      <c r="B36" s="28">
        <f>B16/'Rate Class Energy Model'!J24</f>
        <v>2.79181354647602E-3</v>
      </c>
      <c r="C36" s="28">
        <f>C16/'Rate Class Energy Model'!K24</f>
        <v>3.1967624278390395E-3</v>
      </c>
      <c r="D36" s="28">
        <f>D16/'Rate Class Energy Model'!L24</f>
        <v>2.9872750908354227E-3</v>
      </c>
    </row>
    <row r="37" spans="1:9" x14ac:dyDescent="0.25">
      <c r="A37" s="4">
        <v>2016</v>
      </c>
      <c r="B37" s="28">
        <f>B17/'Rate Class Energy Model'!J25</f>
        <v>2.4887113960887822E-3</v>
      </c>
      <c r="C37" s="28">
        <f>C17/'Rate Class Energy Model'!K25</f>
        <v>2.7746483463536279E-3</v>
      </c>
      <c r="D37" s="28">
        <f>D17/'Rate Class Energy Model'!L25</f>
        <v>2.9290590178160125E-3</v>
      </c>
    </row>
    <row r="38" spans="1:9" x14ac:dyDescent="0.25">
      <c r="A38" s="4">
        <v>2017</v>
      </c>
      <c r="B38" s="28">
        <f>B18/'Rate Class Energy Model'!J26</f>
        <v>2.4912229420001892E-3</v>
      </c>
      <c r="C38" s="28">
        <f>C18/'Rate Class Energy Model'!K26</f>
        <v>2.8980460654531568E-3</v>
      </c>
      <c r="D38" s="28">
        <f>D18/'Rate Class Energy Model'!L26</f>
        <v>2.9313808529679896E-3</v>
      </c>
      <c r="E38" s="160"/>
      <c r="F38" s="160"/>
      <c r="G38" s="160"/>
      <c r="H38" s="160"/>
      <c r="I38" s="160"/>
    </row>
    <row r="39" spans="1:9" x14ac:dyDescent="0.25">
      <c r="D39" s="28"/>
    </row>
    <row r="40" spans="1:9" x14ac:dyDescent="0.25">
      <c r="A40" t="s">
        <v>16</v>
      </c>
      <c r="B40" s="28">
        <f>AVERAGE(B24:B38)</f>
        <v>2.5130463443122099E-3</v>
      </c>
      <c r="C40" s="28">
        <f t="shared" ref="C40:D40" si="1">AVERAGE(C24:C38)</f>
        <v>2.82418702971435E-3</v>
      </c>
      <c r="D40" s="28">
        <f t="shared" si="1"/>
        <v>2.8615766735964796E-3</v>
      </c>
      <c r="F40" s="28"/>
    </row>
    <row r="42" spans="1:9" x14ac:dyDescent="0.25">
      <c r="B42" s="28"/>
    </row>
    <row r="47" spans="1:9" x14ac:dyDescent="0.25">
      <c r="B47" s="26"/>
      <c r="C47" s="26"/>
      <c r="D47" s="26"/>
    </row>
    <row r="48" spans="1:9" x14ac:dyDescent="0.25">
      <c r="B48" s="26"/>
      <c r="C48" s="26"/>
      <c r="D48" s="26"/>
    </row>
    <row r="67" spans="2:4" x14ac:dyDescent="0.25">
      <c r="B67" s="15"/>
      <c r="C67" s="15"/>
      <c r="D67" s="15"/>
    </row>
    <row r="68" spans="2:4" x14ac:dyDescent="0.25">
      <c r="B68" s="15"/>
      <c r="C68" s="15"/>
      <c r="D68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topLeftCell="F1" zoomScale="85" zoomScaleNormal="85" workbookViewId="0">
      <selection activeCell="R3" sqref="R3:U20"/>
    </sheetView>
  </sheetViews>
  <sheetFormatPr defaultColWidth="9.109375" defaultRowHeight="13.2" x14ac:dyDescent="0.25"/>
  <cols>
    <col min="1" max="1" width="9.109375" style="218"/>
    <col min="2" max="7" width="14.109375" style="218" customWidth="1"/>
    <col min="8" max="8" width="12.88671875" style="218" bestFit="1" customWidth="1"/>
    <col min="9" max="9" width="13" style="218" bestFit="1" customWidth="1"/>
    <col min="10" max="10" width="12.88671875" style="218" bestFit="1" customWidth="1"/>
    <col min="11" max="11" width="11.33203125" style="218" bestFit="1" customWidth="1"/>
    <col min="12" max="12" width="10.33203125" style="218" bestFit="1" customWidth="1"/>
    <col min="13" max="15" width="9.109375" style="218"/>
    <col min="16" max="16" width="10.109375" style="218" bestFit="1" customWidth="1"/>
    <col min="17" max="17" width="9.109375" style="218"/>
    <col min="18" max="18" width="13.6640625" style="218" bestFit="1" customWidth="1"/>
    <col min="19" max="19" width="12.77734375" style="218" bestFit="1" customWidth="1"/>
    <col min="20" max="20" width="9.109375" style="218"/>
    <col min="21" max="21" width="10.77734375" style="218" customWidth="1"/>
    <col min="22" max="16384" width="9.109375" style="218"/>
  </cols>
  <sheetData>
    <row r="1" spans="1:21" ht="15.6" x14ac:dyDescent="0.3">
      <c r="A1" s="217" t="s">
        <v>185</v>
      </c>
      <c r="B1" s="217"/>
      <c r="C1" s="217"/>
      <c r="D1" s="217"/>
      <c r="E1" s="217"/>
      <c r="F1" s="217"/>
      <c r="G1" s="217"/>
    </row>
    <row r="2" spans="1:21" ht="66" x14ac:dyDescent="0.25">
      <c r="B2" s="219" t="s">
        <v>281</v>
      </c>
      <c r="C2" s="219" t="s">
        <v>184</v>
      </c>
      <c r="D2" s="219" t="s">
        <v>282</v>
      </c>
      <c r="E2" s="219" t="s">
        <v>283</v>
      </c>
      <c r="F2" s="219" t="s">
        <v>323</v>
      </c>
      <c r="G2" s="219" t="s">
        <v>68</v>
      </c>
      <c r="H2" s="219" t="s">
        <v>69</v>
      </c>
    </row>
    <row r="3" spans="1:21" x14ac:dyDescent="0.25">
      <c r="H3" s="220"/>
      <c r="I3" s="220"/>
      <c r="K3" s="449" t="s">
        <v>19</v>
      </c>
      <c r="L3" s="449"/>
      <c r="N3" s="221" t="s">
        <v>70</v>
      </c>
      <c r="O3" s="221">
        <v>1</v>
      </c>
      <c r="R3" s="227" t="s">
        <v>20</v>
      </c>
      <c r="S3" s="227">
        <v>2018</v>
      </c>
      <c r="U3" s="227">
        <v>2018</v>
      </c>
    </row>
    <row r="4" spans="1:21" x14ac:dyDescent="0.25">
      <c r="A4" s="218">
        <v>2006</v>
      </c>
      <c r="B4" s="220">
        <f>('[16]Summary - LDC'!E24-'[16]Summary - LDC'!E19/2)*1000</f>
        <v>1571521.531015906</v>
      </c>
      <c r="D4" s="220"/>
      <c r="E4" s="220"/>
      <c r="F4" s="220"/>
      <c r="G4" s="220">
        <f t="shared" ref="G4:G16" si="0">SUM(B4:F4)</f>
        <v>1571521.531015906</v>
      </c>
      <c r="H4" s="220">
        <f>G4</f>
        <v>1571521.531015906</v>
      </c>
      <c r="I4" s="220">
        <f t="shared" ref="I4:I16" si="1">H4/$O$15</f>
        <v>20147.711936101357</v>
      </c>
      <c r="K4" s="222">
        <f>I32</f>
        <v>1571521.531015906</v>
      </c>
      <c r="L4" s="222">
        <f>G4-K4</f>
        <v>0</v>
      </c>
      <c r="N4" s="221" t="s">
        <v>71</v>
      </c>
      <c r="O4" s="221">
        <v>2</v>
      </c>
      <c r="R4" s="227" t="s">
        <v>188</v>
      </c>
      <c r="S4" s="228">
        <f>[17]Sheet1!$E$37</f>
        <v>4645200</v>
      </c>
      <c r="U4" s="228">
        <f>[18]Summary!$C$9</f>
        <v>3913998</v>
      </c>
    </row>
    <row r="5" spans="1:21" x14ac:dyDescent="0.25">
      <c r="A5" s="218">
        <v>2007</v>
      </c>
      <c r="B5" s="220">
        <f>('[16]Summary - LDC'!F24-'[16]Summary - LDC'!F20/2)*1000</f>
        <v>4551503.5039854897</v>
      </c>
      <c r="G5" s="220">
        <f t="shared" si="0"/>
        <v>4551503.5039854897</v>
      </c>
      <c r="H5" s="220">
        <f>G5-J32</f>
        <v>1650232.9851868949</v>
      </c>
      <c r="I5" s="220">
        <f t="shared" si="1"/>
        <v>21156.833143421729</v>
      </c>
      <c r="K5" s="222">
        <f>I44</f>
        <v>4551503.5039854906</v>
      </c>
      <c r="L5" s="222">
        <f t="shared" ref="L5:L16" si="2">G5-K5</f>
        <v>0</v>
      </c>
      <c r="N5" s="221" t="s">
        <v>72</v>
      </c>
      <c r="O5" s="221">
        <v>3</v>
      </c>
      <c r="R5" s="227" t="s">
        <v>20</v>
      </c>
      <c r="S5" s="228">
        <f>SUM(S4:S4)</f>
        <v>4645200</v>
      </c>
      <c r="U5" s="228">
        <f>SUM(U4:U4)</f>
        <v>3913998</v>
      </c>
    </row>
    <row r="6" spans="1:21" x14ac:dyDescent="0.25">
      <c r="A6" s="218">
        <v>2008</v>
      </c>
      <c r="B6" s="220">
        <f>('[16]Summary - LDC'!G24-'[16]Summary - LDC'!G21/2)*1000</f>
        <v>6625848.8160930136</v>
      </c>
      <c r="C6" s="220"/>
      <c r="D6" s="220"/>
      <c r="E6" s="220"/>
      <c r="F6" s="220"/>
      <c r="G6" s="220">
        <f t="shared" si="0"/>
        <v>6625848.8160930136</v>
      </c>
      <c r="H6" s="220">
        <f>G6-J44</f>
        <v>677994.32464168873</v>
      </c>
      <c r="I6" s="220">
        <f t="shared" si="1"/>
        <v>8692.2349313037012</v>
      </c>
      <c r="K6" s="222">
        <f>I56</f>
        <v>6625848.8160930118</v>
      </c>
      <c r="L6" s="222">
        <f t="shared" si="2"/>
        <v>0</v>
      </c>
      <c r="N6" s="221" t="s">
        <v>73</v>
      </c>
      <c r="O6" s="221">
        <v>4</v>
      </c>
    </row>
    <row r="7" spans="1:21" x14ac:dyDescent="0.25">
      <c r="A7" s="218">
        <v>2009</v>
      </c>
      <c r="B7" s="220">
        <f>('[16]Summary - LDC'!H24-'[16]Summary - LDC'!H22/2)*1000</f>
        <v>8277543.6652882816</v>
      </c>
      <c r="C7" s="220"/>
      <c r="D7" s="220"/>
      <c r="E7" s="220"/>
      <c r="F7" s="220"/>
      <c r="G7" s="220">
        <f t="shared" si="0"/>
        <v>8277543.6652882816</v>
      </c>
      <c r="H7" s="220">
        <f>G7-J56</f>
        <v>1078007.3437292287</v>
      </c>
      <c r="I7" s="220">
        <f t="shared" si="1"/>
        <v>13820.606970887548</v>
      </c>
      <c r="K7" s="222">
        <f>I68</f>
        <v>8277543.6652882788</v>
      </c>
      <c r="L7" s="222">
        <f t="shared" si="2"/>
        <v>0</v>
      </c>
      <c r="N7" s="221" t="s">
        <v>74</v>
      </c>
      <c r="O7" s="221">
        <v>5</v>
      </c>
    </row>
    <row r="8" spans="1:21" x14ac:dyDescent="0.25">
      <c r="A8" s="218">
        <v>2010</v>
      </c>
      <c r="B8" s="220">
        <f>('[16]Summary - LDC'!I24-'[16]Summary - LDC'!I23/2)*1000</f>
        <v>7031261.5937940674</v>
      </c>
      <c r="C8" s="220"/>
      <c r="D8" s="220"/>
      <c r="E8" s="220"/>
      <c r="F8" s="220"/>
      <c r="G8" s="220">
        <f t="shared" si="0"/>
        <v>7031261.5937940674</v>
      </c>
      <c r="H8" s="220">
        <f>G8-J68</f>
        <v>-2158442.1315727876</v>
      </c>
      <c r="I8" s="220">
        <f t="shared" si="1"/>
        <v>-27672.335020163944</v>
      </c>
      <c r="K8" s="222">
        <f>I80</f>
        <v>7031261.5937940693</v>
      </c>
      <c r="L8" s="222">
        <f t="shared" si="2"/>
        <v>0</v>
      </c>
      <c r="N8" s="221" t="s">
        <v>75</v>
      </c>
      <c r="O8" s="221">
        <v>6</v>
      </c>
      <c r="R8" s="227" t="s">
        <v>191</v>
      </c>
      <c r="S8" s="227">
        <v>2018</v>
      </c>
      <c r="U8" s="227">
        <v>2018</v>
      </c>
    </row>
    <row r="9" spans="1:21" x14ac:dyDescent="0.25">
      <c r="A9" s="218">
        <v>2011</v>
      </c>
      <c r="B9" s="220">
        <f>'[16]Summary - LDC'!J24*1000</f>
        <v>6681180.1009053634</v>
      </c>
      <c r="C9" s="220">
        <f>('[19]2011'!$AR$16/2)*1000</f>
        <v>2252978.2328380258</v>
      </c>
      <c r="G9" s="220">
        <f t="shared" si="0"/>
        <v>8934158.3337433897</v>
      </c>
      <c r="H9" s="220">
        <f>G9-J80</f>
        <v>3729270.8512801398</v>
      </c>
      <c r="I9" s="220">
        <f t="shared" si="1"/>
        <v>47811.16476000179</v>
      </c>
      <c r="K9" s="222">
        <f>I92</f>
        <v>8934158.3337433916</v>
      </c>
      <c r="L9" s="222">
        <f t="shared" si="2"/>
        <v>0</v>
      </c>
      <c r="N9" s="221" t="s">
        <v>76</v>
      </c>
      <c r="O9" s="221">
        <v>7</v>
      </c>
      <c r="R9" s="227" t="s">
        <v>188</v>
      </c>
      <c r="S9" s="228">
        <f>U9/$U$4*$S$4</f>
        <v>1411975.3671820988</v>
      </c>
      <c r="U9" s="228">
        <f>[18]Summary!$C$5</f>
        <v>1189716</v>
      </c>
    </row>
    <row r="10" spans="1:21" x14ac:dyDescent="0.25">
      <c r="A10" s="218">
        <v>2012</v>
      </c>
      <c r="B10" s="220">
        <f>'[16]Summary - LDC'!K24*1000</f>
        <v>6429476.3711081557</v>
      </c>
      <c r="C10" s="220">
        <f>('[19]2011'!$AS$16+'[19]2012'!$AR$27/2)*1000</f>
        <v>5995033.082275168</v>
      </c>
      <c r="D10" s="220"/>
      <c r="E10" s="220"/>
      <c r="F10" s="220"/>
      <c r="G10" s="220">
        <f t="shared" si="0"/>
        <v>12424509.453383323</v>
      </c>
      <c r="H10" s="220">
        <f>G10-J92</f>
        <v>334814.24547981098</v>
      </c>
      <c r="I10" s="220">
        <f t="shared" si="1"/>
        <v>4292.4903266642432</v>
      </c>
      <c r="K10" s="222">
        <f>I104</f>
        <v>12424509.453383327</v>
      </c>
      <c r="L10" s="222">
        <f t="shared" si="2"/>
        <v>0</v>
      </c>
      <c r="N10" s="221" t="s">
        <v>77</v>
      </c>
      <c r="O10" s="221">
        <v>8</v>
      </c>
      <c r="R10" s="227" t="s">
        <v>20</v>
      </c>
      <c r="S10" s="228">
        <f>SUM(S9:S9)</f>
        <v>1411975.3671820988</v>
      </c>
      <c r="U10" s="228">
        <f>SUM(U9:U9)</f>
        <v>1189716</v>
      </c>
    </row>
    <row r="11" spans="1:21" x14ac:dyDescent="0.25">
      <c r="A11" s="218">
        <v>2013</v>
      </c>
      <c r="B11" s="220">
        <f>'[16]Summary - LDC'!L24*1000</f>
        <v>6368225.4161085803</v>
      </c>
      <c r="C11" s="220">
        <f>('[19]2011'!$AT$16+'[19]2012'!$AS$27+'[19]2013'!$AS$27/2)*1000</f>
        <v>7754368.6475839196</v>
      </c>
      <c r="D11" s="220"/>
      <c r="E11" s="220"/>
      <c r="F11" s="220"/>
      <c r="G11" s="220">
        <f t="shared" si="0"/>
        <v>14122594.063692499</v>
      </c>
      <c r="H11" s="220">
        <f>G11-J104</f>
        <v>1414780.2487493344</v>
      </c>
      <c r="I11" s="220">
        <f t="shared" si="1"/>
        <v>18138.208317299159</v>
      </c>
      <c r="K11" s="222">
        <f>I116</f>
        <v>14122594.063692499</v>
      </c>
      <c r="L11" s="222">
        <f t="shared" si="2"/>
        <v>0</v>
      </c>
      <c r="N11" s="221" t="s">
        <v>78</v>
      </c>
      <c r="O11" s="221">
        <v>9</v>
      </c>
    </row>
    <row r="12" spans="1:21" x14ac:dyDescent="0.25">
      <c r="A12" s="218">
        <v>2014</v>
      </c>
      <c r="B12" s="220">
        <f>'[16]Summary - LDC'!M24*1000</f>
        <v>5978748.6936793262</v>
      </c>
      <c r="C12" s="220">
        <f>('[19]2011'!$AU$16+'[19]2012'!$AT$27+'[19]2013'!$AT$27+'[19]2014'!$AU$33/2)*1000</f>
        <v>13124708.601250896</v>
      </c>
      <c r="D12" s="220"/>
      <c r="E12" s="220"/>
      <c r="F12" s="220"/>
      <c r="G12" s="220">
        <f t="shared" si="0"/>
        <v>19103457.294930223</v>
      </c>
      <c r="H12" s="220">
        <f>G12-J116</f>
        <v>3783741.4822959825</v>
      </c>
      <c r="I12" s="220">
        <f t="shared" si="1"/>
        <v>48509.506183281825</v>
      </c>
      <c r="K12" s="222">
        <f>I128</f>
        <v>19103457.294930223</v>
      </c>
      <c r="L12" s="222">
        <f t="shared" si="2"/>
        <v>0</v>
      </c>
      <c r="N12" s="221" t="s">
        <v>79</v>
      </c>
      <c r="O12" s="221">
        <v>10</v>
      </c>
    </row>
    <row r="13" spans="1:21" x14ac:dyDescent="0.25">
      <c r="A13" s="218">
        <v>2015</v>
      </c>
      <c r="B13" s="220">
        <f>'[16]Summary - LDC'!N24*1000</f>
        <v>4582235.2244218513</v>
      </c>
      <c r="C13" s="220">
        <f>('[19]2011'!AV16+'[19]2012'!AU27+'[19]2013'!AU27+'[19]2014'!AV33)*1000</f>
        <v>14272201.154785659</v>
      </c>
      <c r="D13" s="220">
        <f>[20]Sheet1!$B$34/2</f>
        <v>2704002</v>
      </c>
      <c r="E13" s="220"/>
      <c r="F13" s="220"/>
      <c r="G13" s="220">
        <f t="shared" si="0"/>
        <v>21558438.379207511</v>
      </c>
      <c r="H13" s="220">
        <f>G13-J128</f>
        <v>-746646.32381930575</v>
      </c>
      <c r="I13" s="220">
        <f t="shared" si="1"/>
        <v>-9572.3887669141768</v>
      </c>
      <c r="K13" s="222">
        <f>I140</f>
        <v>21558438.379207514</v>
      </c>
      <c r="L13" s="222">
        <f t="shared" si="2"/>
        <v>0</v>
      </c>
      <c r="N13" s="221" t="s">
        <v>80</v>
      </c>
      <c r="O13" s="221">
        <v>11</v>
      </c>
      <c r="R13" s="227" t="s">
        <v>192</v>
      </c>
      <c r="S13" s="227">
        <v>2018</v>
      </c>
      <c r="U13" s="227">
        <v>2018</v>
      </c>
    </row>
    <row r="14" spans="1:21" x14ac:dyDescent="0.25">
      <c r="A14" s="218">
        <v>2016</v>
      </c>
      <c r="B14" s="220">
        <f>'[16]Summary - LDC'!O24*1000</f>
        <v>3917534.8311292906</v>
      </c>
      <c r="C14" s="220">
        <f>('[19]2011'!AW16+'[19]2012'!AV27+'[19]2013'!AV27+'[19]2014'!AW33)*1000</f>
        <v>13893402.480929734</v>
      </c>
      <c r="D14" s="220">
        <f>[20]Sheet1!$C$34</f>
        <v>5354552</v>
      </c>
      <c r="E14" s="220">
        <f>[20]Sheet1!$C$35/2</f>
        <v>5360115</v>
      </c>
      <c r="F14" s="220"/>
      <c r="G14" s="220">
        <f>SUM(B14:F14)</f>
        <v>28525604.312059026</v>
      </c>
      <c r="H14" s="220">
        <f>G14-J140</f>
        <v>7598943.5914678462</v>
      </c>
      <c r="I14" s="220">
        <f t="shared" si="1"/>
        <v>97422.353736767254</v>
      </c>
      <c r="K14" s="222">
        <f>I152</f>
        <v>28525604.312059022</v>
      </c>
      <c r="L14" s="222">
        <f t="shared" si="2"/>
        <v>0</v>
      </c>
      <c r="N14" s="221" t="s">
        <v>81</v>
      </c>
      <c r="O14" s="221">
        <v>12</v>
      </c>
      <c r="R14" s="227" t="s">
        <v>188</v>
      </c>
      <c r="S14" s="228">
        <f>U14/$U$4*$S$4</f>
        <v>952640.50015559536</v>
      </c>
      <c r="U14" s="228">
        <f>[18]Summary!$C$6</f>
        <v>802685.14</v>
      </c>
    </row>
    <row r="15" spans="1:21" x14ac:dyDescent="0.25">
      <c r="A15" s="218">
        <v>2017</v>
      </c>
      <c r="B15" s="220">
        <f>'[16]Summary - LDC'!P24*1000</f>
        <v>3161651.5077473391</v>
      </c>
      <c r="C15" s="220">
        <f>('[19]2011'!AX16+'[19]2012'!AW27+'[19]2013'!AW27+'[19]2014'!AX33)*1000</f>
        <v>11963920.006254736</v>
      </c>
      <c r="D15" s="220">
        <f>[20]Sheet1!$D$34</f>
        <v>5348661</v>
      </c>
      <c r="E15" s="220">
        <f>[20]Sheet1!$D$35</f>
        <v>10720229</v>
      </c>
      <c r="F15" s="220">
        <f>[20]Sheet1!$D$36/2</f>
        <v>4791014</v>
      </c>
      <c r="G15" s="220">
        <f t="shared" si="0"/>
        <v>35985475.514002077</v>
      </c>
      <c r="H15" s="220">
        <f>G15-J152</f>
        <v>1029995.8553164303</v>
      </c>
      <c r="I15" s="220">
        <f t="shared" si="1"/>
        <v>13205.075068159364</v>
      </c>
      <c r="K15" s="222">
        <f>I164</f>
        <v>35985475.514002092</v>
      </c>
      <c r="L15" s="222">
        <f t="shared" si="2"/>
        <v>0</v>
      </c>
      <c r="N15" s="221" t="s">
        <v>12</v>
      </c>
      <c r="O15" s="221">
        <f>SUM(O3:O14)</f>
        <v>78</v>
      </c>
      <c r="R15" s="227" t="s">
        <v>20</v>
      </c>
      <c r="S15" s="228">
        <f>SUM(S14:S14)</f>
        <v>952640.50015559536</v>
      </c>
      <c r="U15" s="228">
        <f>SUM(U14:U14)</f>
        <v>802685.14</v>
      </c>
    </row>
    <row r="16" spans="1:21" x14ac:dyDescent="0.25">
      <c r="A16" s="218">
        <v>2018</v>
      </c>
      <c r="B16" s="220">
        <f>'[16]Summary - LDC'!Q24*1000</f>
        <v>2827980.5324192522</v>
      </c>
      <c r="C16" s="220">
        <f>('[19]2011'!AY16+'[19]2012'!AX27+'[19]2013'!AX27+'[19]2014'!AY33)*1000</f>
        <v>11022261.155388592</v>
      </c>
      <c r="D16" s="220">
        <f>[20]Sheet1!$E$34</f>
        <v>5344206</v>
      </c>
      <c r="E16" s="220">
        <f>[20]Sheet1!$E$35</f>
        <v>10747568</v>
      </c>
      <c r="F16" s="220">
        <f>[20]Sheet1!$E$36</f>
        <v>8354534</v>
      </c>
      <c r="G16" s="220">
        <f t="shared" si="0"/>
        <v>38296549.687807843</v>
      </c>
      <c r="H16" s="220">
        <f>G16-J164</f>
        <v>1439539.2193072289</v>
      </c>
      <c r="I16" s="220">
        <f t="shared" si="1"/>
        <v>18455.631016759344</v>
      </c>
      <c r="K16" s="222">
        <f>I176</f>
        <v>38296549.687807836</v>
      </c>
      <c r="L16" s="222">
        <f t="shared" si="2"/>
        <v>0</v>
      </c>
      <c r="N16"/>
      <c r="O16"/>
    </row>
    <row r="17" spans="1:21" x14ac:dyDescent="0.25">
      <c r="A17" s="218" t="s">
        <v>12</v>
      </c>
      <c r="B17" s="220">
        <f>SUM(B4:B16)</f>
        <v>68004711.787695915</v>
      </c>
      <c r="C17" s="220">
        <f>SUM(C4:C16)</f>
        <v>80278873.361306727</v>
      </c>
      <c r="D17" s="220">
        <f t="shared" ref="D17:G17" si="3">SUM(D4:D16)</f>
        <v>18751421</v>
      </c>
      <c r="E17" s="220">
        <f t="shared" si="3"/>
        <v>26827912</v>
      </c>
      <c r="F17" s="220">
        <f t="shared" si="3"/>
        <v>13145548</v>
      </c>
      <c r="G17" s="220">
        <f t="shared" si="3"/>
        <v>207008466.14900267</v>
      </c>
      <c r="H17" s="220"/>
      <c r="I17" s="220"/>
      <c r="L17" s="222"/>
    </row>
    <row r="18" spans="1:21" x14ac:dyDescent="0.25">
      <c r="H18" s="220"/>
      <c r="R18" s="227" t="s">
        <v>193</v>
      </c>
      <c r="S18" s="227">
        <v>2018</v>
      </c>
      <c r="U18" s="227">
        <v>2018</v>
      </c>
    </row>
    <row r="19" spans="1:21" x14ac:dyDescent="0.25">
      <c r="E19" s="450" t="s">
        <v>186</v>
      </c>
      <c r="F19" s="450"/>
      <c r="H19" s="220" t="s">
        <v>82</v>
      </c>
      <c r="R19" s="227" t="s">
        <v>188</v>
      </c>
      <c r="S19" s="228">
        <f>U19/$U$4*$S$4</f>
        <v>2280584.1326623056</v>
      </c>
      <c r="U19" s="228">
        <f>[18]Summary!$C$7</f>
        <v>1921596.8599999999</v>
      </c>
    </row>
    <row r="20" spans="1:21" x14ac:dyDescent="0.25">
      <c r="D20" s="226"/>
      <c r="E20" s="226">
        <f>E14*2</f>
        <v>10720230</v>
      </c>
      <c r="F20" s="408">
        <f>[18]Summary!$B$9</f>
        <v>3375904</v>
      </c>
      <c r="H20" s="220"/>
      <c r="R20" s="227" t="s">
        <v>20</v>
      </c>
      <c r="S20" s="228">
        <f>SUM(S19:S19)</f>
        <v>2280584.1326623056</v>
      </c>
      <c r="U20" s="228">
        <f>SUM(U19:U19)</f>
        <v>1921596.8599999999</v>
      </c>
    </row>
    <row r="21" spans="1:21" x14ac:dyDescent="0.25">
      <c r="A21" s="223">
        <v>38718</v>
      </c>
      <c r="B21" s="223"/>
      <c r="C21" s="223"/>
      <c r="D21" s="223"/>
      <c r="E21" s="223"/>
      <c r="F21" s="223"/>
      <c r="G21" s="223"/>
      <c r="H21" s="220">
        <f>$I$4</f>
        <v>20147.711936101357</v>
      </c>
    </row>
    <row r="22" spans="1:21" x14ac:dyDescent="0.25">
      <c r="A22" s="223">
        <v>38749</v>
      </c>
      <c r="B22" s="223"/>
      <c r="C22" s="223"/>
      <c r="D22" s="223"/>
      <c r="E22" s="325">
        <f>E15/E20</f>
        <v>0.99999990671841932</v>
      </c>
      <c r="F22" s="325"/>
      <c r="G22" s="223"/>
      <c r="H22" s="220">
        <f t="shared" ref="H22:H32" si="4">H21+$I$4</f>
        <v>40295.423872202715</v>
      </c>
    </row>
    <row r="23" spans="1:21" x14ac:dyDescent="0.25">
      <c r="A23" s="223">
        <v>38777</v>
      </c>
      <c r="B23" s="223"/>
      <c r="C23" s="223"/>
      <c r="D23" s="223"/>
      <c r="E23" s="223"/>
      <c r="F23" s="223"/>
      <c r="G23" s="223"/>
      <c r="H23" s="220">
        <f t="shared" si="4"/>
        <v>60443.135808304069</v>
      </c>
      <c r="S23" s="222"/>
    </row>
    <row r="24" spans="1:21" x14ac:dyDescent="0.25">
      <c r="A24" s="223">
        <v>38808</v>
      </c>
      <c r="B24" s="223"/>
      <c r="C24" s="223"/>
      <c r="D24" s="223"/>
      <c r="E24" s="223"/>
      <c r="F24" s="223"/>
      <c r="G24" s="223"/>
      <c r="H24" s="220">
        <f t="shared" si="4"/>
        <v>80590.84774440543</v>
      </c>
      <c r="S24" s="222"/>
    </row>
    <row r="25" spans="1:21" x14ac:dyDescent="0.25">
      <c r="A25" s="223">
        <v>38838</v>
      </c>
      <c r="B25" s="223"/>
      <c r="C25" s="223"/>
      <c r="D25" s="223"/>
      <c r="E25" s="223"/>
      <c r="F25" s="223"/>
      <c r="G25" s="223"/>
      <c r="H25" s="220">
        <f t="shared" si="4"/>
        <v>100738.55968050679</v>
      </c>
      <c r="S25" s="222"/>
    </row>
    <row r="26" spans="1:21" x14ac:dyDescent="0.25">
      <c r="A26" s="223">
        <v>38869</v>
      </c>
      <c r="B26" s="223"/>
      <c r="C26" s="223"/>
      <c r="D26" s="223"/>
      <c r="E26" s="223"/>
      <c r="F26" s="223"/>
      <c r="G26" s="223"/>
      <c r="H26" s="220">
        <f t="shared" si="4"/>
        <v>120886.27161660815</v>
      </c>
    </row>
    <row r="27" spans="1:21" x14ac:dyDescent="0.25">
      <c r="A27" s="223">
        <v>38899</v>
      </c>
      <c r="B27" s="223"/>
      <c r="C27" s="223"/>
      <c r="D27" s="223"/>
      <c r="E27" s="223"/>
      <c r="F27" s="223"/>
      <c r="G27" s="223"/>
      <c r="H27" s="220">
        <f t="shared" si="4"/>
        <v>141033.98355270951</v>
      </c>
    </row>
    <row r="28" spans="1:21" x14ac:dyDescent="0.25">
      <c r="A28" s="223">
        <v>38930</v>
      </c>
      <c r="B28" s="223"/>
      <c r="C28" s="223"/>
      <c r="D28" s="223"/>
      <c r="E28" s="223"/>
      <c r="F28" s="223"/>
      <c r="G28" s="223"/>
      <c r="H28" s="220">
        <f t="shared" si="4"/>
        <v>161181.69548881086</v>
      </c>
    </row>
    <row r="29" spans="1:21" x14ac:dyDescent="0.25">
      <c r="A29" s="223">
        <v>38961</v>
      </c>
      <c r="B29" s="223"/>
      <c r="C29" s="223"/>
      <c r="D29" s="223"/>
      <c r="E29" s="223"/>
      <c r="F29" s="223"/>
      <c r="G29" s="223"/>
      <c r="H29" s="220">
        <f t="shared" si="4"/>
        <v>181329.40742491221</v>
      </c>
    </row>
    <row r="30" spans="1:21" x14ac:dyDescent="0.25">
      <c r="A30" s="223">
        <v>38991</v>
      </c>
      <c r="B30" s="223"/>
      <c r="C30" s="223"/>
      <c r="D30" s="223"/>
      <c r="E30" s="223"/>
      <c r="F30" s="223"/>
      <c r="G30" s="223"/>
      <c r="H30" s="220">
        <f t="shared" si="4"/>
        <v>201477.11936101355</v>
      </c>
    </row>
    <row r="31" spans="1:21" x14ac:dyDescent="0.25">
      <c r="A31" s="223">
        <v>39022</v>
      </c>
      <c r="B31" s="223"/>
      <c r="C31" s="223"/>
      <c r="D31" s="223"/>
      <c r="E31" s="223"/>
      <c r="F31" s="223"/>
      <c r="G31" s="223"/>
      <c r="H31" s="220">
        <f t="shared" si="4"/>
        <v>221624.8312971149</v>
      </c>
      <c r="I31" s="224" t="s">
        <v>19</v>
      </c>
    </row>
    <row r="32" spans="1:21" x14ac:dyDescent="0.25">
      <c r="A32" s="223">
        <v>39052</v>
      </c>
      <c r="B32" s="223"/>
      <c r="C32" s="223"/>
      <c r="D32" s="223"/>
      <c r="E32" s="223"/>
      <c r="F32" s="223"/>
      <c r="G32" s="223"/>
      <c r="H32" s="220">
        <f t="shared" si="4"/>
        <v>241772.54323321625</v>
      </c>
      <c r="I32" s="220">
        <f>SUM(H21:H32)</f>
        <v>1571521.531015906</v>
      </c>
      <c r="J32" s="220">
        <f>H32*12</f>
        <v>2901270.5187985948</v>
      </c>
    </row>
    <row r="33" spans="1:10" x14ac:dyDescent="0.25">
      <c r="A33" s="223">
        <v>39083</v>
      </c>
      <c r="B33" s="223"/>
      <c r="C33" s="223"/>
      <c r="D33" s="223"/>
      <c r="E33" s="223"/>
      <c r="F33" s="223"/>
      <c r="G33" s="223"/>
      <c r="H33" s="220">
        <f t="shared" ref="H33:H44" si="5">H32+$I$5</f>
        <v>262929.37637663796</v>
      </c>
      <c r="J33" s="225"/>
    </row>
    <row r="34" spans="1:10" x14ac:dyDescent="0.25">
      <c r="A34" s="223">
        <v>39114</v>
      </c>
      <c r="B34" s="223"/>
      <c r="C34" s="223"/>
      <c r="D34" s="223"/>
      <c r="E34" s="223"/>
      <c r="F34" s="223"/>
      <c r="G34" s="223"/>
      <c r="H34" s="220">
        <f t="shared" si="5"/>
        <v>284086.2095200597</v>
      </c>
    </row>
    <row r="35" spans="1:10" x14ac:dyDescent="0.25">
      <c r="A35" s="223">
        <v>39142</v>
      </c>
      <c r="B35" s="223"/>
      <c r="C35" s="223"/>
      <c r="D35" s="223"/>
      <c r="E35" s="223"/>
      <c r="F35" s="223"/>
      <c r="G35" s="223"/>
      <c r="H35" s="220">
        <f t="shared" si="5"/>
        <v>305243.04266348144</v>
      </c>
    </row>
    <row r="36" spans="1:10" x14ac:dyDescent="0.25">
      <c r="A36" s="223">
        <v>39173</v>
      </c>
      <c r="B36" s="223"/>
      <c r="C36" s="223"/>
      <c r="D36" s="223"/>
      <c r="E36" s="223"/>
      <c r="F36" s="223"/>
      <c r="G36" s="223"/>
      <c r="H36" s="220">
        <f t="shared" si="5"/>
        <v>326399.87580690318</v>
      </c>
    </row>
    <row r="37" spans="1:10" x14ac:dyDescent="0.25">
      <c r="A37" s="223">
        <v>39203</v>
      </c>
      <c r="B37" s="223"/>
      <c r="C37" s="223"/>
      <c r="D37" s="223"/>
      <c r="E37" s="223"/>
      <c r="F37" s="223"/>
      <c r="G37" s="223"/>
      <c r="H37" s="220">
        <f t="shared" si="5"/>
        <v>347556.70895032492</v>
      </c>
    </row>
    <row r="38" spans="1:10" x14ac:dyDescent="0.25">
      <c r="A38" s="223">
        <v>39234</v>
      </c>
      <c r="B38" s="223"/>
      <c r="C38" s="223"/>
      <c r="D38" s="223"/>
      <c r="E38" s="223"/>
      <c r="F38" s="223"/>
      <c r="G38" s="223"/>
      <c r="H38" s="220">
        <f t="shared" si="5"/>
        <v>368713.54209374666</v>
      </c>
    </row>
    <row r="39" spans="1:10" x14ac:dyDescent="0.25">
      <c r="A39" s="223">
        <v>39264</v>
      </c>
      <c r="B39" s="223"/>
      <c r="C39" s="223"/>
      <c r="D39" s="223"/>
      <c r="E39" s="223"/>
      <c r="F39" s="223"/>
      <c r="G39" s="223"/>
      <c r="H39" s="220">
        <f t="shared" si="5"/>
        <v>389870.37523716839</v>
      </c>
    </row>
    <row r="40" spans="1:10" x14ac:dyDescent="0.25">
      <c r="A40" s="223">
        <v>39295</v>
      </c>
      <c r="B40" s="223"/>
      <c r="C40" s="223"/>
      <c r="D40" s="223"/>
      <c r="E40" s="223"/>
      <c r="F40" s="223"/>
      <c r="G40" s="223"/>
      <c r="H40" s="220">
        <f t="shared" si="5"/>
        <v>411027.20838059013</v>
      </c>
    </row>
    <row r="41" spans="1:10" x14ac:dyDescent="0.25">
      <c r="A41" s="223">
        <v>39326</v>
      </c>
      <c r="B41" s="223"/>
      <c r="C41" s="223"/>
      <c r="D41" s="223"/>
      <c r="E41" s="223"/>
      <c r="F41" s="223"/>
      <c r="G41" s="223"/>
      <c r="H41" s="220">
        <f t="shared" si="5"/>
        <v>432184.04152401187</v>
      </c>
    </row>
    <row r="42" spans="1:10" x14ac:dyDescent="0.25">
      <c r="A42" s="223">
        <v>39356</v>
      </c>
      <c r="B42" s="223"/>
      <c r="C42" s="223"/>
      <c r="D42" s="223"/>
      <c r="E42" s="223"/>
      <c r="F42" s="223"/>
      <c r="G42" s="223"/>
      <c r="H42" s="220">
        <f t="shared" si="5"/>
        <v>453340.87466743361</v>
      </c>
    </row>
    <row r="43" spans="1:10" x14ac:dyDescent="0.25">
      <c r="A43" s="223">
        <v>39387</v>
      </c>
      <c r="B43" s="223"/>
      <c r="C43" s="223"/>
      <c r="D43" s="223"/>
      <c r="E43" s="223"/>
      <c r="F43" s="223"/>
      <c r="G43" s="223"/>
      <c r="H43" s="220">
        <f t="shared" si="5"/>
        <v>474497.70781085535</v>
      </c>
      <c r="I43" s="224" t="s">
        <v>19</v>
      </c>
    </row>
    <row r="44" spans="1:10" x14ac:dyDescent="0.25">
      <c r="A44" s="223">
        <v>39417</v>
      </c>
      <c r="B44" s="223"/>
      <c r="C44" s="223"/>
      <c r="D44" s="223"/>
      <c r="E44" s="223"/>
      <c r="F44" s="223"/>
      <c r="G44" s="223"/>
      <c r="H44" s="220">
        <f t="shared" si="5"/>
        <v>495654.54095427709</v>
      </c>
      <c r="I44" s="220">
        <f>SUM(H33:H44)</f>
        <v>4551503.5039854906</v>
      </c>
      <c r="J44" s="220">
        <f>H44*12</f>
        <v>5947854.4914513249</v>
      </c>
    </row>
    <row r="45" spans="1:10" x14ac:dyDescent="0.25">
      <c r="A45" s="223">
        <v>39448</v>
      </c>
      <c r="B45" s="223"/>
      <c r="C45" s="223"/>
      <c r="D45" s="223"/>
      <c r="E45" s="223"/>
      <c r="F45" s="223"/>
      <c r="G45" s="223"/>
      <c r="H45" s="220">
        <f t="shared" ref="H45:H56" si="6">H44+$I$6</f>
        <v>504346.77588558081</v>
      </c>
    </row>
    <row r="46" spans="1:10" x14ac:dyDescent="0.25">
      <c r="A46" s="223">
        <v>39479</v>
      </c>
      <c r="B46" s="223"/>
      <c r="C46" s="223"/>
      <c r="D46" s="223"/>
      <c r="E46" s="223"/>
      <c r="F46" s="223"/>
      <c r="G46" s="223"/>
      <c r="H46" s="220">
        <f t="shared" si="6"/>
        <v>513039.01081688452</v>
      </c>
    </row>
    <row r="47" spans="1:10" x14ac:dyDescent="0.25">
      <c r="A47" s="223">
        <v>39508</v>
      </c>
      <c r="B47" s="223"/>
      <c r="C47" s="223"/>
      <c r="D47" s="223"/>
      <c r="E47" s="223"/>
      <c r="F47" s="223"/>
      <c r="G47" s="223"/>
      <c r="H47" s="220">
        <f t="shared" si="6"/>
        <v>521731.24574818823</v>
      </c>
    </row>
    <row r="48" spans="1:10" x14ac:dyDescent="0.25">
      <c r="A48" s="223">
        <v>39539</v>
      </c>
      <c r="B48" s="223"/>
      <c r="C48" s="223"/>
      <c r="D48" s="223"/>
      <c r="E48" s="223"/>
      <c r="F48" s="223"/>
      <c r="G48" s="223"/>
      <c r="H48" s="220">
        <f t="shared" si="6"/>
        <v>530423.48067949188</v>
      </c>
    </row>
    <row r="49" spans="1:10" x14ac:dyDescent="0.25">
      <c r="A49" s="223">
        <v>39569</v>
      </c>
      <c r="B49" s="223"/>
      <c r="C49" s="223"/>
      <c r="D49" s="223"/>
      <c r="E49" s="223"/>
      <c r="F49" s="223"/>
      <c r="G49" s="223"/>
      <c r="H49" s="220">
        <f t="shared" si="6"/>
        <v>539115.71561079554</v>
      </c>
    </row>
    <row r="50" spans="1:10" x14ac:dyDescent="0.25">
      <c r="A50" s="223">
        <v>39600</v>
      </c>
      <c r="B50" s="223"/>
      <c r="C50" s="223"/>
      <c r="D50" s="223"/>
      <c r="E50" s="223"/>
      <c r="F50" s="223"/>
      <c r="G50" s="223"/>
      <c r="H50" s="220">
        <f t="shared" si="6"/>
        <v>547807.95054209919</v>
      </c>
    </row>
    <row r="51" spans="1:10" x14ac:dyDescent="0.25">
      <c r="A51" s="223">
        <v>39630</v>
      </c>
      <c r="B51" s="223"/>
      <c r="C51" s="223"/>
      <c r="D51" s="223"/>
      <c r="E51" s="223"/>
      <c r="F51" s="223"/>
      <c r="G51" s="223"/>
      <c r="H51" s="220">
        <f t="shared" si="6"/>
        <v>556500.18547340285</v>
      </c>
    </row>
    <row r="52" spans="1:10" x14ac:dyDescent="0.25">
      <c r="A52" s="223">
        <v>39661</v>
      </c>
      <c r="B52" s="223"/>
      <c r="C52" s="223"/>
      <c r="D52" s="223"/>
      <c r="E52" s="223"/>
      <c r="F52" s="223"/>
      <c r="G52" s="223"/>
      <c r="H52" s="220">
        <f t="shared" si="6"/>
        <v>565192.4204047065</v>
      </c>
    </row>
    <row r="53" spans="1:10" x14ac:dyDescent="0.25">
      <c r="A53" s="223">
        <v>39692</v>
      </c>
      <c r="B53" s="223"/>
      <c r="C53" s="223"/>
      <c r="D53" s="223"/>
      <c r="E53" s="223"/>
      <c r="F53" s="223"/>
      <c r="G53" s="223"/>
      <c r="H53" s="220">
        <f t="shared" si="6"/>
        <v>573884.65533601015</v>
      </c>
    </row>
    <row r="54" spans="1:10" x14ac:dyDescent="0.25">
      <c r="A54" s="223">
        <v>39722</v>
      </c>
      <c r="B54" s="223"/>
      <c r="C54" s="223"/>
      <c r="D54" s="223"/>
      <c r="E54" s="223"/>
      <c r="F54" s="223"/>
      <c r="G54" s="223"/>
      <c r="H54" s="220">
        <f t="shared" si="6"/>
        <v>582576.89026731381</v>
      </c>
    </row>
    <row r="55" spans="1:10" x14ac:dyDescent="0.25">
      <c r="A55" s="223">
        <v>39753</v>
      </c>
      <c r="B55" s="223"/>
      <c r="C55" s="223"/>
      <c r="D55" s="223"/>
      <c r="E55" s="223"/>
      <c r="F55" s="223"/>
      <c r="G55" s="223"/>
      <c r="H55" s="220">
        <f t="shared" si="6"/>
        <v>591269.12519861746</v>
      </c>
    </row>
    <row r="56" spans="1:10" x14ac:dyDescent="0.25">
      <c r="A56" s="223">
        <v>39783</v>
      </c>
      <c r="B56" s="223"/>
      <c r="C56" s="223"/>
      <c r="D56" s="223"/>
      <c r="E56" s="223"/>
      <c r="F56" s="223"/>
      <c r="G56" s="223"/>
      <c r="H56" s="220">
        <f t="shared" si="6"/>
        <v>599961.36012992112</v>
      </c>
      <c r="I56" s="220">
        <f>SUM(H45:H56)</f>
        <v>6625848.8160930118</v>
      </c>
      <c r="J56" s="220">
        <f>H56*12</f>
        <v>7199536.3215590529</v>
      </c>
    </row>
    <row r="57" spans="1:10" x14ac:dyDescent="0.25">
      <c r="A57" s="223">
        <v>39814</v>
      </c>
      <c r="B57" s="223"/>
      <c r="C57" s="223"/>
      <c r="D57" s="223"/>
      <c r="E57" s="223"/>
      <c r="F57" s="223"/>
      <c r="G57" s="223"/>
      <c r="H57" s="220">
        <f t="shared" ref="H57:H68" si="7">H56+$I$7</f>
        <v>613781.96710080863</v>
      </c>
    </row>
    <row r="58" spans="1:10" x14ac:dyDescent="0.25">
      <c r="A58" s="223">
        <v>39845</v>
      </c>
      <c r="B58" s="223"/>
      <c r="C58" s="223"/>
      <c r="D58" s="223"/>
      <c r="E58" s="223"/>
      <c r="F58" s="223"/>
      <c r="G58" s="223"/>
      <c r="H58" s="220">
        <f t="shared" si="7"/>
        <v>627602.57407169614</v>
      </c>
    </row>
    <row r="59" spans="1:10" x14ac:dyDescent="0.25">
      <c r="A59" s="223">
        <v>39873</v>
      </c>
      <c r="B59" s="223"/>
      <c r="C59" s="223"/>
      <c r="D59" s="223"/>
      <c r="E59" s="223"/>
      <c r="F59" s="223"/>
      <c r="G59" s="223"/>
      <c r="H59" s="220">
        <f t="shared" si="7"/>
        <v>641423.18104258366</v>
      </c>
    </row>
    <row r="60" spans="1:10" x14ac:dyDescent="0.25">
      <c r="A60" s="223">
        <v>39904</v>
      </c>
      <c r="B60" s="223"/>
      <c r="C60" s="223"/>
      <c r="D60" s="223"/>
      <c r="E60" s="223"/>
      <c r="F60" s="223"/>
      <c r="G60" s="223"/>
      <c r="H60" s="220">
        <f t="shared" si="7"/>
        <v>655243.78801347117</v>
      </c>
    </row>
    <row r="61" spans="1:10" x14ac:dyDescent="0.25">
      <c r="A61" s="223">
        <v>39934</v>
      </c>
      <c r="B61" s="223"/>
      <c r="C61" s="223"/>
      <c r="D61" s="223"/>
      <c r="E61" s="223"/>
      <c r="F61" s="223"/>
      <c r="G61" s="223"/>
      <c r="H61" s="220">
        <f t="shared" si="7"/>
        <v>669064.39498435869</v>
      </c>
    </row>
    <row r="62" spans="1:10" x14ac:dyDescent="0.25">
      <c r="A62" s="223">
        <v>39965</v>
      </c>
      <c r="B62" s="223"/>
      <c r="C62" s="223"/>
      <c r="D62" s="223"/>
      <c r="E62" s="223"/>
      <c r="F62" s="223"/>
      <c r="G62" s="223"/>
      <c r="H62" s="220">
        <f t="shared" si="7"/>
        <v>682885.0019552462</v>
      </c>
    </row>
    <row r="63" spans="1:10" x14ac:dyDescent="0.25">
      <c r="A63" s="223">
        <v>39995</v>
      </c>
      <c r="B63" s="223"/>
      <c r="C63" s="223"/>
      <c r="D63" s="223"/>
      <c r="E63" s="223"/>
      <c r="F63" s="223"/>
      <c r="G63" s="223"/>
      <c r="H63" s="220">
        <f t="shared" si="7"/>
        <v>696705.60892613372</v>
      </c>
    </row>
    <row r="64" spans="1:10" x14ac:dyDescent="0.25">
      <c r="A64" s="223">
        <v>40026</v>
      </c>
      <c r="B64" s="223"/>
      <c r="C64" s="223"/>
      <c r="D64" s="223"/>
      <c r="E64" s="223"/>
      <c r="F64" s="223"/>
      <c r="G64" s="223"/>
      <c r="H64" s="220">
        <f t="shared" si="7"/>
        <v>710526.21589702123</v>
      </c>
    </row>
    <row r="65" spans="1:10" x14ac:dyDescent="0.25">
      <c r="A65" s="223">
        <v>40057</v>
      </c>
      <c r="B65" s="223"/>
      <c r="C65" s="223"/>
      <c r="D65" s="223"/>
      <c r="E65" s="223"/>
      <c r="F65" s="223"/>
      <c r="G65" s="223"/>
      <c r="H65" s="220">
        <f t="shared" si="7"/>
        <v>724346.82286790875</v>
      </c>
    </row>
    <row r="66" spans="1:10" x14ac:dyDescent="0.25">
      <c r="A66" s="223">
        <v>40087</v>
      </c>
      <c r="B66" s="223"/>
      <c r="C66" s="223"/>
      <c r="D66" s="223"/>
      <c r="E66" s="223"/>
      <c r="F66" s="223"/>
      <c r="G66" s="223"/>
      <c r="H66" s="220">
        <f t="shared" si="7"/>
        <v>738167.42983879626</v>
      </c>
    </row>
    <row r="67" spans="1:10" x14ac:dyDescent="0.25">
      <c r="A67" s="223">
        <v>40118</v>
      </c>
      <c r="B67" s="223"/>
      <c r="C67" s="223"/>
      <c r="D67" s="223"/>
      <c r="E67" s="223"/>
      <c r="F67" s="223"/>
      <c r="G67" s="223"/>
      <c r="H67" s="220">
        <f t="shared" si="7"/>
        <v>751988.03680968378</v>
      </c>
    </row>
    <row r="68" spans="1:10" x14ac:dyDescent="0.25">
      <c r="A68" s="223">
        <v>40148</v>
      </c>
      <c r="B68" s="223"/>
      <c r="C68" s="223"/>
      <c r="D68" s="223"/>
      <c r="E68" s="223"/>
      <c r="F68" s="223"/>
      <c r="G68" s="223"/>
      <c r="H68" s="220">
        <f t="shared" si="7"/>
        <v>765808.64378057129</v>
      </c>
      <c r="I68" s="220">
        <f>SUM(H57:H68)</f>
        <v>8277543.6652882788</v>
      </c>
      <c r="J68" s="220">
        <f>H68*12</f>
        <v>9189703.725366855</v>
      </c>
    </row>
    <row r="69" spans="1:10" x14ac:dyDescent="0.25">
      <c r="A69" s="223">
        <v>40179</v>
      </c>
      <c r="B69" s="223"/>
      <c r="C69" s="223"/>
      <c r="D69" s="223"/>
      <c r="E69" s="223"/>
      <c r="F69" s="223"/>
      <c r="G69" s="223"/>
      <c r="H69" s="220">
        <f t="shared" ref="H69:H80" si="8">H68+$I$8</f>
        <v>738136.30876040738</v>
      </c>
    </row>
    <row r="70" spans="1:10" x14ac:dyDescent="0.25">
      <c r="A70" s="223">
        <v>40210</v>
      </c>
      <c r="B70" s="223"/>
      <c r="C70" s="223"/>
      <c r="D70" s="223"/>
      <c r="E70" s="223"/>
      <c r="F70" s="223"/>
      <c r="G70" s="223"/>
      <c r="H70" s="220">
        <f t="shared" si="8"/>
        <v>710463.97374024347</v>
      </c>
    </row>
    <row r="71" spans="1:10" x14ac:dyDescent="0.25">
      <c r="A71" s="223">
        <v>40238</v>
      </c>
      <c r="B71" s="223"/>
      <c r="C71" s="223"/>
      <c r="D71" s="223"/>
      <c r="E71" s="223"/>
      <c r="F71" s="223"/>
      <c r="G71" s="223"/>
      <c r="H71" s="220">
        <f t="shared" si="8"/>
        <v>682791.63872007956</v>
      </c>
    </row>
    <row r="72" spans="1:10" x14ac:dyDescent="0.25">
      <c r="A72" s="223">
        <v>40269</v>
      </c>
      <c r="B72" s="223"/>
      <c r="C72" s="223"/>
      <c r="D72" s="223"/>
      <c r="E72" s="223"/>
      <c r="F72" s="223"/>
      <c r="G72" s="223"/>
      <c r="H72" s="220">
        <f t="shared" si="8"/>
        <v>655119.30369991565</v>
      </c>
    </row>
    <row r="73" spans="1:10" x14ac:dyDescent="0.25">
      <c r="A73" s="223">
        <v>40299</v>
      </c>
      <c r="B73" s="223"/>
      <c r="C73" s="223"/>
      <c r="D73" s="223"/>
      <c r="E73" s="223"/>
      <c r="F73" s="223"/>
      <c r="G73" s="223"/>
      <c r="H73" s="220">
        <f t="shared" si="8"/>
        <v>627446.96867975174</v>
      </c>
    </row>
    <row r="74" spans="1:10" x14ac:dyDescent="0.25">
      <c r="A74" s="223">
        <v>40330</v>
      </c>
      <c r="B74" s="223"/>
      <c r="C74" s="223"/>
      <c r="D74" s="223"/>
      <c r="E74" s="223"/>
      <c r="F74" s="223"/>
      <c r="G74" s="223"/>
      <c r="H74" s="220">
        <f t="shared" si="8"/>
        <v>599774.63365958782</v>
      </c>
    </row>
    <row r="75" spans="1:10" x14ac:dyDescent="0.25">
      <c r="A75" s="223">
        <v>40360</v>
      </c>
      <c r="B75" s="223"/>
      <c r="C75" s="223"/>
      <c r="D75" s="223"/>
      <c r="E75" s="223"/>
      <c r="F75" s="223"/>
      <c r="G75" s="223"/>
      <c r="H75" s="220">
        <f t="shared" si="8"/>
        <v>572102.29863942391</v>
      </c>
    </row>
    <row r="76" spans="1:10" x14ac:dyDescent="0.25">
      <c r="A76" s="223">
        <v>40391</v>
      </c>
      <c r="B76" s="223"/>
      <c r="C76" s="223"/>
      <c r="D76" s="223"/>
      <c r="E76" s="223"/>
      <c r="F76" s="223"/>
      <c r="G76" s="223"/>
      <c r="H76" s="220">
        <f t="shared" si="8"/>
        <v>544429.96361926</v>
      </c>
    </row>
    <row r="77" spans="1:10" x14ac:dyDescent="0.25">
      <c r="A77" s="223">
        <v>40422</v>
      </c>
      <c r="B77" s="223"/>
      <c r="C77" s="223"/>
      <c r="D77" s="223"/>
      <c r="E77" s="223"/>
      <c r="F77" s="223"/>
      <c r="G77" s="223"/>
      <c r="H77" s="220">
        <f t="shared" si="8"/>
        <v>516757.62859909603</v>
      </c>
    </row>
    <row r="78" spans="1:10" x14ac:dyDescent="0.25">
      <c r="A78" s="223">
        <v>40452</v>
      </c>
      <c r="B78" s="223"/>
      <c r="C78" s="223"/>
      <c r="D78" s="223"/>
      <c r="E78" s="223"/>
      <c r="F78" s="223"/>
      <c r="G78" s="223"/>
      <c r="H78" s="220">
        <f t="shared" si="8"/>
        <v>489085.29357893206</v>
      </c>
    </row>
    <row r="79" spans="1:10" x14ac:dyDescent="0.25">
      <c r="A79" s="223">
        <v>40483</v>
      </c>
      <c r="B79" s="223"/>
      <c r="C79" s="223"/>
      <c r="D79" s="223"/>
      <c r="E79" s="223"/>
      <c r="F79" s="223"/>
      <c r="G79" s="223"/>
      <c r="H79" s="220">
        <f t="shared" si="8"/>
        <v>461412.95855876809</v>
      </c>
    </row>
    <row r="80" spans="1:10" x14ac:dyDescent="0.25">
      <c r="A80" s="223">
        <v>40513</v>
      </c>
      <c r="B80" s="223"/>
      <c r="C80" s="223"/>
      <c r="D80" s="223"/>
      <c r="E80" s="223"/>
      <c r="F80" s="223"/>
      <c r="G80" s="223"/>
      <c r="H80" s="220">
        <f t="shared" si="8"/>
        <v>433740.62353860412</v>
      </c>
      <c r="I80" s="220">
        <f>SUM(H69:H80)</f>
        <v>7031261.5937940693</v>
      </c>
      <c r="J80" s="220">
        <f>H80*12</f>
        <v>5204887.4824632499</v>
      </c>
    </row>
    <row r="81" spans="1:10" x14ac:dyDescent="0.25">
      <c r="A81" s="223">
        <v>40544</v>
      </c>
      <c r="B81" s="223"/>
      <c r="C81" s="223"/>
      <c r="D81" s="223"/>
      <c r="E81" s="223"/>
      <c r="F81" s="223"/>
      <c r="G81" s="223"/>
      <c r="H81" s="220">
        <f t="shared" ref="H81:H92" si="9">H80+$I$9</f>
        <v>481551.78829860594</v>
      </c>
    </row>
    <row r="82" spans="1:10" x14ac:dyDescent="0.25">
      <c r="A82" s="223">
        <v>40575</v>
      </c>
      <c r="B82" s="223"/>
      <c r="C82" s="223"/>
      <c r="D82" s="223"/>
      <c r="E82" s="223"/>
      <c r="F82" s="223"/>
      <c r="G82" s="223"/>
      <c r="H82" s="220">
        <f t="shared" si="9"/>
        <v>529362.95305860776</v>
      </c>
    </row>
    <row r="83" spans="1:10" x14ac:dyDescent="0.25">
      <c r="A83" s="223">
        <v>40603</v>
      </c>
      <c r="B83" s="223"/>
      <c r="C83" s="223"/>
      <c r="D83" s="223"/>
      <c r="E83" s="223"/>
      <c r="F83" s="223"/>
      <c r="G83" s="223"/>
      <c r="H83" s="220">
        <f t="shared" si="9"/>
        <v>577174.11781860958</v>
      </c>
    </row>
    <row r="84" spans="1:10" x14ac:dyDescent="0.25">
      <c r="A84" s="223">
        <v>40634</v>
      </c>
      <c r="B84" s="223"/>
      <c r="C84" s="223"/>
      <c r="D84" s="223"/>
      <c r="E84" s="223"/>
      <c r="F84" s="223"/>
      <c r="G84" s="223"/>
      <c r="H84" s="220">
        <f t="shared" si="9"/>
        <v>624985.2825786114</v>
      </c>
    </row>
    <row r="85" spans="1:10" x14ac:dyDescent="0.25">
      <c r="A85" s="223">
        <v>40664</v>
      </c>
      <c r="B85" s="223"/>
      <c r="C85" s="223"/>
      <c r="D85" s="223"/>
      <c r="E85" s="223"/>
      <c r="F85" s="223"/>
      <c r="G85" s="223"/>
      <c r="H85" s="220">
        <f t="shared" si="9"/>
        <v>672796.44733861322</v>
      </c>
    </row>
    <row r="86" spans="1:10" x14ac:dyDescent="0.25">
      <c r="A86" s="223">
        <v>40695</v>
      </c>
      <c r="B86" s="223"/>
      <c r="C86" s="223"/>
      <c r="D86" s="223"/>
      <c r="E86" s="223"/>
      <c r="F86" s="223"/>
      <c r="G86" s="223"/>
      <c r="H86" s="220">
        <f t="shared" si="9"/>
        <v>720607.61209861503</v>
      </c>
    </row>
    <row r="87" spans="1:10" x14ac:dyDescent="0.25">
      <c r="A87" s="223">
        <v>40725</v>
      </c>
      <c r="B87" s="223"/>
      <c r="C87" s="223"/>
      <c r="D87" s="223"/>
      <c r="E87" s="223"/>
      <c r="F87" s="223"/>
      <c r="G87" s="223"/>
      <c r="H87" s="220">
        <f t="shared" si="9"/>
        <v>768418.77685861685</v>
      </c>
    </row>
    <row r="88" spans="1:10" x14ac:dyDescent="0.25">
      <c r="A88" s="223">
        <v>40756</v>
      </c>
      <c r="B88" s="223"/>
      <c r="C88" s="223"/>
      <c r="D88" s="223"/>
      <c r="E88" s="223"/>
      <c r="F88" s="223"/>
      <c r="G88" s="223"/>
      <c r="H88" s="220">
        <f t="shared" si="9"/>
        <v>816229.94161861867</v>
      </c>
    </row>
    <row r="89" spans="1:10" x14ac:dyDescent="0.25">
      <c r="A89" s="223">
        <v>40787</v>
      </c>
      <c r="B89" s="223"/>
      <c r="C89" s="223"/>
      <c r="D89" s="223"/>
      <c r="E89" s="223"/>
      <c r="F89" s="223"/>
      <c r="G89" s="223"/>
      <c r="H89" s="220">
        <f t="shared" si="9"/>
        <v>864041.10637862049</v>
      </c>
    </row>
    <row r="90" spans="1:10" x14ac:dyDescent="0.25">
      <c r="A90" s="223">
        <v>40817</v>
      </c>
      <c r="B90" s="223"/>
      <c r="C90" s="223"/>
      <c r="D90" s="223"/>
      <c r="E90" s="223"/>
      <c r="F90" s="223"/>
      <c r="G90" s="223"/>
      <c r="H90" s="220">
        <f t="shared" si="9"/>
        <v>911852.27113862231</v>
      </c>
    </row>
    <row r="91" spans="1:10" x14ac:dyDescent="0.25">
      <c r="A91" s="223">
        <v>40848</v>
      </c>
      <c r="B91" s="223"/>
      <c r="C91" s="223"/>
      <c r="D91" s="223"/>
      <c r="E91" s="223"/>
      <c r="F91" s="223"/>
      <c r="G91" s="223"/>
      <c r="H91" s="220">
        <f t="shared" si="9"/>
        <v>959663.43589862413</v>
      </c>
    </row>
    <row r="92" spans="1:10" x14ac:dyDescent="0.25">
      <c r="A92" s="223">
        <v>40878</v>
      </c>
      <c r="B92" s="223"/>
      <c r="C92" s="223"/>
      <c r="D92" s="223"/>
      <c r="E92" s="223"/>
      <c r="F92" s="223"/>
      <c r="G92" s="223"/>
      <c r="H92" s="220">
        <f t="shared" si="9"/>
        <v>1007474.6006586259</v>
      </c>
      <c r="I92" s="220">
        <f>SUM(H81:H92)</f>
        <v>8934158.3337433916</v>
      </c>
      <c r="J92" s="220">
        <f>H92*12</f>
        <v>12089695.207903512</v>
      </c>
    </row>
    <row r="93" spans="1:10" x14ac:dyDescent="0.25">
      <c r="A93" s="223">
        <v>40909</v>
      </c>
      <c r="B93" s="223"/>
      <c r="C93" s="223"/>
      <c r="D93" s="223"/>
      <c r="E93" s="223"/>
      <c r="F93" s="223"/>
      <c r="G93" s="223"/>
      <c r="H93" s="220">
        <f t="shared" ref="H93:H104" si="10">H92+$I$10</f>
        <v>1011767.0909852902</v>
      </c>
    </row>
    <row r="94" spans="1:10" x14ac:dyDescent="0.25">
      <c r="A94" s="223">
        <v>40940</v>
      </c>
      <c r="B94" s="223"/>
      <c r="C94" s="223"/>
      <c r="D94" s="223"/>
      <c r="E94" s="223"/>
      <c r="F94" s="223"/>
      <c r="G94" s="223"/>
      <c r="H94" s="220">
        <f t="shared" si="10"/>
        <v>1016059.5813119545</v>
      </c>
    </row>
    <row r="95" spans="1:10" x14ac:dyDescent="0.25">
      <c r="A95" s="223">
        <v>40969</v>
      </c>
      <c r="B95" s="223"/>
      <c r="C95" s="223"/>
      <c r="D95" s="223"/>
      <c r="E95" s="223"/>
      <c r="F95" s="223"/>
      <c r="G95" s="223"/>
      <c r="H95" s="220">
        <f t="shared" si="10"/>
        <v>1020352.0716386188</v>
      </c>
    </row>
    <row r="96" spans="1:10" x14ac:dyDescent="0.25">
      <c r="A96" s="223">
        <v>41000</v>
      </c>
      <c r="B96" s="223"/>
      <c r="C96" s="223"/>
      <c r="D96" s="223"/>
      <c r="E96" s="223"/>
      <c r="F96" s="223"/>
      <c r="G96" s="223"/>
      <c r="H96" s="220">
        <f t="shared" si="10"/>
        <v>1024644.5619652831</v>
      </c>
    </row>
    <row r="97" spans="1:10" x14ac:dyDescent="0.25">
      <c r="A97" s="223">
        <v>41030</v>
      </c>
      <c r="B97" s="223"/>
      <c r="C97" s="223"/>
      <c r="D97" s="223"/>
      <c r="E97" s="223"/>
      <c r="F97" s="223"/>
      <c r="G97" s="223"/>
      <c r="H97" s="220">
        <f t="shared" si="10"/>
        <v>1028937.0522919474</v>
      </c>
    </row>
    <row r="98" spans="1:10" x14ac:dyDescent="0.25">
      <c r="A98" s="223">
        <v>41061</v>
      </c>
      <c r="B98" s="223"/>
      <c r="C98" s="223"/>
      <c r="D98" s="223"/>
      <c r="E98" s="223"/>
      <c r="F98" s="223"/>
      <c r="G98" s="223"/>
      <c r="H98" s="220">
        <f t="shared" si="10"/>
        <v>1033229.5426186117</v>
      </c>
    </row>
    <row r="99" spans="1:10" x14ac:dyDescent="0.25">
      <c r="A99" s="223">
        <v>41091</v>
      </c>
      <c r="B99" s="223"/>
      <c r="C99" s="223"/>
      <c r="D99" s="223"/>
      <c r="E99" s="223"/>
      <c r="F99" s="223"/>
      <c r="G99" s="223"/>
      <c r="H99" s="220">
        <f t="shared" si="10"/>
        <v>1037522.032945276</v>
      </c>
    </row>
    <row r="100" spans="1:10" x14ac:dyDescent="0.25">
      <c r="A100" s="223">
        <v>41122</v>
      </c>
      <c r="B100" s="223"/>
      <c r="C100" s="223"/>
      <c r="D100" s="223"/>
      <c r="E100" s="223"/>
      <c r="F100" s="223"/>
      <c r="G100" s="223"/>
      <c r="H100" s="220">
        <f t="shared" si="10"/>
        <v>1041814.5232719403</v>
      </c>
    </row>
    <row r="101" spans="1:10" x14ac:dyDescent="0.25">
      <c r="A101" s="223">
        <v>41153</v>
      </c>
      <c r="B101" s="223"/>
      <c r="C101" s="223"/>
      <c r="D101" s="223"/>
      <c r="E101" s="223"/>
      <c r="F101" s="223"/>
      <c r="G101" s="223"/>
      <c r="H101" s="220">
        <f t="shared" si="10"/>
        <v>1046107.0135986046</v>
      </c>
    </row>
    <row r="102" spans="1:10" x14ac:dyDescent="0.25">
      <c r="A102" s="223">
        <v>41183</v>
      </c>
      <c r="B102" s="223"/>
      <c r="C102" s="223"/>
      <c r="D102" s="223"/>
      <c r="E102" s="223"/>
      <c r="F102" s="223"/>
      <c r="G102" s="223"/>
      <c r="H102" s="220">
        <f t="shared" si="10"/>
        <v>1050399.5039252688</v>
      </c>
    </row>
    <row r="103" spans="1:10" x14ac:dyDescent="0.25">
      <c r="A103" s="223">
        <v>41214</v>
      </c>
      <c r="B103" s="223"/>
      <c r="C103" s="223"/>
      <c r="D103" s="223"/>
      <c r="E103" s="223"/>
      <c r="F103" s="223"/>
      <c r="G103" s="223"/>
      <c r="H103" s="220">
        <f t="shared" si="10"/>
        <v>1054691.9942519329</v>
      </c>
    </row>
    <row r="104" spans="1:10" x14ac:dyDescent="0.25">
      <c r="A104" s="223">
        <v>41244</v>
      </c>
      <c r="B104" s="223"/>
      <c r="C104" s="223"/>
      <c r="D104" s="223"/>
      <c r="E104" s="223"/>
      <c r="F104" s="223"/>
      <c r="G104" s="223"/>
      <c r="H104" s="220">
        <f t="shared" si="10"/>
        <v>1058984.4845785971</v>
      </c>
      <c r="I104" s="220">
        <f>SUM(H93:H104)</f>
        <v>12424509.453383327</v>
      </c>
      <c r="J104" s="220">
        <f>H104*12</f>
        <v>12707813.814943165</v>
      </c>
    </row>
    <row r="105" spans="1:10" x14ac:dyDescent="0.25">
      <c r="A105" s="223">
        <v>41275</v>
      </c>
      <c r="B105" s="223"/>
      <c r="C105" s="223"/>
      <c r="D105" s="223"/>
      <c r="E105" s="223"/>
      <c r="F105" s="223"/>
      <c r="G105" s="223"/>
      <c r="H105" s="220">
        <f t="shared" ref="H105:H116" si="11">H104+$I$11</f>
        <v>1077122.6928958963</v>
      </c>
    </row>
    <row r="106" spans="1:10" x14ac:dyDescent="0.25">
      <c r="A106" s="223">
        <v>41306</v>
      </c>
      <c r="B106" s="223"/>
      <c r="C106" s="223"/>
      <c r="D106" s="223"/>
      <c r="E106" s="223"/>
      <c r="F106" s="223"/>
      <c r="G106" s="223"/>
      <c r="H106" s="220">
        <f t="shared" si="11"/>
        <v>1095260.9012131954</v>
      </c>
    </row>
    <row r="107" spans="1:10" x14ac:dyDescent="0.25">
      <c r="A107" s="223">
        <v>41334</v>
      </c>
      <c r="B107" s="223"/>
      <c r="C107" s="223"/>
      <c r="D107" s="223"/>
      <c r="E107" s="223"/>
      <c r="F107" s="223"/>
      <c r="G107" s="223"/>
      <c r="H107" s="220">
        <f t="shared" si="11"/>
        <v>1113399.1095304945</v>
      </c>
    </row>
    <row r="108" spans="1:10" x14ac:dyDescent="0.25">
      <c r="A108" s="223">
        <v>41365</v>
      </c>
      <c r="B108" s="223"/>
      <c r="C108" s="223"/>
      <c r="D108" s="223"/>
      <c r="E108" s="223"/>
      <c r="F108" s="223"/>
      <c r="G108" s="223"/>
      <c r="H108" s="220">
        <f t="shared" si="11"/>
        <v>1131537.3178477937</v>
      </c>
    </row>
    <row r="109" spans="1:10" x14ac:dyDescent="0.25">
      <c r="A109" s="223">
        <v>41395</v>
      </c>
      <c r="B109" s="223"/>
      <c r="C109" s="223"/>
      <c r="D109" s="223"/>
      <c r="E109" s="223"/>
      <c r="F109" s="223"/>
      <c r="G109" s="223"/>
      <c r="H109" s="220">
        <f t="shared" si="11"/>
        <v>1149675.5261650928</v>
      </c>
    </row>
    <row r="110" spans="1:10" x14ac:dyDescent="0.25">
      <c r="A110" s="223">
        <v>41426</v>
      </c>
      <c r="B110" s="223"/>
      <c r="C110" s="223"/>
      <c r="D110" s="223"/>
      <c r="E110" s="223"/>
      <c r="F110" s="223"/>
      <c r="G110" s="223"/>
      <c r="H110" s="220">
        <f t="shared" si="11"/>
        <v>1167813.734482392</v>
      </c>
    </row>
    <row r="111" spans="1:10" x14ac:dyDescent="0.25">
      <c r="A111" s="223">
        <v>41456</v>
      </c>
      <c r="B111" s="223"/>
      <c r="C111" s="223"/>
      <c r="D111" s="223"/>
      <c r="E111" s="223"/>
      <c r="F111" s="223"/>
      <c r="G111" s="223"/>
      <c r="H111" s="220">
        <f t="shared" si="11"/>
        <v>1185951.9427996911</v>
      </c>
    </row>
    <row r="112" spans="1:10" x14ac:dyDescent="0.25">
      <c r="A112" s="223">
        <v>41487</v>
      </c>
      <c r="B112" s="223"/>
      <c r="C112" s="223"/>
      <c r="D112" s="223"/>
      <c r="E112" s="223"/>
      <c r="F112" s="223"/>
      <c r="G112" s="223"/>
      <c r="H112" s="220">
        <f t="shared" si="11"/>
        <v>1204090.1511169903</v>
      </c>
    </row>
    <row r="113" spans="1:10" x14ac:dyDescent="0.25">
      <c r="A113" s="223">
        <v>41518</v>
      </c>
      <c r="B113" s="223"/>
      <c r="C113" s="223"/>
      <c r="D113" s="223"/>
      <c r="E113" s="223"/>
      <c r="F113" s="223"/>
      <c r="G113" s="223"/>
      <c r="H113" s="220">
        <f t="shared" si="11"/>
        <v>1222228.3594342894</v>
      </c>
    </row>
    <row r="114" spans="1:10" x14ac:dyDescent="0.25">
      <c r="A114" s="223">
        <v>41548</v>
      </c>
      <c r="B114" s="223"/>
      <c r="C114" s="223"/>
      <c r="D114" s="223"/>
      <c r="E114" s="223"/>
      <c r="F114" s="223"/>
      <c r="G114" s="223"/>
      <c r="H114" s="220">
        <f t="shared" si="11"/>
        <v>1240366.5677515885</v>
      </c>
    </row>
    <row r="115" spans="1:10" x14ac:dyDescent="0.25">
      <c r="A115" s="223">
        <v>41579</v>
      </c>
      <c r="B115" s="223"/>
      <c r="C115" s="223"/>
      <c r="D115" s="223"/>
      <c r="E115" s="223"/>
      <c r="F115" s="223"/>
      <c r="G115" s="223"/>
      <c r="H115" s="220">
        <f t="shared" si="11"/>
        <v>1258504.7760688877</v>
      </c>
    </row>
    <row r="116" spans="1:10" x14ac:dyDescent="0.25">
      <c r="A116" s="223">
        <v>41609</v>
      </c>
      <c r="B116" s="223"/>
      <c r="C116" s="223"/>
      <c r="D116" s="223"/>
      <c r="E116" s="223"/>
      <c r="F116" s="223"/>
      <c r="G116" s="223"/>
      <c r="H116" s="220">
        <f t="shared" si="11"/>
        <v>1276642.9843861868</v>
      </c>
      <c r="I116" s="220">
        <f>SUM(H105:H116)</f>
        <v>14122594.063692499</v>
      </c>
      <c r="J116" s="220">
        <f>H116*12</f>
        <v>15319715.812634241</v>
      </c>
    </row>
    <row r="117" spans="1:10" x14ac:dyDescent="0.25">
      <c r="A117" s="223">
        <v>41640</v>
      </c>
      <c r="H117" s="220">
        <f>H116+$I$12</f>
        <v>1325152.4905694686</v>
      </c>
    </row>
    <row r="118" spans="1:10" x14ac:dyDescent="0.25">
      <c r="A118" s="223">
        <v>41671</v>
      </c>
      <c r="H118" s="220">
        <f t="shared" ref="H118:H128" si="12">H117+$I$12</f>
        <v>1373661.9967527504</v>
      </c>
    </row>
    <row r="119" spans="1:10" x14ac:dyDescent="0.25">
      <c r="A119" s="223">
        <v>41699</v>
      </c>
      <c r="H119" s="220">
        <f t="shared" si="12"/>
        <v>1422171.5029360321</v>
      </c>
    </row>
    <row r="120" spans="1:10" x14ac:dyDescent="0.25">
      <c r="A120" s="223">
        <v>41730</v>
      </c>
      <c r="H120" s="220">
        <f t="shared" si="12"/>
        <v>1470681.0091193139</v>
      </c>
    </row>
    <row r="121" spans="1:10" x14ac:dyDescent="0.25">
      <c r="A121" s="223">
        <v>41760</v>
      </c>
      <c r="H121" s="220">
        <f t="shared" si="12"/>
        <v>1519190.5153025957</v>
      </c>
    </row>
    <row r="122" spans="1:10" x14ac:dyDescent="0.25">
      <c r="A122" s="223">
        <v>41791</v>
      </c>
      <c r="H122" s="220">
        <f t="shared" si="12"/>
        <v>1567700.0214858775</v>
      </c>
    </row>
    <row r="123" spans="1:10" x14ac:dyDescent="0.25">
      <c r="A123" s="223">
        <v>41821</v>
      </c>
      <c r="H123" s="220">
        <f t="shared" si="12"/>
        <v>1616209.5276691592</v>
      </c>
    </row>
    <row r="124" spans="1:10" x14ac:dyDescent="0.25">
      <c r="A124" s="223">
        <v>41852</v>
      </c>
      <c r="H124" s="220">
        <f t="shared" si="12"/>
        <v>1664719.033852441</v>
      </c>
    </row>
    <row r="125" spans="1:10" x14ac:dyDescent="0.25">
      <c r="A125" s="223">
        <v>41883</v>
      </c>
      <c r="H125" s="220">
        <f t="shared" si="12"/>
        <v>1713228.5400357228</v>
      </c>
    </row>
    <row r="126" spans="1:10" x14ac:dyDescent="0.25">
      <c r="A126" s="223">
        <v>41913</v>
      </c>
      <c r="H126" s="220">
        <f t="shared" si="12"/>
        <v>1761738.0462190046</v>
      </c>
    </row>
    <row r="127" spans="1:10" x14ac:dyDescent="0.25">
      <c r="A127" s="223">
        <v>41944</v>
      </c>
      <c r="H127" s="220">
        <f t="shared" si="12"/>
        <v>1810247.5524022863</v>
      </c>
    </row>
    <row r="128" spans="1:10" x14ac:dyDescent="0.25">
      <c r="A128" s="223">
        <v>41974</v>
      </c>
      <c r="H128" s="220">
        <f t="shared" si="12"/>
        <v>1858757.0585855681</v>
      </c>
      <c r="I128" s="220">
        <f>SUM(H117:H128)</f>
        <v>19103457.294930223</v>
      </c>
      <c r="J128" s="220">
        <f>H128*12</f>
        <v>22305084.703026816</v>
      </c>
    </row>
    <row r="129" spans="1:10" x14ac:dyDescent="0.25">
      <c r="A129" s="223">
        <v>42005</v>
      </c>
      <c r="H129" s="220">
        <f>H128+$I$13</f>
        <v>1849184.669818654</v>
      </c>
    </row>
    <row r="130" spans="1:10" x14ac:dyDescent="0.25">
      <c r="A130" s="223">
        <v>42036</v>
      </c>
      <c r="H130" s="220">
        <f t="shared" ref="H130:H140" si="13">H129+$I$13</f>
        <v>1839612.2810517398</v>
      </c>
    </row>
    <row r="131" spans="1:10" x14ac:dyDescent="0.25">
      <c r="A131" s="223">
        <v>42064</v>
      </c>
      <c r="H131" s="220">
        <f t="shared" si="13"/>
        <v>1830039.8922848257</v>
      </c>
    </row>
    <row r="132" spans="1:10" x14ac:dyDescent="0.25">
      <c r="A132" s="223">
        <v>42095</v>
      </c>
      <c r="H132" s="220">
        <f t="shared" si="13"/>
        <v>1820467.5035179115</v>
      </c>
    </row>
    <row r="133" spans="1:10" x14ac:dyDescent="0.25">
      <c r="A133" s="223">
        <v>42125</v>
      </c>
      <c r="H133" s="220">
        <f t="shared" si="13"/>
        <v>1810895.1147509974</v>
      </c>
    </row>
    <row r="134" spans="1:10" x14ac:dyDescent="0.25">
      <c r="A134" s="223">
        <v>42156</v>
      </c>
      <c r="H134" s="220">
        <f t="shared" si="13"/>
        <v>1801322.7259840833</v>
      </c>
    </row>
    <row r="135" spans="1:10" x14ac:dyDescent="0.25">
      <c r="A135" s="223">
        <v>42186</v>
      </c>
      <c r="H135" s="220">
        <f t="shared" si="13"/>
        <v>1791750.3372171691</v>
      </c>
    </row>
    <row r="136" spans="1:10" x14ac:dyDescent="0.25">
      <c r="A136" s="223">
        <v>42217</v>
      </c>
      <c r="H136" s="220">
        <f t="shared" si="13"/>
        <v>1782177.948450255</v>
      </c>
    </row>
    <row r="137" spans="1:10" x14ac:dyDescent="0.25">
      <c r="A137" s="223">
        <v>42248</v>
      </c>
      <c r="H137" s="220">
        <f t="shared" si="13"/>
        <v>1772605.5596833408</v>
      </c>
    </row>
    <row r="138" spans="1:10" x14ac:dyDescent="0.25">
      <c r="A138" s="223">
        <v>42278</v>
      </c>
      <c r="H138" s="220">
        <f t="shared" si="13"/>
        <v>1763033.1709164267</v>
      </c>
    </row>
    <row r="139" spans="1:10" x14ac:dyDescent="0.25">
      <c r="A139" s="223">
        <v>42309</v>
      </c>
      <c r="H139" s="220">
        <f t="shared" si="13"/>
        <v>1753460.7821495126</v>
      </c>
    </row>
    <row r="140" spans="1:10" x14ac:dyDescent="0.25">
      <c r="A140" s="223">
        <v>42339</v>
      </c>
      <c r="H140" s="220">
        <f t="shared" si="13"/>
        <v>1743888.3933825984</v>
      </c>
      <c r="I140" s="220">
        <f>SUM(H129:H140)</f>
        <v>21558438.379207514</v>
      </c>
      <c r="J140" s="220">
        <f>H140*12</f>
        <v>20926660.72059118</v>
      </c>
    </row>
    <row r="141" spans="1:10" x14ac:dyDescent="0.25">
      <c r="A141" s="223">
        <v>42370</v>
      </c>
      <c r="H141" s="220">
        <f>H140+$I$14</f>
        <v>1841310.7471193657</v>
      </c>
    </row>
    <row r="142" spans="1:10" x14ac:dyDescent="0.25">
      <c r="A142" s="223">
        <v>42401</v>
      </c>
      <c r="H142" s="220">
        <f t="shared" ref="H142:H152" si="14">H141+$I$14</f>
        <v>1938733.100856133</v>
      </c>
    </row>
    <row r="143" spans="1:10" x14ac:dyDescent="0.25">
      <c r="A143" s="223">
        <v>42430</v>
      </c>
      <c r="H143" s="220">
        <f t="shared" si="14"/>
        <v>2036155.4545929004</v>
      </c>
    </row>
    <row r="144" spans="1:10" x14ac:dyDescent="0.25">
      <c r="A144" s="223">
        <v>42461</v>
      </c>
      <c r="H144" s="220">
        <f t="shared" si="14"/>
        <v>2133577.8083296674</v>
      </c>
    </row>
    <row r="145" spans="1:10" x14ac:dyDescent="0.25">
      <c r="A145" s="223">
        <v>42491</v>
      </c>
      <c r="H145" s="220">
        <f t="shared" si="14"/>
        <v>2231000.1620664345</v>
      </c>
    </row>
    <row r="146" spans="1:10" x14ac:dyDescent="0.25">
      <c r="A146" s="223">
        <v>42522</v>
      </c>
      <c r="H146" s="220">
        <f t="shared" si="14"/>
        <v>2328422.5158032016</v>
      </c>
    </row>
    <row r="147" spans="1:10" x14ac:dyDescent="0.25">
      <c r="A147" s="223">
        <v>42552</v>
      </c>
      <c r="H147" s="220">
        <f t="shared" si="14"/>
        <v>2425844.8695399687</v>
      </c>
    </row>
    <row r="148" spans="1:10" x14ac:dyDescent="0.25">
      <c r="A148" s="223">
        <v>42583</v>
      </c>
      <c r="H148" s="220">
        <f t="shared" si="14"/>
        <v>2523267.2232767357</v>
      </c>
    </row>
    <row r="149" spans="1:10" x14ac:dyDescent="0.25">
      <c r="A149" s="223">
        <v>42614</v>
      </c>
      <c r="H149" s="220">
        <f t="shared" si="14"/>
        <v>2620689.5770135028</v>
      </c>
    </row>
    <row r="150" spans="1:10" x14ac:dyDescent="0.25">
      <c r="A150" s="223">
        <v>42644</v>
      </c>
      <c r="H150" s="220">
        <f t="shared" si="14"/>
        <v>2718111.9307502699</v>
      </c>
    </row>
    <row r="151" spans="1:10" x14ac:dyDescent="0.25">
      <c r="A151" s="223">
        <v>42675</v>
      </c>
      <c r="H151" s="220">
        <f t="shared" si="14"/>
        <v>2815534.284487037</v>
      </c>
    </row>
    <row r="152" spans="1:10" x14ac:dyDescent="0.25">
      <c r="A152" s="223">
        <v>42705</v>
      </c>
      <c r="H152" s="220">
        <f t="shared" si="14"/>
        <v>2912956.6382238041</v>
      </c>
      <c r="I152" s="220">
        <f>SUM(H141:H152)</f>
        <v>28525604.312059022</v>
      </c>
      <c r="J152" s="220">
        <f>H152*12</f>
        <v>34955479.658685647</v>
      </c>
    </row>
    <row r="153" spans="1:10" x14ac:dyDescent="0.25">
      <c r="A153" s="223">
        <v>42736</v>
      </c>
      <c r="H153" s="220">
        <f>H152+$I$15</f>
        <v>2926161.7132919636</v>
      </c>
    </row>
    <row r="154" spans="1:10" x14ac:dyDescent="0.25">
      <c r="A154" s="223">
        <v>42767</v>
      </c>
      <c r="H154" s="220">
        <f t="shared" ref="H154:H164" si="15">H153+$I$15</f>
        <v>2939366.7883601231</v>
      </c>
    </row>
    <row r="155" spans="1:10" x14ac:dyDescent="0.25">
      <c r="A155" s="223">
        <v>42795</v>
      </c>
      <c r="H155" s="220">
        <f t="shared" si="15"/>
        <v>2952571.8634282826</v>
      </c>
    </row>
    <row r="156" spans="1:10" x14ac:dyDescent="0.25">
      <c r="A156" s="223">
        <v>42826</v>
      </c>
      <c r="H156" s="220">
        <f t="shared" si="15"/>
        <v>2965776.938496442</v>
      </c>
    </row>
    <row r="157" spans="1:10" x14ac:dyDescent="0.25">
      <c r="A157" s="223">
        <v>42856</v>
      </c>
      <c r="H157" s="220">
        <f t="shared" si="15"/>
        <v>2978982.0135646015</v>
      </c>
    </row>
    <row r="158" spans="1:10" x14ac:dyDescent="0.25">
      <c r="A158" s="223">
        <v>42887</v>
      </c>
      <c r="H158" s="220">
        <f t="shared" si="15"/>
        <v>2992187.088632761</v>
      </c>
    </row>
    <row r="159" spans="1:10" x14ac:dyDescent="0.25">
      <c r="A159" s="223">
        <v>42917</v>
      </c>
      <c r="H159" s="220">
        <f t="shared" si="15"/>
        <v>3005392.1637009205</v>
      </c>
    </row>
    <row r="160" spans="1:10" x14ac:dyDescent="0.25">
      <c r="A160" s="223">
        <v>42948</v>
      </c>
      <c r="H160" s="220">
        <f t="shared" si="15"/>
        <v>3018597.23876908</v>
      </c>
    </row>
    <row r="161" spans="1:10" x14ac:dyDescent="0.25">
      <c r="A161" s="223">
        <v>42979</v>
      </c>
      <c r="H161" s="220">
        <f t="shared" si="15"/>
        <v>3031802.3138372395</v>
      </c>
    </row>
    <row r="162" spans="1:10" x14ac:dyDescent="0.25">
      <c r="A162" s="223">
        <v>43009</v>
      </c>
      <c r="H162" s="220">
        <f t="shared" si="15"/>
        <v>3045007.388905399</v>
      </c>
    </row>
    <row r="163" spans="1:10" x14ac:dyDescent="0.25">
      <c r="A163" s="223">
        <v>43040</v>
      </c>
      <c r="H163" s="220">
        <f t="shared" si="15"/>
        <v>3058212.4639735585</v>
      </c>
    </row>
    <row r="164" spans="1:10" x14ac:dyDescent="0.25">
      <c r="A164" s="223">
        <v>43070</v>
      </c>
      <c r="H164" s="220">
        <f t="shared" si="15"/>
        <v>3071417.539041718</v>
      </c>
      <c r="I164" s="220">
        <f>SUM(H153:H164)</f>
        <v>35985475.514002092</v>
      </c>
      <c r="J164" s="220">
        <f>H164*12</f>
        <v>36857010.468500614</v>
      </c>
    </row>
    <row r="165" spans="1:10" x14ac:dyDescent="0.25">
      <c r="A165" s="223">
        <v>43101</v>
      </c>
      <c r="H165" s="220">
        <f>H164+$I$16</f>
        <v>3089873.1700584772</v>
      </c>
    </row>
    <row r="166" spans="1:10" x14ac:dyDescent="0.25">
      <c r="A166" s="223">
        <v>43132</v>
      </c>
      <c r="H166" s="220">
        <f t="shared" ref="H166:H176" si="16">H165+$I$16</f>
        <v>3108328.8010752364</v>
      </c>
    </row>
    <row r="167" spans="1:10" x14ac:dyDescent="0.25">
      <c r="A167" s="223">
        <v>43160</v>
      </c>
      <c r="H167" s="220">
        <f t="shared" si="16"/>
        <v>3126784.4320919956</v>
      </c>
    </row>
    <row r="168" spans="1:10" x14ac:dyDescent="0.25">
      <c r="A168" s="223">
        <v>43191</v>
      </c>
      <c r="H168" s="220">
        <f t="shared" si="16"/>
        <v>3145240.0631087548</v>
      </c>
    </row>
    <row r="169" spans="1:10" x14ac:dyDescent="0.25">
      <c r="A169" s="223">
        <v>43221</v>
      </c>
      <c r="H169" s="220">
        <f t="shared" si="16"/>
        <v>3163695.694125514</v>
      </c>
    </row>
    <row r="170" spans="1:10" x14ac:dyDescent="0.25">
      <c r="A170" s="223">
        <v>43252</v>
      </c>
      <c r="H170" s="220">
        <f t="shared" si="16"/>
        <v>3182151.3251422732</v>
      </c>
    </row>
    <row r="171" spans="1:10" x14ac:dyDescent="0.25">
      <c r="A171" s="223">
        <v>43282</v>
      </c>
      <c r="H171" s="220">
        <f t="shared" si="16"/>
        <v>3200606.9561590324</v>
      </c>
    </row>
    <row r="172" spans="1:10" x14ac:dyDescent="0.25">
      <c r="A172" s="223">
        <v>43313</v>
      </c>
      <c r="H172" s="220">
        <f t="shared" si="16"/>
        <v>3219062.5871757916</v>
      </c>
    </row>
    <row r="173" spans="1:10" x14ac:dyDescent="0.25">
      <c r="A173" s="223">
        <v>43344</v>
      </c>
      <c r="H173" s="220">
        <f t="shared" si="16"/>
        <v>3237518.2181925508</v>
      </c>
    </row>
    <row r="174" spans="1:10" x14ac:dyDescent="0.25">
      <c r="A174" s="223">
        <v>43374</v>
      </c>
      <c r="H174" s="220">
        <f t="shared" si="16"/>
        <v>3255973.84920931</v>
      </c>
    </row>
    <row r="175" spans="1:10" x14ac:dyDescent="0.25">
      <c r="A175" s="223">
        <v>43405</v>
      </c>
      <c r="H175" s="220">
        <f t="shared" si="16"/>
        <v>3274429.4802260692</v>
      </c>
    </row>
    <row r="176" spans="1:10" x14ac:dyDescent="0.25">
      <c r="A176" s="223">
        <v>43435</v>
      </c>
      <c r="H176" s="220">
        <f t="shared" si="16"/>
        <v>3292885.1112428284</v>
      </c>
      <c r="I176" s="220">
        <f>SUM(H165:H176)</f>
        <v>38296549.687807836</v>
      </c>
      <c r="J176" s="220">
        <f>H176*12</f>
        <v>39514621.334913939</v>
      </c>
    </row>
  </sheetData>
  <mergeCells count="2">
    <mergeCell ref="K3:L3"/>
    <mergeCell ref="E19:F19"/>
  </mergeCells>
  <pageMargins left="0.1" right="0.11" top="0.3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topLeftCell="C10" zoomScale="70" zoomScaleNormal="70" workbookViewId="0">
      <selection activeCell="W23" sqref="W23"/>
    </sheetView>
  </sheetViews>
  <sheetFormatPr defaultRowHeight="13.2" x14ac:dyDescent="0.25"/>
  <cols>
    <col min="1" max="2" width="9.109375" style="114"/>
    <col min="3" max="3" width="11.6640625" style="114" customWidth="1"/>
    <col min="4" max="4" width="9.109375" style="114"/>
    <col min="5" max="5" width="9.33203125" style="122" customWidth="1"/>
    <col min="6" max="6" width="9.5546875" style="122" customWidth="1"/>
    <col min="7" max="10" width="9.109375" style="114"/>
    <col min="11" max="11" width="9.44140625" style="114" bestFit="1" customWidth="1"/>
    <col min="12" max="20" width="9.109375" style="114"/>
    <col min="21" max="24" width="11.88671875" style="114" customWidth="1"/>
    <col min="25" max="25" width="9.88671875" style="114" bestFit="1" customWidth="1"/>
    <col min="26" max="26" width="11" style="114" bestFit="1" customWidth="1"/>
    <col min="27" max="262" width="9.109375" style="114"/>
    <col min="263" max="263" width="9.33203125" style="114" customWidth="1"/>
    <col min="264" max="264" width="9.5546875" style="114" customWidth="1"/>
    <col min="265" max="278" width="9.109375" style="114"/>
    <col min="279" max="279" width="9.88671875" style="114" bestFit="1" customWidth="1"/>
    <col min="280" max="280" width="11" style="114" bestFit="1" customWidth="1"/>
    <col min="281" max="518" width="9.109375" style="114"/>
    <col min="519" max="519" width="9.33203125" style="114" customWidth="1"/>
    <col min="520" max="520" width="9.5546875" style="114" customWidth="1"/>
    <col min="521" max="534" width="9.109375" style="114"/>
    <col min="535" max="535" width="9.88671875" style="114" bestFit="1" customWidth="1"/>
    <col min="536" max="536" width="11" style="114" bestFit="1" customWidth="1"/>
    <col min="537" max="774" width="9.109375" style="114"/>
    <col min="775" max="775" width="9.33203125" style="114" customWidth="1"/>
    <col min="776" max="776" width="9.5546875" style="114" customWidth="1"/>
    <col min="777" max="790" width="9.109375" style="114"/>
    <col min="791" max="791" width="9.88671875" style="114" bestFit="1" customWidth="1"/>
    <col min="792" max="792" width="11" style="114" bestFit="1" customWidth="1"/>
    <col min="793" max="1030" width="9.109375" style="114"/>
    <col min="1031" max="1031" width="9.33203125" style="114" customWidth="1"/>
    <col min="1032" max="1032" width="9.5546875" style="114" customWidth="1"/>
    <col min="1033" max="1046" width="9.109375" style="114"/>
    <col min="1047" max="1047" width="9.88671875" style="114" bestFit="1" customWidth="1"/>
    <col min="1048" max="1048" width="11" style="114" bestFit="1" customWidth="1"/>
    <col min="1049" max="1286" width="9.109375" style="114"/>
    <col min="1287" max="1287" width="9.33203125" style="114" customWidth="1"/>
    <col min="1288" max="1288" width="9.5546875" style="114" customWidth="1"/>
    <col min="1289" max="1302" width="9.109375" style="114"/>
    <col min="1303" max="1303" width="9.88671875" style="114" bestFit="1" customWidth="1"/>
    <col min="1304" max="1304" width="11" style="114" bestFit="1" customWidth="1"/>
    <col min="1305" max="1542" width="9.109375" style="114"/>
    <col min="1543" max="1543" width="9.33203125" style="114" customWidth="1"/>
    <col min="1544" max="1544" width="9.5546875" style="114" customWidth="1"/>
    <col min="1545" max="1558" width="9.109375" style="114"/>
    <col min="1559" max="1559" width="9.88671875" style="114" bestFit="1" customWidth="1"/>
    <col min="1560" max="1560" width="11" style="114" bestFit="1" customWidth="1"/>
    <col min="1561" max="1798" width="9.109375" style="114"/>
    <col min="1799" max="1799" width="9.33203125" style="114" customWidth="1"/>
    <col min="1800" max="1800" width="9.5546875" style="114" customWidth="1"/>
    <col min="1801" max="1814" width="9.109375" style="114"/>
    <col min="1815" max="1815" width="9.88671875" style="114" bestFit="1" customWidth="1"/>
    <col min="1816" max="1816" width="11" style="114" bestFit="1" customWidth="1"/>
    <col min="1817" max="2054" width="9.109375" style="114"/>
    <col min="2055" max="2055" width="9.33203125" style="114" customWidth="1"/>
    <col min="2056" max="2056" width="9.5546875" style="114" customWidth="1"/>
    <col min="2057" max="2070" width="9.109375" style="114"/>
    <col min="2071" max="2071" width="9.88671875" style="114" bestFit="1" customWidth="1"/>
    <col min="2072" max="2072" width="11" style="114" bestFit="1" customWidth="1"/>
    <col min="2073" max="2310" width="9.109375" style="114"/>
    <col min="2311" max="2311" width="9.33203125" style="114" customWidth="1"/>
    <col min="2312" max="2312" width="9.5546875" style="114" customWidth="1"/>
    <col min="2313" max="2326" width="9.109375" style="114"/>
    <col min="2327" max="2327" width="9.88671875" style="114" bestFit="1" customWidth="1"/>
    <col min="2328" max="2328" width="11" style="114" bestFit="1" customWidth="1"/>
    <col min="2329" max="2566" width="9.109375" style="114"/>
    <col min="2567" max="2567" width="9.33203125" style="114" customWidth="1"/>
    <col min="2568" max="2568" width="9.5546875" style="114" customWidth="1"/>
    <col min="2569" max="2582" width="9.109375" style="114"/>
    <col min="2583" max="2583" width="9.88671875" style="114" bestFit="1" customWidth="1"/>
    <col min="2584" max="2584" width="11" style="114" bestFit="1" customWidth="1"/>
    <col min="2585" max="2822" width="9.109375" style="114"/>
    <col min="2823" max="2823" width="9.33203125" style="114" customWidth="1"/>
    <col min="2824" max="2824" width="9.5546875" style="114" customWidth="1"/>
    <col min="2825" max="2838" width="9.109375" style="114"/>
    <col min="2839" max="2839" width="9.88671875" style="114" bestFit="1" customWidth="1"/>
    <col min="2840" max="2840" width="11" style="114" bestFit="1" customWidth="1"/>
    <col min="2841" max="3078" width="9.109375" style="114"/>
    <col min="3079" max="3079" width="9.33203125" style="114" customWidth="1"/>
    <col min="3080" max="3080" width="9.5546875" style="114" customWidth="1"/>
    <col min="3081" max="3094" width="9.109375" style="114"/>
    <col min="3095" max="3095" width="9.88671875" style="114" bestFit="1" customWidth="1"/>
    <col min="3096" max="3096" width="11" style="114" bestFit="1" customWidth="1"/>
    <col min="3097" max="3334" width="9.109375" style="114"/>
    <col min="3335" max="3335" width="9.33203125" style="114" customWidth="1"/>
    <col min="3336" max="3336" width="9.5546875" style="114" customWidth="1"/>
    <col min="3337" max="3350" width="9.109375" style="114"/>
    <col min="3351" max="3351" width="9.88671875" style="114" bestFit="1" customWidth="1"/>
    <col min="3352" max="3352" width="11" style="114" bestFit="1" customWidth="1"/>
    <col min="3353" max="3590" width="9.109375" style="114"/>
    <col min="3591" max="3591" width="9.33203125" style="114" customWidth="1"/>
    <col min="3592" max="3592" width="9.5546875" style="114" customWidth="1"/>
    <col min="3593" max="3606" width="9.109375" style="114"/>
    <col min="3607" max="3607" width="9.88671875" style="114" bestFit="1" customWidth="1"/>
    <col min="3608" max="3608" width="11" style="114" bestFit="1" customWidth="1"/>
    <col min="3609" max="3846" width="9.109375" style="114"/>
    <col min="3847" max="3847" width="9.33203125" style="114" customWidth="1"/>
    <col min="3848" max="3848" width="9.5546875" style="114" customWidth="1"/>
    <col min="3849" max="3862" width="9.109375" style="114"/>
    <col min="3863" max="3863" width="9.88671875" style="114" bestFit="1" customWidth="1"/>
    <col min="3864" max="3864" width="11" style="114" bestFit="1" customWidth="1"/>
    <col min="3865" max="4102" width="9.109375" style="114"/>
    <col min="4103" max="4103" width="9.33203125" style="114" customWidth="1"/>
    <col min="4104" max="4104" width="9.5546875" style="114" customWidth="1"/>
    <col min="4105" max="4118" width="9.109375" style="114"/>
    <col min="4119" max="4119" width="9.88671875" style="114" bestFit="1" customWidth="1"/>
    <col min="4120" max="4120" width="11" style="114" bestFit="1" customWidth="1"/>
    <col min="4121" max="4358" width="9.109375" style="114"/>
    <col min="4359" max="4359" width="9.33203125" style="114" customWidth="1"/>
    <col min="4360" max="4360" width="9.5546875" style="114" customWidth="1"/>
    <col min="4361" max="4374" width="9.109375" style="114"/>
    <col min="4375" max="4375" width="9.88671875" style="114" bestFit="1" customWidth="1"/>
    <col min="4376" max="4376" width="11" style="114" bestFit="1" customWidth="1"/>
    <col min="4377" max="4614" width="9.109375" style="114"/>
    <col min="4615" max="4615" width="9.33203125" style="114" customWidth="1"/>
    <col min="4616" max="4616" width="9.5546875" style="114" customWidth="1"/>
    <col min="4617" max="4630" width="9.109375" style="114"/>
    <col min="4631" max="4631" width="9.88671875" style="114" bestFit="1" customWidth="1"/>
    <col min="4632" max="4632" width="11" style="114" bestFit="1" customWidth="1"/>
    <col min="4633" max="4870" width="9.109375" style="114"/>
    <col min="4871" max="4871" width="9.33203125" style="114" customWidth="1"/>
    <col min="4872" max="4872" width="9.5546875" style="114" customWidth="1"/>
    <col min="4873" max="4886" width="9.109375" style="114"/>
    <col min="4887" max="4887" width="9.88671875" style="114" bestFit="1" customWidth="1"/>
    <col min="4888" max="4888" width="11" style="114" bestFit="1" customWidth="1"/>
    <col min="4889" max="5126" width="9.109375" style="114"/>
    <col min="5127" max="5127" width="9.33203125" style="114" customWidth="1"/>
    <col min="5128" max="5128" width="9.5546875" style="114" customWidth="1"/>
    <col min="5129" max="5142" width="9.109375" style="114"/>
    <col min="5143" max="5143" width="9.88671875" style="114" bestFit="1" customWidth="1"/>
    <col min="5144" max="5144" width="11" style="114" bestFit="1" customWidth="1"/>
    <col min="5145" max="5382" width="9.109375" style="114"/>
    <col min="5383" max="5383" width="9.33203125" style="114" customWidth="1"/>
    <col min="5384" max="5384" width="9.5546875" style="114" customWidth="1"/>
    <col min="5385" max="5398" width="9.109375" style="114"/>
    <col min="5399" max="5399" width="9.88671875" style="114" bestFit="1" customWidth="1"/>
    <col min="5400" max="5400" width="11" style="114" bestFit="1" customWidth="1"/>
    <col min="5401" max="5638" width="9.109375" style="114"/>
    <col min="5639" max="5639" width="9.33203125" style="114" customWidth="1"/>
    <col min="5640" max="5640" width="9.5546875" style="114" customWidth="1"/>
    <col min="5641" max="5654" width="9.109375" style="114"/>
    <col min="5655" max="5655" width="9.88671875" style="114" bestFit="1" customWidth="1"/>
    <col min="5656" max="5656" width="11" style="114" bestFit="1" customWidth="1"/>
    <col min="5657" max="5894" width="9.109375" style="114"/>
    <col min="5895" max="5895" width="9.33203125" style="114" customWidth="1"/>
    <col min="5896" max="5896" width="9.5546875" style="114" customWidth="1"/>
    <col min="5897" max="5910" width="9.109375" style="114"/>
    <col min="5911" max="5911" width="9.88671875" style="114" bestFit="1" customWidth="1"/>
    <col min="5912" max="5912" width="11" style="114" bestFit="1" customWidth="1"/>
    <col min="5913" max="6150" width="9.109375" style="114"/>
    <col min="6151" max="6151" width="9.33203125" style="114" customWidth="1"/>
    <col min="6152" max="6152" width="9.5546875" style="114" customWidth="1"/>
    <col min="6153" max="6166" width="9.109375" style="114"/>
    <col min="6167" max="6167" width="9.88671875" style="114" bestFit="1" customWidth="1"/>
    <col min="6168" max="6168" width="11" style="114" bestFit="1" customWidth="1"/>
    <col min="6169" max="6406" width="9.109375" style="114"/>
    <col min="6407" max="6407" width="9.33203125" style="114" customWidth="1"/>
    <col min="6408" max="6408" width="9.5546875" style="114" customWidth="1"/>
    <col min="6409" max="6422" width="9.109375" style="114"/>
    <col min="6423" max="6423" width="9.88671875" style="114" bestFit="1" customWidth="1"/>
    <col min="6424" max="6424" width="11" style="114" bestFit="1" customWidth="1"/>
    <col min="6425" max="6662" width="9.109375" style="114"/>
    <col min="6663" max="6663" width="9.33203125" style="114" customWidth="1"/>
    <col min="6664" max="6664" width="9.5546875" style="114" customWidth="1"/>
    <col min="6665" max="6678" width="9.109375" style="114"/>
    <col min="6679" max="6679" width="9.88671875" style="114" bestFit="1" customWidth="1"/>
    <col min="6680" max="6680" width="11" style="114" bestFit="1" customWidth="1"/>
    <col min="6681" max="6918" width="9.109375" style="114"/>
    <col min="6919" max="6919" width="9.33203125" style="114" customWidth="1"/>
    <col min="6920" max="6920" width="9.5546875" style="114" customWidth="1"/>
    <col min="6921" max="6934" width="9.109375" style="114"/>
    <col min="6935" max="6935" width="9.88671875" style="114" bestFit="1" customWidth="1"/>
    <col min="6936" max="6936" width="11" style="114" bestFit="1" customWidth="1"/>
    <col min="6937" max="7174" width="9.109375" style="114"/>
    <col min="7175" max="7175" width="9.33203125" style="114" customWidth="1"/>
    <col min="7176" max="7176" width="9.5546875" style="114" customWidth="1"/>
    <col min="7177" max="7190" width="9.109375" style="114"/>
    <col min="7191" max="7191" width="9.88671875" style="114" bestFit="1" customWidth="1"/>
    <col min="7192" max="7192" width="11" style="114" bestFit="1" customWidth="1"/>
    <col min="7193" max="7430" width="9.109375" style="114"/>
    <col min="7431" max="7431" width="9.33203125" style="114" customWidth="1"/>
    <col min="7432" max="7432" width="9.5546875" style="114" customWidth="1"/>
    <col min="7433" max="7446" width="9.109375" style="114"/>
    <col min="7447" max="7447" width="9.88671875" style="114" bestFit="1" customWidth="1"/>
    <col min="7448" max="7448" width="11" style="114" bestFit="1" customWidth="1"/>
    <col min="7449" max="7686" width="9.109375" style="114"/>
    <col min="7687" max="7687" width="9.33203125" style="114" customWidth="1"/>
    <col min="7688" max="7688" width="9.5546875" style="114" customWidth="1"/>
    <col min="7689" max="7702" width="9.109375" style="114"/>
    <col min="7703" max="7703" width="9.88671875" style="114" bestFit="1" customWidth="1"/>
    <col min="7704" max="7704" width="11" style="114" bestFit="1" customWidth="1"/>
    <col min="7705" max="7942" width="9.109375" style="114"/>
    <col min="7943" max="7943" width="9.33203125" style="114" customWidth="1"/>
    <col min="7944" max="7944" width="9.5546875" style="114" customWidth="1"/>
    <col min="7945" max="7958" width="9.109375" style="114"/>
    <col min="7959" max="7959" width="9.88671875" style="114" bestFit="1" customWidth="1"/>
    <col min="7960" max="7960" width="11" style="114" bestFit="1" customWidth="1"/>
    <col min="7961" max="8198" width="9.109375" style="114"/>
    <col min="8199" max="8199" width="9.33203125" style="114" customWidth="1"/>
    <col min="8200" max="8200" width="9.5546875" style="114" customWidth="1"/>
    <col min="8201" max="8214" width="9.109375" style="114"/>
    <col min="8215" max="8215" width="9.88671875" style="114" bestFit="1" customWidth="1"/>
    <col min="8216" max="8216" width="11" style="114" bestFit="1" customWidth="1"/>
    <col min="8217" max="8454" width="9.109375" style="114"/>
    <col min="8455" max="8455" width="9.33203125" style="114" customWidth="1"/>
    <col min="8456" max="8456" width="9.5546875" style="114" customWidth="1"/>
    <col min="8457" max="8470" width="9.109375" style="114"/>
    <col min="8471" max="8471" width="9.88671875" style="114" bestFit="1" customWidth="1"/>
    <col min="8472" max="8472" width="11" style="114" bestFit="1" customWidth="1"/>
    <col min="8473" max="8710" width="9.109375" style="114"/>
    <col min="8711" max="8711" width="9.33203125" style="114" customWidth="1"/>
    <col min="8712" max="8712" width="9.5546875" style="114" customWidth="1"/>
    <col min="8713" max="8726" width="9.109375" style="114"/>
    <col min="8727" max="8727" width="9.88671875" style="114" bestFit="1" customWidth="1"/>
    <col min="8728" max="8728" width="11" style="114" bestFit="1" customWidth="1"/>
    <col min="8729" max="8966" width="9.109375" style="114"/>
    <col min="8967" max="8967" width="9.33203125" style="114" customWidth="1"/>
    <col min="8968" max="8968" width="9.5546875" style="114" customWidth="1"/>
    <col min="8969" max="8982" width="9.109375" style="114"/>
    <col min="8983" max="8983" width="9.88671875" style="114" bestFit="1" customWidth="1"/>
    <col min="8984" max="8984" width="11" style="114" bestFit="1" customWidth="1"/>
    <col min="8985" max="9222" width="9.109375" style="114"/>
    <col min="9223" max="9223" width="9.33203125" style="114" customWidth="1"/>
    <col min="9224" max="9224" width="9.5546875" style="114" customWidth="1"/>
    <col min="9225" max="9238" width="9.109375" style="114"/>
    <col min="9239" max="9239" width="9.88671875" style="114" bestFit="1" customWidth="1"/>
    <col min="9240" max="9240" width="11" style="114" bestFit="1" customWidth="1"/>
    <col min="9241" max="9478" width="9.109375" style="114"/>
    <col min="9479" max="9479" width="9.33203125" style="114" customWidth="1"/>
    <col min="9480" max="9480" width="9.5546875" style="114" customWidth="1"/>
    <col min="9481" max="9494" width="9.109375" style="114"/>
    <col min="9495" max="9495" width="9.88671875" style="114" bestFit="1" customWidth="1"/>
    <col min="9496" max="9496" width="11" style="114" bestFit="1" customWidth="1"/>
    <col min="9497" max="9734" width="9.109375" style="114"/>
    <col min="9735" max="9735" width="9.33203125" style="114" customWidth="1"/>
    <col min="9736" max="9736" width="9.5546875" style="114" customWidth="1"/>
    <col min="9737" max="9750" width="9.109375" style="114"/>
    <col min="9751" max="9751" width="9.88671875" style="114" bestFit="1" customWidth="1"/>
    <col min="9752" max="9752" width="11" style="114" bestFit="1" customWidth="1"/>
    <col min="9753" max="9990" width="9.109375" style="114"/>
    <col min="9991" max="9991" width="9.33203125" style="114" customWidth="1"/>
    <col min="9992" max="9992" width="9.5546875" style="114" customWidth="1"/>
    <col min="9993" max="10006" width="9.109375" style="114"/>
    <col min="10007" max="10007" width="9.88671875" style="114" bestFit="1" customWidth="1"/>
    <col min="10008" max="10008" width="11" style="114" bestFit="1" customWidth="1"/>
    <col min="10009" max="10246" width="9.109375" style="114"/>
    <col min="10247" max="10247" width="9.33203125" style="114" customWidth="1"/>
    <col min="10248" max="10248" width="9.5546875" style="114" customWidth="1"/>
    <col min="10249" max="10262" width="9.109375" style="114"/>
    <col min="10263" max="10263" width="9.88671875" style="114" bestFit="1" customWidth="1"/>
    <col min="10264" max="10264" width="11" style="114" bestFit="1" customWidth="1"/>
    <col min="10265" max="10502" width="9.109375" style="114"/>
    <col min="10503" max="10503" width="9.33203125" style="114" customWidth="1"/>
    <col min="10504" max="10504" width="9.5546875" style="114" customWidth="1"/>
    <col min="10505" max="10518" width="9.109375" style="114"/>
    <col min="10519" max="10519" width="9.88671875" style="114" bestFit="1" customWidth="1"/>
    <col min="10520" max="10520" width="11" style="114" bestFit="1" customWidth="1"/>
    <col min="10521" max="10758" width="9.109375" style="114"/>
    <col min="10759" max="10759" width="9.33203125" style="114" customWidth="1"/>
    <col min="10760" max="10760" width="9.5546875" style="114" customWidth="1"/>
    <col min="10761" max="10774" width="9.109375" style="114"/>
    <col min="10775" max="10775" width="9.88671875" style="114" bestFit="1" customWidth="1"/>
    <col min="10776" max="10776" width="11" style="114" bestFit="1" customWidth="1"/>
    <col min="10777" max="11014" width="9.109375" style="114"/>
    <col min="11015" max="11015" width="9.33203125" style="114" customWidth="1"/>
    <col min="11016" max="11016" width="9.5546875" style="114" customWidth="1"/>
    <col min="11017" max="11030" width="9.109375" style="114"/>
    <col min="11031" max="11031" width="9.88671875" style="114" bestFit="1" customWidth="1"/>
    <col min="11032" max="11032" width="11" style="114" bestFit="1" customWidth="1"/>
    <col min="11033" max="11270" width="9.109375" style="114"/>
    <col min="11271" max="11271" width="9.33203125" style="114" customWidth="1"/>
    <col min="11272" max="11272" width="9.5546875" style="114" customWidth="1"/>
    <col min="11273" max="11286" width="9.109375" style="114"/>
    <col min="11287" max="11287" width="9.88671875" style="114" bestFit="1" customWidth="1"/>
    <col min="11288" max="11288" width="11" style="114" bestFit="1" customWidth="1"/>
    <col min="11289" max="11526" width="9.109375" style="114"/>
    <col min="11527" max="11527" width="9.33203125" style="114" customWidth="1"/>
    <col min="11528" max="11528" width="9.5546875" style="114" customWidth="1"/>
    <col min="11529" max="11542" width="9.109375" style="114"/>
    <col min="11543" max="11543" width="9.88671875" style="114" bestFit="1" customWidth="1"/>
    <col min="11544" max="11544" width="11" style="114" bestFit="1" customWidth="1"/>
    <col min="11545" max="11782" width="9.109375" style="114"/>
    <col min="11783" max="11783" width="9.33203125" style="114" customWidth="1"/>
    <col min="11784" max="11784" width="9.5546875" style="114" customWidth="1"/>
    <col min="11785" max="11798" width="9.109375" style="114"/>
    <col min="11799" max="11799" width="9.88671875" style="114" bestFit="1" customWidth="1"/>
    <col min="11800" max="11800" width="11" style="114" bestFit="1" customWidth="1"/>
    <col min="11801" max="12038" width="9.109375" style="114"/>
    <col min="12039" max="12039" width="9.33203125" style="114" customWidth="1"/>
    <col min="12040" max="12040" width="9.5546875" style="114" customWidth="1"/>
    <col min="12041" max="12054" width="9.109375" style="114"/>
    <col min="12055" max="12055" width="9.88671875" style="114" bestFit="1" customWidth="1"/>
    <col min="12056" max="12056" width="11" style="114" bestFit="1" customWidth="1"/>
    <col min="12057" max="12294" width="9.109375" style="114"/>
    <col min="12295" max="12295" width="9.33203125" style="114" customWidth="1"/>
    <col min="12296" max="12296" width="9.5546875" style="114" customWidth="1"/>
    <col min="12297" max="12310" width="9.109375" style="114"/>
    <col min="12311" max="12311" width="9.88671875" style="114" bestFit="1" customWidth="1"/>
    <col min="12312" max="12312" width="11" style="114" bestFit="1" customWidth="1"/>
    <col min="12313" max="12550" width="9.109375" style="114"/>
    <col min="12551" max="12551" width="9.33203125" style="114" customWidth="1"/>
    <col min="12552" max="12552" width="9.5546875" style="114" customWidth="1"/>
    <col min="12553" max="12566" width="9.109375" style="114"/>
    <col min="12567" max="12567" width="9.88671875" style="114" bestFit="1" customWidth="1"/>
    <col min="12568" max="12568" width="11" style="114" bestFit="1" customWidth="1"/>
    <col min="12569" max="12806" width="9.109375" style="114"/>
    <col min="12807" max="12807" width="9.33203125" style="114" customWidth="1"/>
    <col min="12808" max="12808" width="9.5546875" style="114" customWidth="1"/>
    <col min="12809" max="12822" width="9.109375" style="114"/>
    <col min="12823" max="12823" width="9.88671875" style="114" bestFit="1" customWidth="1"/>
    <col min="12824" max="12824" width="11" style="114" bestFit="1" customWidth="1"/>
    <col min="12825" max="13062" width="9.109375" style="114"/>
    <col min="13063" max="13063" width="9.33203125" style="114" customWidth="1"/>
    <col min="13064" max="13064" width="9.5546875" style="114" customWidth="1"/>
    <col min="13065" max="13078" width="9.109375" style="114"/>
    <col min="13079" max="13079" width="9.88671875" style="114" bestFit="1" customWidth="1"/>
    <col min="13080" max="13080" width="11" style="114" bestFit="1" customWidth="1"/>
    <col min="13081" max="13318" width="9.109375" style="114"/>
    <col min="13319" max="13319" width="9.33203125" style="114" customWidth="1"/>
    <col min="13320" max="13320" width="9.5546875" style="114" customWidth="1"/>
    <col min="13321" max="13334" width="9.109375" style="114"/>
    <col min="13335" max="13335" width="9.88671875" style="114" bestFit="1" customWidth="1"/>
    <col min="13336" max="13336" width="11" style="114" bestFit="1" customWidth="1"/>
    <col min="13337" max="13574" width="9.109375" style="114"/>
    <col min="13575" max="13575" width="9.33203125" style="114" customWidth="1"/>
    <col min="13576" max="13576" width="9.5546875" style="114" customWidth="1"/>
    <col min="13577" max="13590" width="9.109375" style="114"/>
    <col min="13591" max="13591" width="9.88671875" style="114" bestFit="1" customWidth="1"/>
    <col min="13592" max="13592" width="11" style="114" bestFit="1" customWidth="1"/>
    <col min="13593" max="13830" width="9.109375" style="114"/>
    <col min="13831" max="13831" width="9.33203125" style="114" customWidth="1"/>
    <col min="13832" max="13832" width="9.5546875" style="114" customWidth="1"/>
    <col min="13833" max="13846" width="9.109375" style="114"/>
    <col min="13847" max="13847" width="9.88671875" style="114" bestFit="1" customWidth="1"/>
    <col min="13848" max="13848" width="11" style="114" bestFit="1" customWidth="1"/>
    <col min="13849" max="14086" width="9.109375" style="114"/>
    <col min="14087" max="14087" width="9.33203125" style="114" customWidth="1"/>
    <col min="14088" max="14088" width="9.5546875" style="114" customWidth="1"/>
    <col min="14089" max="14102" width="9.109375" style="114"/>
    <col min="14103" max="14103" width="9.88671875" style="114" bestFit="1" customWidth="1"/>
    <col min="14104" max="14104" width="11" style="114" bestFit="1" customWidth="1"/>
    <col min="14105" max="14342" width="9.109375" style="114"/>
    <col min="14343" max="14343" width="9.33203125" style="114" customWidth="1"/>
    <col min="14344" max="14344" width="9.5546875" style="114" customWidth="1"/>
    <col min="14345" max="14358" width="9.109375" style="114"/>
    <col min="14359" max="14359" width="9.88671875" style="114" bestFit="1" customWidth="1"/>
    <col min="14360" max="14360" width="11" style="114" bestFit="1" customWidth="1"/>
    <col min="14361" max="14598" width="9.109375" style="114"/>
    <col min="14599" max="14599" width="9.33203125" style="114" customWidth="1"/>
    <col min="14600" max="14600" width="9.5546875" style="114" customWidth="1"/>
    <col min="14601" max="14614" width="9.109375" style="114"/>
    <col min="14615" max="14615" width="9.88671875" style="114" bestFit="1" customWidth="1"/>
    <col min="14616" max="14616" width="11" style="114" bestFit="1" customWidth="1"/>
    <col min="14617" max="14854" width="9.109375" style="114"/>
    <col min="14855" max="14855" width="9.33203125" style="114" customWidth="1"/>
    <col min="14856" max="14856" width="9.5546875" style="114" customWidth="1"/>
    <col min="14857" max="14870" width="9.109375" style="114"/>
    <col min="14871" max="14871" width="9.88671875" style="114" bestFit="1" customWidth="1"/>
    <col min="14872" max="14872" width="11" style="114" bestFit="1" customWidth="1"/>
    <col min="14873" max="15110" width="9.109375" style="114"/>
    <col min="15111" max="15111" width="9.33203125" style="114" customWidth="1"/>
    <col min="15112" max="15112" width="9.5546875" style="114" customWidth="1"/>
    <col min="15113" max="15126" width="9.109375" style="114"/>
    <col min="15127" max="15127" width="9.88671875" style="114" bestFit="1" customWidth="1"/>
    <col min="15128" max="15128" width="11" style="114" bestFit="1" customWidth="1"/>
    <col min="15129" max="15366" width="9.109375" style="114"/>
    <col min="15367" max="15367" width="9.33203125" style="114" customWidth="1"/>
    <col min="15368" max="15368" width="9.5546875" style="114" customWidth="1"/>
    <col min="15369" max="15382" width="9.109375" style="114"/>
    <col min="15383" max="15383" width="9.88671875" style="114" bestFit="1" customWidth="1"/>
    <col min="15384" max="15384" width="11" style="114" bestFit="1" customWidth="1"/>
    <col min="15385" max="15622" width="9.109375" style="114"/>
    <col min="15623" max="15623" width="9.33203125" style="114" customWidth="1"/>
    <col min="15624" max="15624" width="9.5546875" style="114" customWidth="1"/>
    <col min="15625" max="15638" width="9.109375" style="114"/>
    <col min="15639" max="15639" width="9.88671875" style="114" bestFit="1" customWidth="1"/>
    <col min="15640" max="15640" width="11" style="114" bestFit="1" customWidth="1"/>
    <col min="15641" max="15878" width="9.109375" style="114"/>
    <col min="15879" max="15879" width="9.33203125" style="114" customWidth="1"/>
    <col min="15880" max="15880" width="9.5546875" style="114" customWidth="1"/>
    <col min="15881" max="15894" width="9.109375" style="114"/>
    <col min="15895" max="15895" width="9.88671875" style="114" bestFit="1" customWidth="1"/>
    <col min="15896" max="15896" width="11" style="114" bestFit="1" customWidth="1"/>
    <col min="15897" max="16134" width="9.109375" style="114"/>
    <col min="16135" max="16135" width="9.33203125" style="114" customWidth="1"/>
    <col min="16136" max="16136" width="9.5546875" style="114" customWidth="1"/>
    <col min="16137" max="16150" width="9.109375" style="114"/>
    <col min="16151" max="16151" width="9.88671875" style="114" bestFit="1" customWidth="1"/>
    <col min="16152" max="16152" width="11" style="114" bestFit="1" customWidth="1"/>
    <col min="16153" max="16384" width="9.109375" style="114"/>
  </cols>
  <sheetData>
    <row r="1" spans="1:29" x14ac:dyDescent="0.25">
      <c r="A1" s="120" t="s">
        <v>115</v>
      </c>
      <c r="D1" s="451"/>
      <c r="E1" s="451"/>
      <c r="F1" s="120"/>
      <c r="G1" s="120"/>
      <c r="H1" s="120"/>
      <c r="I1" s="120"/>
    </row>
    <row r="2" spans="1:29" x14ac:dyDescent="0.25">
      <c r="A2" s="121"/>
    </row>
    <row r="3" spans="1:29" x14ac:dyDescent="0.25">
      <c r="A3" s="123" t="s">
        <v>116</v>
      </c>
      <c r="B3" s="123"/>
      <c r="C3" s="123"/>
      <c r="D3" s="123"/>
      <c r="E3" s="124"/>
      <c r="F3" s="124"/>
    </row>
    <row r="4" spans="1:29" x14ac:dyDescent="0.25">
      <c r="A4" s="125"/>
      <c r="B4" s="125"/>
      <c r="C4" s="125"/>
      <c r="D4" s="125"/>
      <c r="E4" s="126"/>
      <c r="F4" s="126"/>
    </row>
    <row r="5" spans="1:29" x14ac:dyDescent="0.25">
      <c r="A5" s="127" t="s">
        <v>117</v>
      </c>
      <c r="B5" s="127">
        <v>1995</v>
      </c>
      <c r="C5" s="127">
        <v>1996</v>
      </c>
      <c r="D5" s="127">
        <v>1997</v>
      </c>
      <c r="E5" s="127">
        <v>1998</v>
      </c>
      <c r="F5" s="127">
        <v>1999</v>
      </c>
      <c r="G5" s="127">
        <v>2000</v>
      </c>
      <c r="H5" s="127">
        <v>2001</v>
      </c>
      <c r="I5" s="127">
        <v>2002</v>
      </c>
      <c r="J5" s="127">
        <v>2003</v>
      </c>
      <c r="K5" s="127">
        <v>2004</v>
      </c>
      <c r="L5" s="127">
        <v>2005</v>
      </c>
      <c r="M5" s="127">
        <v>2006</v>
      </c>
      <c r="N5" s="127">
        <v>2007</v>
      </c>
      <c r="O5" s="127">
        <v>2008</v>
      </c>
      <c r="P5" s="127">
        <v>2009</v>
      </c>
      <c r="Q5" s="127">
        <v>2010</v>
      </c>
      <c r="R5" s="127">
        <v>2011</v>
      </c>
      <c r="S5" s="127">
        <v>2012</v>
      </c>
      <c r="T5" s="127">
        <v>2013</v>
      </c>
      <c r="U5" s="127">
        <v>2014</v>
      </c>
      <c r="V5" s="127">
        <v>2015</v>
      </c>
      <c r="W5" s="127">
        <v>2016</v>
      </c>
      <c r="X5" s="127">
        <v>2017</v>
      </c>
      <c r="Y5" s="128" t="s">
        <v>118</v>
      </c>
      <c r="Z5" s="128" t="s">
        <v>119</v>
      </c>
    </row>
    <row r="6" spans="1:29" x14ac:dyDescent="0.25">
      <c r="A6" s="125"/>
      <c r="B6" s="125"/>
      <c r="C6" s="125"/>
      <c r="D6" s="125"/>
      <c r="E6" s="124"/>
      <c r="F6" s="124"/>
    </row>
    <row r="7" spans="1:29" x14ac:dyDescent="0.25">
      <c r="A7" s="129"/>
      <c r="B7" s="129"/>
      <c r="C7" s="129"/>
      <c r="D7" s="129"/>
      <c r="E7" s="124"/>
      <c r="F7" s="124"/>
      <c r="G7" s="124"/>
      <c r="H7" s="124"/>
    </row>
    <row r="8" spans="1:29" x14ac:dyDescent="0.25">
      <c r="A8" s="129" t="s">
        <v>120</v>
      </c>
      <c r="B8" s="180">
        <v>753.8</v>
      </c>
      <c r="C8" s="180">
        <v>920.1</v>
      </c>
      <c r="D8" s="179">
        <v>936</v>
      </c>
      <c r="E8" s="179">
        <v>792.1</v>
      </c>
      <c r="F8" s="179">
        <v>883</v>
      </c>
      <c r="G8" s="179">
        <v>866.6</v>
      </c>
      <c r="H8" s="179">
        <v>758.2</v>
      </c>
      <c r="I8" s="179">
        <v>706.6</v>
      </c>
      <c r="J8" s="181">
        <v>920.6</v>
      </c>
      <c r="K8" s="181">
        <v>1006</v>
      </c>
      <c r="L8" s="181">
        <v>925.1</v>
      </c>
      <c r="M8" s="181">
        <v>689.8</v>
      </c>
      <c r="N8" s="181">
        <v>776.9</v>
      </c>
      <c r="O8" s="181">
        <v>761.9</v>
      </c>
      <c r="P8" s="181">
        <v>970.4</v>
      </c>
      <c r="Q8" s="181">
        <v>810.7</v>
      </c>
      <c r="R8" s="181">
        <v>935</v>
      </c>
      <c r="S8" s="161">
        <v>756.8</v>
      </c>
      <c r="T8" s="161">
        <v>598.5</v>
      </c>
      <c r="U8" s="161">
        <v>980.3</v>
      </c>
      <c r="V8" s="161">
        <v>923.4</v>
      </c>
      <c r="W8" s="161">
        <v>794.2</v>
      </c>
      <c r="X8" s="161">
        <v>710.9</v>
      </c>
      <c r="Y8" s="131">
        <f>AVERAGE(O8:X8)</f>
        <v>824.21</v>
      </c>
      <c r="Z8" s="132">
        <f>TREND(E8:X8,$E$25:$X$25,2018)</f>
        <v>810.83473684210594</v>
      </c>
      <c r="AB8"/>
      <c r="AC8"/>
    </row>
    <row r="9" spans="1:29" x14ac:dyDescent="0.25">
      <c r="A9" s="129" t="s">
        <v>121</v>
      </c>
      <c r="B9" s="180">
        <v>805.6</v>
      </c>
      <c r="C9" s="180">
        <v>820.3</v>
      </c>
      <c r="D9" s="179">
        <v>724.4</v>
      </c>
      <c r="E9" s="179">
        <v>544.70000000000005</v>
      </c>
      <c r="F9" s="179">
        <v>654.4</v>
      </c>
      <c r="G9" s="179">
        <v>590.20000000000005</v>
      </c>
      <c r="H9" s="179">
        <v>743.2</v>
      </c>
      <c r="I9" s="179">
        <v>647.29999999999995</v>
      </c>
      <c r="J9" s="181">
        <v>902.6</v>
      </c>
      <c r="K9" s="181">
        <v>707</v>
      </c>
      <c r="L9" s="181">
        <v>693.6</v>
      </c>
      <c r="M9" s="181">
        <v>734.6</v>
      </c>
      <c r="N9" s="181">
        <v>843.5</v>
      </c>
      <c r="O9" s="181">
        <v>831.3</v>
      </c>
      <c r="P9" s="181">
        <v>747.8</v>
      </c>
      <c r="Q9" s="181">
        <v>691.1</v>
      </c>
      <c r="R9" s="181">
        <v>732.3</v>
      </c>
      <c r="S9" s="161">
        <v>622.6</v>
      </c>
      <c r="T9" s="161">
        <v>618.9</v>
      </c>
      <c r="U9" s="161">
        <v>912</v>
      </c>
      <c r="V9" s="161">
        <v>1015.2</v>
      </c>
      <c r="W9" s="161">
        <v>731.2</v>
      </c>
      <c r="X9" s="161">
        <v>638.70000000000005</v>
      </c>
      <c r="Y9" s="131">
        <f t="shared" ref="Y9:Y19" si="0">AVERAGE(O9:X9)</f>
        <v>754.1099999999999</v>
      </c>
      <c r="Z9" s="132">
        <f t="shared" ref="Z9:Z19" si="1">TREND(E9:X9,$E$25:$X$25,2018)</f>
        <v>801.32526315789437</v>
      </c>
      <c r="AB9"/>
      <c r="AC9"/>
    </row>
    <row r="10" spans="1:29" x14ac:dyDescent="0.25">
      <c r="A10" s="129" t="s">
        <v>122</v>
      </c>
      <c r="B10" s="180">
        <v>954.5</v>
      </c>
      <c r="C10" s="180">
        <v>735</v>
      </c>
      <c r="D10" s="179">
        <v>715</v>
      </c>
      <c r="E10" s="179">
        <v>602.6</v>
      </c>
      <c r="F10" s="179">
        <v>629.79999999999995</v>
      </c>
      <c r="G10" s="179">
        <v>525.70000000000005</v>
      </c>
      <c r="H10" s="179">
        <v>656.7</v>
      </c>
      <c r="I10" s="179">
        <v>721.7</v>
      </c>
      <c r="J10" s="181">
        <v>745.5</v>
      </c>
      <c r="K10" s="181">
        <v>652.70000000000005</v>
      </c>
      <c r="L10" s="181">
        <v>744.9</v>
      </c>
      <c r="M10" s="181">
        <v>635.4</v>
      </c>
      <c r="N10" s="181">
        <v>654.6</v>
      </c>
      <c r="O10" s="181">
        <v>795.5</v>
      </c>
      <c r="P10" s="181">
        <v>680.7</v>
      </c>
      <c r="Q10" s="181">
        <v>510.8</v>
      </c>
      <c r="R10" s="181">
        <v>699.2</v>
      </c>
      <c r="S10" s="161">
        <v>479.7</v>
      </c>
      <c r="T10" s="161">
        <v>651.4</v>
      </c>
      <c r="U10" s="161">
        <v>895</v>
      </c>
      <c r="V10" s="161">
        <v>786.6</v>
      </c>
      <c r="W10" s="161">
        <v>588.79999999999995</v>
      </c>
      <c r="X10" s="161">
        <v>706.2</v>
      </c>
      <c r="Y10" s="131">
        <f t="shared" si="0"/>
        <v>679.39</v>
      </c>
      <c r="Z10" s="132">
        <f t="shared" si="1"/>
        <v>704.08894736842103</v>
      </c>
      <c r="AB10"/>
      <c r="AC10"/>
    </row>
    <row r="11" spans="1:29" x14ac:dyDescent="0.25">
      <c r="A11" s="129" t="s">
        <v>123</v>
      </c>
      <c r="B11" s="180">
        <v>478.4</v>
      </c>
      <c r="C11" s="180">
        <v>518.4</v>
      </c>
      <c r="D11" s="179">
        <v>460.2</v>
      </c>
      <c r="E11" s="179">
        <v>331.8</v>
      </c>
      <c r="F11" s="179">
        <v>259.39999999999998</v>
      </c>
      <c r="G11" s="179">
        <v>386.9</v>
      </c>
      <c r="H11" s="179">
        <v>370.3</v>
      </c>
      <c r="I11" s="179">
        <v>437.3</v>
      </c>
      <c r="J11" s="181">
        <v>497.2</v>
      </c>
      <c r="K11" s="181">
        <v>457.4</v>
      </c>
      <c r="L11" s="181">
        <v>369.1</v>
      </c>
      <c r="M11" s="181">
        <v>360</v>
      </c>
      <c r="N11" s="181">
        <v>459.1</v>
      </c>
      <c r="O11" s="181">
        <v>391.8</v>
      </c>
      <c r="P11" s="181">
        <v>425.5</v>
      </c>
      <c r="Q11" s="181">
        <v>327.8</v>
      </c>
      <c r="R11" s="181">
        <v>444.6</v>
      </c>
      <c r="S11" s="161">
        <v>437.5</v>
      </c>
      <c r="T11" s="161">
        <v>367.2</v>
      </c>
      <c r="U11" s="161">
        <v>511.1</v>
      </c>
      <c r="V11" s="161">
        <v>474.4</v>
      </c>
      <c r="W11" s="161">
        <v>499.7</v>
      </c>
      <c r="X11" s="161">
        <v>392.1</v>
      </c>
      <c r="Y11" s="131">
        <f t="shared" si="0"/>
        <v>427.16999999999996</v>
      </c>
      <c r="Z11" s="132">
        <f t="shared" si="1"/>
        <v>464.47105263157937</v>
      </c>
      <c r="AB11"/>
      <c r="AC11"/>
    </row>
    <row r="12" spans="1:29" x14ac:dyDescent="0.25">
      <c r="A12" s="129" t="s">
        <v>74</v>
      </c>
      <c r="B12" s="180">
        <v>230.6</v>
      </c>
      <c r="C12" s="180">
        <v>272.2</v>
      </c>
      <c r="D12" s="179">
        <v>219.2</v>
      </c>
      <c r="E12" s="179">
        <v>100.8</v>
      </c>
      <c r="F12" s="179">
        <v>137.30000000000001</v>
      </c>
      <c r="G12" s="179">
        <v>199.3</v>
      </c>
      <c r="H12" s="179">
        <v>157.5</v>
      </c>
      <c r="I12" s="179">
        <v>214</v>
      </c>
      <c r="J12" s="181">
        <v>236.5</v>
      </c>
      <c r="K12" s="181">
        <v>297.89999999999998</v>
      </c>
      <c r="L12" s="181">
        <v>259</v>
      </c>
      <c r="M12" s="181">
        <v>185.1</v>
      </c>
      <c r="N12" s="181">
        <v>204.6</v>
      </c>
      <c r="O12" s="181">
        <v>320</v>
      </c>
      <c r="P12" s="181">
        <v>298.89999999999998</v>
      </c>
      <c r="Q12" s="181">
        <v>168</v>
      </c>
      <c r="R12" s="181">
        <v>221.9</v>
      </c>
      <c r="S12" s="161">
        <v>94.4</v>
      </c>
      <c r="T12" s="161">
        <v>193</v>
      </c>
      <c r="U12" s="161">
        <v>267.89999999999998</v>
      </c>
      <c r="V12" s="161">
        <v>242.9</v>
      </c>
      <c r="W12" s="161">
        <v>241.2</v>
      </c>
      <c r="X12" s="161">
        <v>273.8</v>
      </c>
      <c r="Y12" s="131">
        <f t="shared" si="0"/>
        <v>232.2</v>
      </c>
      <c r="Z12" s="132">
        <f t="shared" si="1"/>
        <v>255.98210526315779</v>
      </c>
      <c r="AB12"/>
      <c r="AC12"/>
    </row>
    <row r="13" spans="1:29" x14ac:dyDescent="0.25">
      <c r="A13" s="129" t="s">
        <v>124</v>
      </c>
      <c r="B13" s="180">
        <v>45.7</v>
      </c>
      <c r="C13" s="180">
        <v>54.5</v>
      </c>
      <c r="D13" s="179">
        <v>40.4</v>
      </c>
      <c r="E13" s="179">
        <v>93.4</v>
      </c>
      <c r="F13" s="179">
        <v>67.099999999999994</v>
      </c>
      <c r="G13" s="179">
        <v>99.7</v>
      </c>
      <c r="H13" s="179">
        <v>60.2</v>
      </c>
      <c r="I13" s="179">
        <v>67.7</v>
      </c>
      <c r="J13" s="181">
        <v>112.8</v>
      </c>
      <c r="K13" s="181">
        <v>151.4</v>
      </c>
      <c r="L13" s="181">
        <v>31.7</v>
      </c>
      <c r="M13" s="181">
        <v>81.2</v>
      </c>
      <c r="N13" s="181">
        <v>67.8</v>
      </c>
      <c r="O13" s="181">
        <v>99.8</v>
      </c>
      <c r="P13" s="181">
        <v>126.1</v>
      </c>
      <c r="Q13" s="181">
        <v>87.8</v>
      </c>
      <c r="R13" s="181">
        <v>99.4</v>
      </c>
      <c r="S13" s="161">
        <v>38.5</v>
      </c>
      <c r="T13" s="161">
        <v>106.2</v>
      </c>
      <c r="U13" s="161">
        <v>96.9</v>
      </c>
      <c r="V13" s="161">
        <v>141.80000000000001</v>
      </c>
      <c r="W13" s="161">
        <v>116.8</v>
      </c>
      <c r="X13" s="161">
        <v>104.1</v>
      </c>
      <c r="Y13" s="131">
        <f t="shared" si="0"/>
        <v>101.74</v>
      </c>
      <c r="Z13" s="132">
        <f t="shared" si="1"/>
        <v>108.26842105263131</v>
      </c>
      <c r="AB13"/>
      <c r="AC13"/>
    </row>
    <row r="14" spans="1:29" x14ac:dyDescent="0.25">
      <c r="A14" s="129" t="s">
        <v>125</v>
      </c>
      <c r="B14" s="180">
        <v>33.5</v>
      </c>
      <c r="C14" s="180">
        <v>72.5</v>
      </c>
      <c r="D14" s="179">
        <v>51.3</v>
      </c>
      <c r="E14" s="179">
        <v>13.1</v>
      </c>
      <c r="F14" s="179">
        <v>17.100000000000001</v>
      </c>
      <c r="G14" s="179">
        <v>33.700000000000003</v>
      </c>
      <c r="H14" s="179">
        <v>45.2</v>
      </c>
      <c r="I14" s="179">
        <v>7.2</v>
      </c>
      <c r="J14" s="181">
        <v>28</v>
      </c>
      <c r="K14" s="181">
        <v>54.7</v>
      </c>
      <c r="L14" s="181">
        <v>34.9</v>
      </c>
      <c r="M14" s="181">
        <v>8.4</v>
      </c>
      <c r="N14" s="181">
        <v>38</v>
      </c>
      <c r="O14" s="181">
        <v>34.799999999999997</v>
      </c>
      <c r="P14" s="181">
        <v>87.7</v>
      </c>
      <c r="Q14" s="181">
        <v>6.7</v>
      </c>
      <c r="R14" s="181">
        <v>14</v>
      </c>
      <c r="S14" s="161">
        <v>9.5</v>
      </c>
      <c r="T14" s="161">
        <v>45</v>
      </c>
      <c r="U14" s="161">
        <v>88.1</v>
      </c>
      <c r="V14" s="161">
        <v>52.6</v>
      </c>
      <c r="W14" s="161">
        <v>27.2</v>
      </c>
      <c r="X14" s="161">
        <v>42</v>
      </c>
      <c r="Y14" s="131">
        <f t="shared" si="0"/>
        <v>40.76</v>
      </c>
      <c r="Z14" s="132">
        <f t="shared" si="1"/>
        <v>47.185263157894951</v>
      </c>
      <c r="AB14"/>
      <c r="AC14"/>
    </row>
    <row r="15" spans="1:29" x14ac:dyDescent="0.25">
      <c r="A15" s="129" t="s">
        <v>126</v>
      </c>
      <c r="B15" s="180">
        <v>13.4</v>
      </c>
      <c r="C15" s="180">
        <v>30.1</v>
      </c>
      <c r="D15" s="179">
        <v>67.5</v>
      </c>
      <c r="E15" s="179">
        <v>12</v>
      </c>
      <c r="F15" s="179">
        <v>41.4</v>
      </c>
      <c r="G15" s="179">
        <v>25.2</v>
      </c>
      <c r="H15" s="179">
        <v>11.1</v>
      </c>
      <c r="I15" s="179">
        <v>18.399999999999999</v>
      </c>
      <c r="J15" s="181">
        <v>32.200000000000003</v>
      </c>
      <c r="K15" s="181">
        <v>83</v>
      </c>
      <c r="L15" s="181">
        <v>23.7</v>
      </c>
      <c r="M15" s="181">
        <v>35</v>
      </c>
      <c r="N15" s="181">
        <v>33.799999999999997</v>
      </c>
      <c r="O15" s="181">
        <v>29</v>
      </c>
      <c r="P15" s="181">
        <v>69.3</v>
      </c>
      <c r="Q15" s="181">
        <v>32.700000000000003</v>
      </c>
      <c r="R15" s="181">
        <v>24.2</v>
      </c>
      <c r="S15" s="161">
        <v>34.299999999999997</v>
      </c>
      <c r="T15" s="161">
        <v>57.3</v>
      </c>
      <c r="U15" s="161">
        <v>63.4</v>
      </c>
      <c r="V15" s="161">
        <v>37.5</v>
      </c>
      <c r="W15" s="161">
        <v>17.100000000000001</v>
      </c>
      <c r="X15" s="161">
        <v>55.5</v>
      </c>
      <c r="Y15" s="131">
        <f t="shared" si="0"/>
        <v>42.03</v>
      </c>
      <c r="Z15" s="132">
        <f t="shared" si="1"/>
        <v>48.300526315789284</v>
      </c>
      <c r="AB15"/>
      <c r="AC15"/>
    </row>
    <row r="16" spans="1:29" x14ac:dyDescent="0.25">
      <c r="A16" s="129" t="s">
        <v>127</v>
      </c>
      <c r="B16" s="180">
        <v>178.6</v>
      </c>
      <c r="C16" s="180">
        <v>119.4342</v>
      </c>
      <c r="D16" s="179">
        <v>106.8</v>
      </c>
      <c r="E16" s="179">
        <v>94.3</v>
      </c>
      <c r="F16" s="179">
        <v>121</v>
      </c>
      <c r="G16" s="179">
        <v>150.4</v>
      </c>
      <c r="H16" s="179">
        <v>131.80000000000001</v>
      </c>
      <c r="I16" s="179">
        <v>89.9</v>
      </c>
      <c r="J16" s="181">
        <v>123.1</v>
      </c>
      <c r="K16" s="181">
        <v>84.1</v>
      </c>
      <c r="L16" s="181">
        <v>82.6</v>
      </c>
      <c r="M16" s="181">
        <v>151.9</v>
      </c>
      <c r="N16" s="181">
        <v>127.6</v>
      </c>
      <c r="O16" s="181">
        <v>140.1</v>
      </c>
      <c r="P16" s="181">
        <v>93.1</v>
      </c>
      <c r="Q16" s="181">
        <v>171.8</v>
      </c>
      <c r="R16" s="181">
        <v>129.6</v>
      </c>
      <c r="S16" s="161">
        <v>181.9</v>
      </c>
      <c r="T16" s="161">
        <v>165.6</v>
      </c>
      <c r="U16" s="161">
        <v>158.19999999999999</v>
      </c>
      <c r="V16" s="161">
        <v>75.5</v>
      </c>
      <c r="W16" s="161">
        <v>65.099999999999994</v>
      </c>
      <c r="X16" s="161">
        <v>112.7</v>
      </c>
      <c r="Y16" s="131">
        <f t="shared" si="0"/>
        <v>129.35999999999999</v>
      </c>
      <c r="Z16" s="132">
        <f>TREND(E16:X16,$E$25:$X$25,2018)</f>
        <v>127.10578947368413</v>
      </c>
      <c r="AB16"/>
      <c r="AC16"/>
    </row>
    <row r="17" spans="1:29" x14ac:dyDescent="0.25">
      <c r="A17" s="129" t="s">
        <v>128</v>
      </c>
      <c r="B17" s="180">
        <v>300.8</v>
      </c>
      <c r="C17" s="180">
        <v>601.1</v>
      </c>
      <c r="D17" s="179">
        <v>340.4</v>
      </c>
      <c r="E17" s="179">
        <v>289.10000000000002</v>
      </c>
      <c r="F17" s="179">
        <v>358.9</v>
      </c>
      <c r="G17" s="179">
        <v>224.5</v>
      </c>
      <c r="H17" s="179">
        <v>307.5</v>
      </c>
      <c r="I17" s="179">
        <v>409.8</v>
      </c>
      <c r="J17" s="181">
        <v>348.5</v>
      </c>
      <c r="K17" s="181">
        <v>307.3</v>
      </c>
      <c r="L17" s="181">
        <v>273.60000000000002</v>
      </c>
      <c r="M17" s="181">
        <v>375.3</v>
      </c>
      <c r="N17" s="181">
        <v>233.5</v>
      </c>
      <c r="O17" s="181">
        <v>334.5</v>
      </c>
      <c r="P17" s="181">
        <v>381.1</v>
      </c>
      <c r="Q17" s="181">
        <v>315.5</v>
      </c>
      <c r="R17" s="181">
        <v>269.5</v>
      </c>
      <c r="S17" s="161">
        <v>299.60000000000002</v>
      </c>
      <c r="T17" s="161">
        <v>245.2</v>
      </c>
      <c r="U17" s="161">
        <v>341</v>
      </c>
      <c r="V17" s="161">
        <v>331.2</v>
      </c>
      <c r="W17" s="161">
        <v>277.39999999999998</v>
      </c>
      <c r="X17" s="161">
        <v>266.3</v>
      </c>
      <c r="Y17" s="131">
        <f t="shared" si="0"/>
        <v>306.13</v>
      </c>
      <c r="Z17" s="132">
        <f t="shared" si="1"/>
        <v>293.91157894736853</v>
      </c>
      <c r="AB17"/>
      <c r="AC17"/>
    </row>
    <row r="18" spans="1:29" x14ac:dyDescent="0.25">
      <c r="A18" s="129" t="s">
        <v>129</v>
      </c>
      <c r="B18" s="180">
        <v>648.20000000000005</v>
      </c>
      <c r="C18" s="180">
        <v>722</v>
      </c>
      <c r="D18" s="179">
        <v>534.79999999999995</v>
      </c>
      <c r="E18" s="179">
        <v>453.8</v>
      </c>
      <c r="F18" s="179">
        <v>442.7</v>
      </c>
      <c r="G18" s="179">
        <v>490.8</v>
      </c>
      <c r="H18" s="179">
        <v>414</v>
      </c>
      <c r="I18" s="179">
        <v>574.4</v>
      </c>
      <c r="J18" s="181">
        <v>494.7</v>
      </c>
      <c r="K18" s="181">
        <v>462.7</v>
      </c>
      <c r="L18" s="181">
        <v>497.6</v>
      </c>
      <c r="M18" s="181">
        <v>467.9</v>
      </c>
      <c r="N18" s="181">
        <v>541</v>
      </c>
      <c r="O18" s="181">
        <v>496.8</v>
      </c>
      <c r="P18" s="181">
        <v>416.7</v>
      </c>
      <c r="Q18" s="181">
        <v>476</v>
      </c>
      <c r="R18" s="181">
        <v>428.9</v>
      </c>
      <c r="S18" s="161">
        <v>426.4</v>
      </c>
      <c r="T18" s="161">
        <v>543.70000000000005</v>
      </c>
      <c r="U18" s="161">
        <v>616.1</v>
      </c>
      <c r="V18" s="161">
        <v>413</v>
      </c>
      <c r="W18" s="161">
        <v>485.62</v>
      </c>
      <c r="X18" s="161">
        <v>497.4</v>
      </c>
      <c r="Y18" s="131">
        <f t="shared" si="0"/>
        <v>480.06200000000001</v>
      </c>
      <c r="Z18" s="132">
        <f t="shared" si="1"/>
        <v>494.0389473684213</v>
      </c>
      <c r="AB18"/>
      <c r="AC18"/>
    </row>
    <row r="19" spans="1:29" x14ac:dyDescent="0.25">
      <c r="A19" s="129" t="s">
        <v>130</v>
      </c>
      <c r="B19" s="180">
        <v>831.3</v>
      </c>
      <c r="C19" s="180">
        <v>936</v>
      </c>
      <c r="D19" s="179">
        <v>556.79999999999995</v>
      </c>
      <c r="E19" s="179">
        <v>663.7</v>
      </c>
      <c r="F19" s="179">
        <v>662.3</v>
      </c>
      <c r="G19" s="179">
        <v>882.9</v>
      </c>
      <c r="H19" s="179">
        <v>583.6</v>
      </c>
      <c r="I19" s="179">
        <v>686.5</v>
      </c>
      <c r="J19" s="181">
        <v>657.8</v>
      </c>
      <c r="K19" s="181">
        <v>796.9</v>
      </c>
      <c r="L19" s="181">
        <v>738.6</v>
      </c>
      <c r="M19" s="181">
        <v>624.29999999999995</v>
      </c>
      <c r="N19" s="181">
        <v>711.6</v>
      </c>
      <c r="O19" s="181">
        <v>814.7</v>
      </c>
      <c r="P19" s="181">
        <v>748.5</v>
      </c>
      <c r="Q19" s="181">
        <v>770.2</v>
      </c>
      <c r="R19" s="181">
        <v>650.4</v>
      </c>
      <c r="S19" s="161">
        <v>445.9</v>
      </c>
      <c r="T19" s="161">
        <v>874.5</v>
      </c>
      <c r="U19" s="161">
        <v>691.4</v>
      </c>
      <c r="V19" s="161">
        <v>541.20000000000005</v>
      </c>
      <c r="W19" s="161">
        <v>640.68000000000006</v>
      </c>
      <c r="X19" s="161">
        <v>849.9</v>
      </c>
      <c r="Y19" s="131">
        <f t="shared" si="0"/>
        <v>702.73800000000006</v>
      </c>
      <c r="Z19" s="132">
        <f t="shared" si="1"/>
        <v>695.58368421052637</v>
      </c>
      <c r="AB19"/>
      <c r="AC19"/>
    </row>
    <row r="20" spans="1:29" x14ac:dyDescent="0.25">
      <c r="A20" s="129"/>
      <c r="B20" s="129"/>
      <c r="C20" s="129"/>
      <c r="D20" s="129"/>
      <c r="E20" s="129"/>
      <c r="F20" s="129"/>
      <c r="Q20" s="129"/>
      <c r="R20" s="129"/>
      <c r="S20" s="129"/>
      <c r="T20" s="129"/>
      <c r="U20" s="129"/>
      <c r="V20" s="129"/>
      <c r="W20" s="129"/>
      <c r="X20" s="129"/>
      <c r="AB20"/>
      <c r="AC20"/>
    </row>
    <row r="21" spans="1:29" x14ac:dyDescent="0.25">
      <c r="A21" s="129" t="s">
        <v>12</v>
      </c>
      <c r="B21" s="130">
        <f t="shared" ref="B21:U21" si="2">SUM(B8:B19)</f>
        <v>5274.4000000000005</v>
      </c>
      <c r="C21" s="130">
        <f t="shared" si="2"/>
        <v>5801.6342000000004</v>
      </c>
      <c r="D21" s="130">
        <f t="shared" si="2"/>
        <v>4752.8</v>
      </c>
      <c r="E21" s="130">
        <f t="shared" si="2"/>
        <v>3991.4000000000005</v>
      </c>
      <c r="F21" s="130">
        <f t="shared" si="2"/>
        <v>4274.3999999999996</v>
      </c>
      <c r="G21" s="130">
        <f t="shared" si="2"/>
        <v>4475.8999999999996</v>
      </c>
      <c r="H21" s="130">
        <f t="shared" si="2"/>
        <v>4239.3</v>
      </c>
      <c r="I21" s="130">
        <f t="shared" si="2"/>
        <v>4580.8000000000011</v>
      </c>
      <c r="J21" s="130">
        <f t="shared" si="2"/>
        <v>5099.5</v>
      </c>
      <c r="K21" s="130">
        <f t="shared" si="2"/>
        <v>5061.0999999999995</v>
      </c>
      <c r="L21" s="130">
        <f t="shared" si="2"/>
        <v>4674.3999999999996</v>
      </c>
      <c r="M21" s="130">
        <f t="shared" si="2"/>
        <v>4348.9000000000005</v>
      </c>
      <c r="N21" s="130">
        <f t="shared" si="2"/>
        <v>4692</v>
      </c>
      <c r="O21" s="130">
        <f t="shared" si="2"/>
        <v>5050.2</v>
      </c>
      <c r="P21" s="130">
        <f t="shared" si="2"/>
        <v>5045.7999999999993</v>
      </c>
      <c r="Q21" s="130">
        <f t="shared" si="2"/>
        <v>4369.1000000000004</v>
      </c>
      <c r="R21" s="130">
        <f t="shared" si="2"/>
        <v>4649</v>
      </c>
      <c r="S21" s="130">
        <f t="shared" si="2"/>
        <v>3827.1000000000008</v>
      </c>
      <c r="T21" s="130">
        <f t="shared" si="2"/>
        <v>4466.5</v>
      </c>
      <c r="U21" s="130">
        <f t="shared" si="2"/>
        <v>5621.4</v>
      </c>
      <c r="V21" s="130">
        <f t="shared" ref="V21:W21" si="3">SUM(V8:V19)</f>
        <v>5035.3</v>
      </c>
      <c r="W21" s="130">
        <f t="shared" si="3"/>
        <v>4484.9999999999991</v>
      </c>
      <c r="X21" s="130">
        <f t="shared" ref="X21" si="4">SUM(X8:X19)</f>
        <v>4649.6000000000004</v>
      </c>
      <c r="AB21"/>
      <c r="AC21"/>
    </row>
    <row r="22" spans="1:29" x14ac:dyDescent="0.25">
      <c r="A22" s="123"/>
      <c r="B22" s="123"/>
      <c r="C22" s="123"/>
      <c r="D22" s="123"/>
      <c r="E22" s="124"/>
      <c r="F22" s="124"/>
      <c r="U22" s="134"/>
      <c r="V22" s="134"/>
      <c r="W22" s="134"/>
      <c r="X22" s="134"/>
      <c r="AB22"/>
      <c r="AC22"/>
    </row>
    <row r="23" spans="1:29" x14ac:dyDescent="0.25">
      <c r="A23" s="123" t="s">
        <v>131</v>
      </c>
      <c r="B23" s="123"/>
      <c r="C23" s="123"/>
      <c r="D23" s="123"/>
      <c r="E23" s="124"/>
      <c r="F23" s="124"/>
      <c r="K23" s="134">
        <f>MAX(B21:U21)</f>
        <v>5801.6342000000004</v>
      </c>
      <c r="P23" s="134"/>
      <c r="AB23"/>
      <c r="AC23"/>
    </row>
    <row r="24" spans="1:29" x14ac:dyDescent="0.25">
      <c r="A24" s="125"/>
      <c r="B24" s="125"/>
      <c r="C24" s="125"/>
      <c r="D24" s="125"/>
      <c r="E24" s="126"/>
      <c r="F24" s="126"/>
      <c r="AB24"/>
      <c r="AC24"/>
    </row>
    <row r="25" spans="1:29" x14ac:dyDescent="0.25">
      <c r="A25" s="127" t="s">
        <v>117</v>
      </c>
      <c r="B25" s="127">
        <v>1995</v>
      </c>
      <c r="C25" s="127">
        <v>1996</v>
      </c>
      <c r="D25" s="127">
        <v>1997</v>
      </c>
      <c r="E25" s="127">
        <v>1998</v>
      </c>
      <c r="F25" s="127">
        <v>1999</v>
      </c>
      <c r="G25" s="127">
        <v>2000</v>
      </c>
      <c r="H25" s="127">
        <v>2001</v>
      </c>
      <c r="I25" s="127">
        <v>2002</v>
      </c>
      <c r="J25" s="127">
        <v>2003</v>
      </c>
      <c r="K25" s="127">
        <v>2004</v>
      </c>
      <c r="L25" s="127">
        <v>2005</v>
      </c>
      <c r="M25" s="127">
        <v>2006</v>
      </c>
      <c r="N25" s="127">
        <v>2007</v>
      </c>
      <c r="O25" s="127">
        <v>2008</v>
      </c>
      <c r="P25" s="127">
        <v>2009</v>
      </c>
      <c r="Q25" s="127">
        <v>2010</v>
      </c>
      <c r="R25" s="127">
        <v>2011</v>
      </c>
      <c r="S25" s="127">
        <v>2012</v>
      </c>
      <c r="T25" s="127">
        <v>2013</v>
      </c>
      <c r="U25" s="127">
        <v>2014</v>
      </c>
      <c r="V25" s="127">
        <v>2015</v>
      </c>
      <c r="W25" s="127">
        <v>2016</v>
      </c>
      <c r="X25" s="127">
        <v>2017</v>
      </c>
      <c r="Y25" s="128" t="s">
        <v>118</v>
      </c>
      <c r="Z25" s="128" t="s">
        <v>119</v>
      </c>
      <c r="AB25"/>
      <c r="AC25"/>
    </row>
    <row r="26" spans="1:29" x14ac:dyDescent="0.25">
      <c r="A26" s="125"/>
      <c r="B26" s="125"/>
      <c r="C26" s="125"/>
      <c r="D26" s="125"/>
      <c r="E26" s="124"/>
      <c r="F26" s="124"/>
      <c r="Y26" s="135"/>
      <c r="Z26" s="135"/>
      <c r="AB26"/>
      <c r="AC26"/>
    </row>
    <row r="27" spans="1:29" x14ac:dyDescent="0.25">
      <c r="E27" s="124"/>
      <c r="F27" s="124"/>
      <c r="Y27" s="135"/>
      <c r="Z27" s="135"/>
      <c r="AB27"/>
      <c r="AC27"/>
    </row>
    <row r="28" spans="1:29" x14ac:dyDescent="0.25">
      <c r="A28" s="129" t="s">
        <v>120</v>
      </c>
      <c r="B28" s="177">
        <v>0</v>
      </c>
      <c r="C28" s="177">
        <v>0</v>
      </c>
      <c r="D28" s="176">
        <v>0</v>
      </c>
      <c r="E28" s="176">
        <v>0</v>
      </c>
      <c r="F28" s="176">
        <v>0</v>
      </c>
      <c r="G28" s="176">
        <v>0</v>
      </c>
      <c r="H28" s="176">
        <v>0</v>
      </c>
      <c r="I28" s="176">
        <v>0</v>
      </c>
      <c r="J28" s="178">
        <v>0</v>
      </c>
      <c r="K28" s="178">
        <v>0</v>
      </c>
      <c r="L28" s="178">
        <v>0</v>
      </c>
      <c r="M28" s="178">
        <v>0</v>
      </c>
      <c r="N28" s="178">
        <v>0</v>
      </c>
      <c r="O28" s="178">
        <v>0</v>
      </c>
      <c r="P28" s="178">
        <v>0</v>
      </c>
      <c r="Q28" s="178">
        <v>0</v>
      </c>
      <c r="R28" s="178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31">
        <f>AVERAGE(O28:X28)</f>
        <v>0</v>
      </c>
      <c r="Z28" s="132">
        <f>TREND(E28:X28,$E$25:$X$25,2018)</f>
        <v>0</v>
      </c>
      <c r="AB28"/>
      <c r="AC28"/>
    </row>
    <row r="29" spans="1:29" x14ac:dyDescent="0.25">
      <c r="A29" s="129" t="s">
        <v>121</v>
      </c>
      <c r="B29" s="177">
        <v>0</v>
      </c>
      <c r="C29" s="177">
        <v>0</v>
      </c>
      <c r="D29" s="176">
        <v>0</v>
      </c>
      <c r="E29" s="176">
        <v>0</v>
      </c>
      <c r="F29" s="176">
        <v>0</v>
      </c>
      <c r="G29" s="176">
        <v>0</v>
      </c>
      <c r="H29" s="176">
        <v>0</v>
      </c>
      <c r="I29" s="176">
        <v>0</v>
      </c>
      <c r="J29" s="178">
        <v>0</v>
      </c>
      <c r="K29" s="178">
        <v>0</v>
      </c>
      <c r="L29" s="178">
        <v>0</v>
      </c>
      <c r="M29" s="178">
        <v>0</v>
      </c>
      <c r="N29" s="178">
        <v>0</v>
      </c>
      <c r="O29" s="178">
        <v>0</v>
      </c>
      <c r="P29" s="178">
        <v>0</v>
      </c>
      <c r="Q29" s="178">
        <v>0</v>
      </c>
      <c r="R29" s="178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31">
        <f t="shared" ref="Y29:Y39" si="5">AVERAGE(O29:X29)</f>
        <v>0</v>
      </c>
      <c r="Z29" s="132">
        <f t="shared" ref="Z29:Z39" si="6">TREND(E29:X29,$E$25:$X$25,2018)</f>
        <v>0</v>
      </c>
      <c r="AB29"/>
      <c r="AC29"/>
    </row>
    <row r="30" spans="1:29" x14ac:dyDescent="0.25">
      <c r="A30" s="129" t="s">
        <v>122</v>
      </c>
      <c r="B30" s="177">
        <v>0</v>
      </c>
      <c r="C30" s="177">
        <v>0</v>
      </c>
      <c r="D30" s="176">
        <v>0</v>
      </c>
      <c r="E30" s="176">
        <v>0</v>
      </c>
      <c r="F30" s="176">
        <v>0</v>
      </c>
      <c r="G30" s="176">
        <v>0</v>
      </c>
      <c r="H30" s="176">
        <v>0</v>
      </c>
      <c r="I30" s="176">
        <v>0</v>
      </c>
      <c r="J30" s="178">
        <v>0</v>
      </c>
      <c r="K30" s="178">
        <v>0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>
        <v>0</v>
      </c>
      <c r="R30" s="178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31">
        <f t="shared" si="5"/>
        <v>0</v>
      </c>
      <c r="Z30" s="132">
        <f>TREND(E30:X30,$E$25:$X$25,2018)</f>
        <v>0</v>
      </c>
      <c r="AB30"/>
      <c r="AC30"/>
    </row>
    <row r="31" spans="1:29" x14ac:dyDescent="0.25">
      <c r="A31" s="129" t="s">
        <v>123</v>
      </c>
      <c r="B31" s="177">
        <v>0</v>
      </c>
      <c r="C31" s="177">
        <v>0</v>
      </c>
      <c r="D31" s="176">
        <v>0</v>
      </c>
      <c r="E31" s="176">
        <v>0</v>
      </c>
      <c r="F31" s="176">
        <v>0</v>
      </c>
      <c r="G31" s="176">
        <v>0</v>
      </c>
      <c r="H31" s="176">
        <v>0</v>
      </c>
      <c r="I31" s="176">
        <v>2.2999999999999998</v>
      </c>
      <c r="J31" s="178">
        <v>0</v>
      </c>
      <c r="K31" s="178">
        <v>0</v>
      </c>
      <c r="L31" s="178">
        <v>0</v>
      </c>
      <c r="M31" s="178">
        <v>0</v>
      </c>
      <c r="N31" s="178">
        <v>0</v>
      </c>
      <c r="O31" s="178">
        <v>0</v>
      </c>
      <c r="P31" s="178">
        <v>0</v>
      </c>
      <c r="Q31" s="178">
        <v>0.2</v>
      </c>
      <c r="R31" s="178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31">
        <f t="shared" si="5"/>
        <v>0.02</v>
      </c>
      <c r="Z31" s="132">
        <f t="shared" si="6"/>
        <v>-6.6842105263155815E-2</v>
      </c>
      <c r="AB31"/>
      <c r="AC31"/>
    </row>
    <row r="32" spans="1:29" x14ac:dyDescent="0.25">
      <c r="A32" s="129" t="s">
        <v>74</v>
      </c>
      <c r="B32" s="177">
        <v>1</v>
      </c>
      <c r="C32" s="177">
        <v>0</v>
      </c>
      <c r="D32" s="176">
        <v>0</v>
      </c>
      <c r="E32" s="176">
        <v>9.6</v>
      </c>
      <c r="F32" s="176">
        <v>8</v>
      </c>
      <c r="G32" s="176">
        <v>8.5</v>
      </c>
      <c r="H32" s="176">
        <v>0</v>
      </c>
      <c r="I32" s="176">
        <v>0</v>
      </c>
      <c r="J32" s="178">
        <v>0</v>
      </c>
      <c r="K32" s="178">
        <v>0.2</v>
      </c>
      <c r="L32" s="178">
        <v>0</v>
      </c>
      <c r="M32" s="178">
        <v>8.4</v>
      </c>
      <c r="N32" s="178">
        <v>12.5</v>
      </c>
      <c r="O32" s="178">
        <v>0</v>
      </c>
      <c r="P32" s="178">
        <v>0</v>
      </c>
      <c r="Q32" s="178">
        <v>19</v>
      </c>
      <c r="R32" s="178">
        <v>3.2</v>
      </c>
      <c r="S32" s="161">
        <v>8.4</v>
      </c>
      <c r="T32" s="161">
        <v>3</v>
      </c>
      <c r="U32" s="161">
        <v>0.8</v>
      </c>
      <c r="V32" s="161">
        <v>1.1000000000000001</v>
      </c>
      <c r="W32" s="161">
        <v>3.5</v>
      </c>
      <c r="X32" s="161">
        <v>0</v>
      </c>
      <c r="Y32" s="131">
        <f t="shared" si="5"/>
        <v>3.9</v>
      </c>
      <c r="Z32" s="132">
        <f t="shared" si="6"/>
        <v>2.9473684210526585</v>
      </c>
      <c r="AB32"/>
      <c r="AC32"/>
    </row>
    <row r="33" spans="1:29" x14ac:dyDescent="0.25">
      <c r="A33" s="129" t="s">
        <v>124</v>
      </c>
      <c r="B33" s="177">
        <v>68.400000000000006</v>
      </c>
      <c r="C33" s="177">
        <v>16.899999999999999</v>
      </c>
      <c r="D33" s="176">
        <v>21.5</v>
      </c>
      <c r="E33" s="176">
        <v>33.200000000000003</v>
      </c>
      <c r="F33" s="176">
        <v>46.2</v>
      </c>
      <c r="G33" s="176">
        <v>6.9</v>
      </c>
      <c r="H33" s="176">
        <v>40.799999999999997</v>
      </c>
      <c r="I33" s="176">
        <v>33.6</v>
      </c>
      <c r="J33" s="178">
        <v>11.9</v>
      </c>
      <c r="K33" s="178">
        <v>2.2000000000000002</v>
      </c>
      <c r="L33" s="178">
        <v>41.8</v>
      </c>
      <c r="M33" s="178">
        <v>12.9</v>
      </c>
      <c r="N33" s="178">
        <v>35.9</v>
      </c>
      <c r="O33" s="178">
        <v>7.8</v>
      </c>
      <c r="P33" s="178">
        <v>19.2</v>
      </c>
      <c r="Q33" s="178">
        <v>5.3</v>
      </c>
      <c r="R33" s="178">
        <v>2.7</v>
      </c>
      <c r="S33" s="161">
        <v>23.5</v>
      </c>
      <c r="T33" s="161">
        <v>12.4</v>
      </c>
      <c r="U33" s="161">
        <v>12</v>
      </c>
      <c r="V33" s="161">
        <v>0.4</v>
      </c>
      <c r="W33" s="161">
        <v>8.6</v>
      </c>
      <c r="X33" s="161">
        <v>3.5</v>
      </c>
      <c r="Y33" s="131">
        <f t="shared" si="5"/>
        <v>9.5400000000000009</v>
      </c>
      <c r="Z33" s="132">
        <f t="shared" si="6"/>
        <v>2.3105263157895024</v>
      </c>
      <c r="AA33" s="134"/>
      <c r="AB33"/>
      <c r="AC33"/>
    </row>
    <row r="34" spans="1:29" x14ac:dyDescent="0.25">
      <c r="A34" s="129" t="s">
        <v>125</v>
      </c>
      <c r="B34" s="177">
        <v>51</v>
      </c>
      <c r="C34" s="177">
        <v>5.6</v>
      </c>
      <c r="D34" s="176">
        <v>41.4</v>
      </c>
      <c r="E34" s="176">
        <v>52.4</v>
      </c>
      <c r="F34" s="176">
        <v>87</v>
      </c>
      <c r="G34" s="176">
        <v>49.3</v>
      </c>
      <c r="H34" s="176">
        <v>47.5</v>
      </c>
      <c r="I34" s="176">
        <v>102.6</v>
      </c>
      <c r="J34" s="178">
        <v>27.9</v>
      </c>
      <c r="K34" s="178">
        <v>15.4</v>
      </c>
      <c r="L34" s="178">
        <v>78.8</v>
      </c>
      <c r="M34" s="178">
        <v>78.2</v>
      </c>
      <c r="N34" s="178">
        <v>41.7</v>
      </c>
      <c r="O34" s="178">
        <v>18.7</v>
      </c>
      <c r="P34" s="178">
        <v>8</v>
      </c>
      <c r="Q34" s="178">
        <v>58.5</v>
      </c>
      <c r="R34" s="178">
        <v>73.599999999999994</v>
      </c>
      <c r="S34" s="161">
        <v>59.6</v>
      </c>
      <c r="T34" s="161">
        <v>48.8</v>
      </c>
      <c r="U34" s="161">
        <v>6.4</v>
      </c>
      <c r="V34" s="161">
        <v>29.2</v>
      </c>
      <c r="W34" s="161">
        <v>44.2</v>
      </c>
      <c r="X34" s="161">
        <v>13.8</v>
      </c>
      <c r="Y34" s="131">
        <f t="shared" si="5"/>
        <v>36.08</v>
      </c>
      <c r="Z34" s="132">
        <f t="shared" si="6"/>
        <v>27.098421052631693</v>
      </c>
      <c r="AB34"/>
      <c r="AC34"/>
    </row>
    <row r="35" spans="1:29" x14ac:dyDescent="0.25">
      <c r="A35" s="129" t="s">
        <v>126</v>
      </c>
      <c r="B35" s="177">
        <v>68.3</v>
      </c>
      <c r="C35" s="177">
        <v>31.1</v>
      </c>
      <c r="D35" s="176">
        <v>15.8</v>
      </c>
      <c r="E35" s="176">
        <v>73.599999999999994</v>
      </c>
      <c r="F35" s="176">
        <v>20.2</v>
      </c>
      <c r="G35" s="176">
        <v>33.1</v>
      </c>
      <c r="H35" s="176">
        <v>78.599999999999994</v>
      </c>
      <c r="I35" s="176">
        <v>48.3</v>
      </c>
      <c r="J35" s="178">
        <v>48.6</v>
      </c>
      <c r="K35" s="178">
        <v>13.5</v>
      </c>
      <c r="L35" s="178">
        <v>40.6</v>
      </c>
      <c r="M35" s="178">
        <v>20.100000000000001</v>
      </c>
      <c r="N35" s="178">
        <v>42.5</v>
      </c>
      <c r="O35" s="178">
        <v>24</v>
      </c>
      <c r="P35" s="178">
        <v>25.2</v>
      </c>
      <c r="Q35" s="178">
        <v>78.599999999999994</v>
      </c>
      <c r="R35" s="178">
        <v>35.4</v>
      </c>
      <c r="S35" s="161">
        <v>37.700000000000003</v>
      </c>
      <c r="T35" s="161">
        <v>27.1</v>
      </c>
      <c r="U35" s="161">
        <v>13.5</v>
      </c>
      <c r="V35" s="161">
        <v>35.6</v>
      </c>
      <c r="W35" s="161">
        <v>51.7</v>
      </c>
      <c r="X35" s="161">
        <v>9.1999999999999993</v>
      </c>
      <c r="Y35" s="131">
        <f t="shared" si="5"/>
        <v>33.799999999999997</v>
      </c>
      <c r="Z35" s="132">
        <f t="shared" si="6"/>
        <v>26.10684210526324</v>
      </c>
      <c r="AB35"/>
      <c r="AC35"/>
    </row>
    <row r="36" spans="1:29" x14ac:dyDescent="0.25">
      <c r="A36" s="129" t="s">
        <v>127</v>
      </c>
      <c r="B36" s="177">
        <v>3.9</v>
      </c>
      <c r="C36" s="177">
        <v>11.9</v>
      </c>
      <c r="D36" s="176">
        <v>0.8</v>
      </c>
      <c r="E36" s="176">
        <v>15.2</v>
      </c>
      <c r="F36" s="176">
        <v>18.2</v>
      </c>
      <c r="G36" s="176">
        <v>7.4</v>
      </c>
      <c r="H36" s="176">
        <v>10.3</v>
      </c>
      <c r="I36" s="176">
        <v>36</v>
      </c>
      <c r="J36" s="178">
        <v>14.2</v>
      </c>
      <c r="K36" s="178">
        <v>24.3</v>
      </c>
      <c r="L36" s="178">
        <v>22.3</v>
      </c>
      <c r="M36" s="178">
        <v>5.2</v>
      </c>
      <c r="N36" s="178">
        <v>17</v>
      </c>
      <c r="O36" s="178">
        <v>9.8000000000000007</v>
      </c>
      <c r="P36" s="178">
        <v>5</v>
      </c>
      <c r="Q36" s="178">
        <v>0</v>
      </c>
      <c r="R36" s="178">
        <v>11</v>
      </c>
      <c r="S36" s="161">
        <v>5.3</v>
      </c>
      <c r="T36" s="161">
        <v>5.8</v>
      </c>
      <c r="U36" s="161">
        <v>1.4</v>
      </c>
      <c r="V36" s="161">
        <v>31.4</v>
      </c>
      <c r="W36" s="161">
        <v>12.8</v>
      </c>
      <c r="X36" s="161">
        <v>33.299999999999997</v>
      </c>
      <c r="Y36" s="131">
        <f t="shared" si="5"/>
        <v>11.579999999999998</v>
      </c>
      <c r="Z36" s="132">
        <f t="shared" si="6"/>
        <v>13.282105263157888</v>
      </c>
      <c r="AB36"/>
      <c r="AC36"/>
    </row>
    <row r="37" spans="1:29" x14ac:dyDescent="0.25">
      <c r="A37" s="129" t="s">
        <v>128</v>
      </c>
      <c r="B37" s="177">
        <v>0.5</v>
      </c>
      <c r="C37" s="177">
        <v>0</v>
      </c>
      <c r="D37" s="176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0.8</v>
      </c>
      <c r="J37" s="178">
        <v>0</v>
      </c>
      <c r="K37" s="178">
        <v>0</v>
      </c>
      <c r="L37" s="178">
        <v>9.6</v>
      </c>
      <c r="M37" s="178">
        <v>0</v>
      </c>
      <c r="N37" s="178">
        <v>0.8</v>
      </c>
      <c r="O37" s="178">
        <v>1.3</v>
      </c>
      <c r="P37" s="178">
        <v>0</v>
      </c>
      <c r="Q37" s="178">
        <v>0</v>
      </c>
      <c r="R37" s="178">
        <v>1.5</v>
      </c>
      <c r="S37" s="161">
        <v>0</v>
      </c>
      <c r="T37" s="161">
        <v>0</v>
      </c>
      <c r="U37" s="161">
        <v>0</v>
      </c>
      <c r="V37" s="161">
        <v>0</v>
      </c>
      <c r="W37" s="161">
        <v>0</v>
      </c>
      <c r="X37" s="161">
        <v>1.9</v>
      </c>
      <c r="Y37" s="131">
        <f t="shared" si="5"/>
        <v>0.46999999999999992</v>
      </c>
      <c r="Z37" s="132">
        <f t="shared" si="6"/>
        <v>0.71842105263157841</v>
      </c>
      <c r="AB37"/>
      <c r="AC37"/>
    </row>
    <row r="38" spans="1:29" x14ac:dyDescent="0.25">
      <c r="A38" s="129" t="s">
        <v>129</v>
      </c>
      <c r="B38" s="177">
        <v>0</v>
      </c>
      <c r="C38" s="177">
        <v>0</v>
      </c>
      <c r="D38" s="176">
        <v>0</v>
      </c>
      <c r="E38" s="176">
        <v>0</v>
      </c>
      <c r="F38" s="176">
        <v>0</v>
      </c>
      <c r="G38" s="176">
        <v>0</v>
      </c>
      <c r="H38" s="176">
        <v>0</v>
      </c>
      <c r="I38" s="176">
        <v>0</v>
      </c>
      <c r="J38" s="178">
        <v>0</v>
      </c>
      <c r="K38" s="178">
        <v>0</v>
      </c>
      <c r="L38" s="178">
        <v>0</v>
      </c>
      <c r="M38" s="178">
        <v>0</v>
      </c>
      <c r="N38" s="178">
        <v>0</v>
      </c>
      <c r="O38" s="178">
        <v>0</v>
      </c>
      <c r="P38" s="178">
        <v>0</v>
      </c>
      <c r="Q38" s="178">
        <v>0</v>
      </c>
      <c r="R38" s="178">
        <v>0</v>
      </c>
      <c r="S38" s="161">
        <v>0</v>
      </c>
      <c r="T38" s="161">
        <v>0</v>
      </c>
      <c r="U38" s="161">
        <v>0</v>
      </c>
      <c r="V38" s="161">
        <v>0</v>
      </c>
      <c r="W38" s="161">
        <v>0</v>
      </c>
      <c r="X38" s="161">
        <v>0</v>
      </c>
      <c r="Y38" s="131">
        <f t="shared" si="5"/>
        <v>0</v>
      </c>
      <c r="Z38" s="132">
        <f t="shared" si="6"/>
        <v>0</v>
      </c>
      <c r="AB38"/>
      <c r="AC38"/>
    </row>
    <row r="39" spans="1:29" x14ac:dyDescent="0.25">
      <c r="A39" s="129" t="s">
        <v>130</v>
      </c>
      <c r="B39" s="177">
        <v>0</v>
      </c>
      <c r="C39" s="177">
        <v>0</v>
      </c>
      <c r="D39" s="176">
        <v>0</v>
      </c>
      <c r="E39" s="176">
        <v>0</v>
      </c>
      <c r="F39" s="176">
        <v>0</v>
      </c>
      <c r="G39" s="176">
        <v>0</v>
      </c>
      <c r="H39" s="176">
        <v>0</v>
      </c>
      <c r="I39" s="176">
        <v>0</v>
      </c>
      <c r="J39" s="178">
        <v>0</v>
      </c>
      <c r="K39" s="178">
        <v>0</v>
      </c>
      <c r="L39" s="178">
        <v>0</v>
      </c>
      <c r="M39" s="178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61">
        <v>0</v>
      </c>
      <c r="T39" s="161">
        <v>0</v>
      </c>
      <c r="U39" s="161">
        <v>0</v>
      </c>
      <c r="V39" s="161">
        <v>0</v>
      </c>
      <c r="W39" s="161">
        <v>0</v>
      </c>
      <c r="X39" s="161">
        <v>0</v>
      </c>
      <c r="Y39" s="131">
        <f t="shared" si="5"/>
        <v>0</v>
      </c>
      <c r="Z39" s="132">
        <f t="shared" si="6"/>
        <v>0</v>
      </c>
      <c r="AB39"/>
      <c r="AC39"/>
    </row>
    <row r="40" spans="1:29" x14ac:dyDescent="0.25">
      <c r="A40" s="129"/>
      <c r="B40" s="129"/>
      <c r="C40" s="129"/>
      <c r="D40" s="129"/>
      <c r="E40" s="129"/>
      <c r="F40" s="129"/>
      <c r="G40" s="124"/>
      <c r="H40" s="124"/>
      <c r="Q40" s="129"/>
      <c r="R40" s="129"/>
      <c r="S40" s="129"/>
      <c r="T40" s="129"/>
      <c r="U40" s="129"/>
      <c r="V40" s="129"/>
      <c r="W40" s="129"/>
      <c r="X40" s="129"/>
    </row>
    <row r="41" spans="1:29" x14ac:dyDescent="0.25">
      <c r="A41" s="129" t="s">
        <v>12</v>
      </c>
      <c r="B41" s="130">
        <f t="shared" ref="B41:U41" si="7">SUM(B28:B39)</f>
        <v>193.1</v>
      </c>
      <c r="C41" s="130">
        <f t="shared" si="7"/>
        <v>65.5</v>
      </c>
      <c r="D41" s="130">
        <f t="shared" si="7"/>
        <v>79.5</v>
      </c>
      <c r="E41" s="130">
        <f t="shared" si="7"/>
        <v>184</v>
      </c>
      <c r="F41" s="130">
        <f t="shared" si="7"/>
        <v>179.59999999999997</v>
      </c>
      <c r="G41" s="130">
        <f t="shared" si="7"/>
        <v>105.20000000000002</v>
      </c>
      <c r="H41" s="130">
        <f t="shared" si="7"/>
        <v>177.2</v>
      </c>
      <c r="I41" s="130">
        <f t="shared" si="7"/>
        <v>223.60000000000002</v>
      </c>
      <c r="J41" s="130">
        <f t="shared" si="7"/>
        <v>102.60000000000001</v>
      </c>
      <c r="K41" s="130">
        <f t="shared" si="7"/>
        <v>55.6</v>
      </c>
      <c r="L41" s="130">
        <f t="shared" si="7"/>
        <v>193.1</v>
      </c>
      <c r="M41" s="130">
        <f t="shared" si="7"/>
        <v>124.8</v>
      </c>
      <c r="N41" s="130">
        <f t="shared" si="7"/>
        <v>150.4</v>
      </c>
      <c r="O41" s="130">
        <f t="shared" si="7"/>
        <v>61.599999999999994</v>
      </c>
      <c r="P41" s="130">
        <f t="shared" si="7"/>
        <v>57.4</v>
      </c>
      <c r="Q41" s="130">
        <f t="shared" si="7"/>
        <v>161.6</v>
      </c>
      <c r="R41" s="130">
        <f t="shared" si="7"/>
        <v>127.4</v>
      </c>
      <c r="S41" s="130">
        <f t="shared" si="7"/>
        <v>134.5</v>
      </c>
      <c r="T41" s="130">
        <f t="shared" si="7"/>
        <v>97.100000000000009</v>
      </c>
      <c r="U41" s="130">
        <f t="shared" si="7"/>
        <v>34.1</v>
      </c>
      <c r="V41" s="130">
        <f t="shared" ref="V41:W41" si="8">SUM(V28:V39)</f>
        <v>97.699999999999989</v>
      </c>
      <c r="W41" s="130">
        <f t="shared" si="8"/>
        <v>120.8</v>
      </c>
      <c r="X41" s="130">
        <f t="shared" ref="X41" si="9">SUM(X28:X39)</f>
        <v>61.699999999999996</v>
      </c>
      <c r="Y41" s="133"/>
      <c r="Z41" s="133"/>
    </row>
    <row r="42" spans="1:29" x14ac:dyDescent="0.25">
      <c r="A42" s="129"/>
      <c r="B42" s="129"/>
      <c r="C42" s="129"/>
      <c r="D42" s="129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U42" s="134">
        <f>SUM(B41:U41)</f>
        <v>2507.9</v>
      </c>
      <c r="V42" s="134">
        <f>SUM(B41:V41)</f>
        <v>2605.6</v>
      </c>
      <c r="W42" s="134">
        <f>SUM(B41:W41)</f>
        <v>2726.4</v>
      </c>
      <c r="X42" s="134">
        <f>SUM(C41:X41)</f>
        <v>2594.9999999999995</v>
      </c>
    </row>
    <row r="43" spans="1:29" x14ac:dyDescent="0.25">
      <c r="A43" s="129"/>
      <c r="B43" s="129"/>
      <c r="C43" s="129"/>
      <c r="D43" s="129"/>
      <c r="E43" s="124"/>
      <c r="F43" s="124"/>
      <c r="G43" s="124"/>
      <c r="H43" s="124"/>
      <c r="L43" s="134">
        <f>MIN(B41:U41)</f>
        <v>34.1</v>
      </c>
    </row>
    <row r="44" spans="1:29" x14ac:dyDescent="0.25">
      <c r="A44" s="123"/>
      <c r="B44" s="123"/>
      <c r="C44" s="123"/>
      <c r="D44" s="123"/>
      <c r="E44" s="124"/>
      <c r="F44" s="124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22864ac6-7c2c-4d2c-8917-2490334d657a" xsi:nil="true"/>
    <PublishingExpirationDate xmlns="http://schemas.microsoft.com/sharepoint/v3" xsi:nil="true"/>
    <RoutingRuleDescription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5A56BC5DF3C48BFAA38DBB0663FF1" ma:contentTypeVersion="3" ma:contentTypeDescription="Create a new document." ma:contentTypeScope="" ma:versionID="f998fb52abaafa7b03061b7a50575b63">
  <xsd:schema xmlns:xsd="http://www.w3.org/2001/XMLSchema" xmlns:xs="http://www.w3.org/2001/XMLSchema" xmlns:p="http://schemas.microsoft.com/office/2006/metadata/properties" xmlns:ns1="http://schemas.microsoft.com/sharepoint/v3" xmlns:ns2="22864ac6-7c2c-4d2c-8917-2490334d657a" targetNamespace="http://schemas.microsoft.com/office/2006/metadata/properties" ma:root="true" ma:fieldsID="93a81205d4f4a790b0a30e91b3c2e984" ns1:_="" ns2:_="">
    <xsd:import namespace="http://schemas.microsoft.com/sharepoint/v3"/>
    <xsd:import namespace="22864ac6-7c2c-4d2c-8917-2490334d65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RoutingRuleDescrip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RoutingRuleDescription" ma:index="10" nillable="true" ma:displayName="Note" ma:description="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64ac6-7c2c-4d2c-8917-2490334d657a" elementFormDefault="qualified">
    <xsd:import namespace="http://schemas.microsoft.com/office/2006/documentManagement/types"/>
    <xsd:import namespace="http://schemas.microsoft.com/office/infopath/2007/PartnerControls"/>
    <xsd:element name="Note" ma:index="11" nillable="true" ma:displayName="Description" ma:internalName="Not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5DBFC-9396-4528-B69B-6FF609EE5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61D077-B133-4101-8448-EDAC51E0F5AD}">
  <ds:schemaRefs>
    <ds:schemaRef ds:uri="http://schemas.microsoft.com/office/2006/metadata/properties"/>
    <ds:schemaRef ds:uri="http://schemas.openxmlformats.org/package/2006/metadata/core-properties"/>
    <ds:schemaRef ds:uri="22864ac6-7c2c-4d2c-8917-2490334d657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7DD6D1-0FB0-4196-98DD-9C0D600F8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64ac6-7c2c-4d2c-8917-2490334d6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Exhibit 3 Tables</vt:lpstr>
      <vt:lpstr>Summary</vt:lpstr>
      <vt:lpstr>Purchased Power Model</vt:lpstr>
      <vt:lpstr>Purchased Power Model - WN</vt:lpstr>
      <vt:lpstr>Rate Class Energy Model</vt:lpstr>
      <vt:lpstr>Rate Class Customer Model</vt:lpstr>
      <vt:lpstr>Rate Class Load Model</vt:lpstr>
      <vt:lpstr>CDM Activity</vt:lpstr>
      <vt:lpstr>Weather Analysis </vt:lpstr>
      <vt:lpstr>2018 COP Forecast</vt:lpstr>
      <vt:lpstr>'CDM Activity'!Print_Area</vt:lpstr>
      <vt:lpstr>'Purchased Power Model'!Print_Area</vt:lpstr>
      <vt:lpstr>'Purchased Power Model - WN'!Print_Area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  <vt:lpstr>'Purchased Power Model - WN'!Print_Titles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Bruce Bacon</dc:creator>
  <cp:lastModifiedBy>Andrew Belsito</cp:lastModifiedBy>
  <cp:lastPrinted>2017-12-19T21:34:33Z</cp:lastPrinted>
  <dcterms:created xsi:type="dcterms:W3CDTF">2008-02-06T18:24:44Z</dcterms:created>
  <dcterms:modified xsi:type="dcterms:W3CDTF">2018-08-20T15:01:12Z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0x01010016A5A56BC5DF3C48BFAA38DBB0663FF1</vt:lpwstr>
  </property>
</Properties>
</file>