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elsito.SOOPUCNT\Desktop\TRAVEL COS\2018 PUC COS Application\Interrogatories\Supplemental Interrogatories\"/>
    </mc:Choice>
  </mc:AlternateContent>
  <bookViews>
    <workbookView xWindow="0" yWindow="0" windowWidth="23040" windowHeight="9120" tabRatio="845" firstSheet="3" activeTab="7"/>
  </bookViews>
  <sheets>
    <sheet name="Exhibit 3 Tables" sheetId="38" state="hidden" r:id="rId1"/>
    <sheet name="Summary" sheetId="11" r:id="rId2"/>
    <sheet name="Purchased Power Model" sheetId="7" r:id="rId3"/>
    <sheet name="Purchased Power Model WN" sheetId="40" r:id="rId4"/>
    <sheet name="Rate Class Energy Model" sheetId="9" r:id="rId5"/>
    <sheet name="Rate Class Customer Model" sheetId="17" r:id="rId6"/>
    <sheet name="Rate Class Load Model" sheetId="18" r:id="rId7"/>
    <sheet name="CDM Activity" sheetId="36" r:id="rId8"/>
    <sheet name="Weather Analysis " sheetId="32" r:id="rId9"/>
    <sheet name="2018 COP Forecast" sheetId="3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CAP1000" localSheetId="0">#REF!</definedName>
    <definedName name="__CAP1000" localSheetId="3">#REF!</definedName>
    <definedName name="__CAP1000">#REF!</definedName>
    <definedName name="__OP1000" localSheetId="0">#REF!</definedName>
    <definedName name="__OP1000" localSheetId="3">#REF!</definedName>
    <definedName name="__OP1000">#REF!</definedName>
    <definedName name="_110" localSheetId="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localSheetId="0" hidden="1">'[1]Old MEA Statistics'!$B$250</definedName>
    <definedName name="_Fill" hidden="1">'[2]Old MEA Statistics'!$B$250</definedName>
    <definedName name="_OP1000" localSheetId="0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7" hidden="1">[3]Sheet1!$G$40:$K$40</definedName>
    <definedName name="_Sort" localSheetId="0" hidden="1">[4]Sheet1!$G$40:$K$40</definedName>
    <definedName name="_Sort" localSheetId="8" hidden="1">[5]Sheet1!$G$40:$K$40</definedName>
    <definedName name="_Sort" hidden="1">[6]Sheet1!$G$40:$K$40</definedName>
    <definedName name="ALL" localSheetId="0">#REF!</definedName>
    <definedName name="ALL" localSheetId="3">#REF!</definedName>
    <definedName name="ALL">#REF!</definedName>
    <definedName name="ApprovedYr" localSheetId="0">'[7]Z1.ModelVariables'!$C$12</definedName>
    <definedName name="ApprovedYr">'[8]Z1.ModelVariables'!$C$12</definedName>
    <definedName name="CAfile" localSheetId="0">[9]Refs!$B$2</definedName>
    <definedName name="CAfile">[10]Refs!$B$2</definedName>
    <definedName name="CAPCOSTS" localSheetId="0">#REF!</definedName>
    <definedName name="CAPCOSTS" localSheetId="3">#REF!</definedName>
    <definedName name="CAPCOSTS">#REF!</definedName>
    <definedName name="CAPITAL" localSheetId="0">#REF!</definedName>
    <definedName name="CAPITAL" localSheetId="3">#REF!</definedName>
    <definedName name="CAPITAL">#REF!</definedName>
    <definedName name="CapitalExpListing" localSheetId="0">#REF!</definedName>
    <definedName name="CapitalExpListing" localSheetId="3">#REF!</definedName>
    <definedName name="CapitalExpListing">#REF!</definedName>
    <definedName name="CArevReq" localSheetId="0">[9]Refs!$B$6</definedName>
    <definedName name="CArevReq">[10]Refs!$B$6</definedName>
    <definedName name="CASHFLOW" localSheetId="0">#REF!</definedName>
    <definedName name="CASHFLOW" localSheetId="3">#REF!</definedName>
    <definedName name="CASHFLOW">#REF!</definedName>
    <definedName name="cc" localSheetId="0">#REF!</definedName>
    <definedName name="cc" localSheetId="3">#REF!</definedName>
    <definedName name="cc">#REF!</definedName>
    <definedName name="ClassRange1" localSheetId="0">[9]Refs!$B$3</definedName>
    <definedName name="ClassRange1">[10]Refs!$B$3</definedName>
    <definedName name="ClassRange2" localSheetId="0">[9]Refs!$B$4</definedName>
    <definedName name="ClassRange2">[10]Refs!$B$4</definedName>
    <definedName name="contactf" localSheetId="0">#REF!</definedName>
    <definedName name="contactf" localSheetId="3">#REF!</definedName>
    <definedName name="contactf">#REF!</definedName>
    <definedName name="_xlnm.Criteria" localSheetId="0">#REF!</definedName>
    <definedName name="_xlnm.Criteria" localSheetId="3">#REF!</definedName>
    <definedName name="_xlnm.Criteria">#REF!</definedName>
    <definedName name="CRLF" localSheetId="0">'[7]Z1.ModelVariables'!$C$10</definedName>
    <definedName name="CRLF">'[8]Z1.ModelVariables'!$C$10</definedName>
    <definedName name="_xlnm.Database" localSheetId="0">#REF!</definedName>
    <definedName name="_xlnm.Database" localSheetId="3">#REF!</definedName>
    <definedName name="_xlnm.Database">#REF!</definedName>
    <definedName name="DaysInPreviousYear">'[11]Distribution Revenue by Source'!$B$22</definedName>
    <definedName name="DaysInYear">'[11]Distribution Revenue by Source'!$B$21</definedName>
    <definedName name="DEBTREPAY" localSheetId="0">#REF!</definedName>
    <definedName name="DEBTREPAY" localSheetId="3">#REF!</definedName>
    <definedName name="DEBTREPAY">#REF!</definedName>
    <definedName name="DeptDiv" localSheetId="0">#REF!</definedName>
    <definedName name="DeptDiv" localSheetId="3">#REF!</definedName>
    <definedName name="DeptDiv">#REF!</definedName>
    <definedName name="ExpenseAccountListing" localSheetId="0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 localSheetId="0">'[7]Z1.ModelVariables'!$C$14</definedName>
    <definedName name="FakeBlank">'[8]Z1.ModelVariables'!$C$14</definedName>
    <definedName name="FolderPath" localSheetId="0">[9]Menu!$C$8</definedName>
    <definedName name="FolderPath">[10]Menu!$C$8</definedName>
    <definedName name="histdate">[12]Financials!$E$76</definedName>
    <definedName name="Incr2000" localSheetId="0">#REF!</definedName>
    <definedName name="Incr2000" localSheetId="3">#REF!</definedName>
    <definedName name="Incr2000">#REF!</definedName>
    <definedName name="INTERIM" localSheetId="0">#REF!</definedName>
    <definedName name="INTERIM" localSheetId="3">#REF!</definedName>
    <definedName name="INTERIM">#REF!</definedName>
    <definedName name="LIMIT" localSheetId="0">#REF!</definedName>
    <definedName name="LIMIT" localSheetId="3">#REF!</definedName>
    <definedName name="LIMIT">#REF!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 localSheetId="0">[9]Refs!$B$8</definedName>
    <definedName name="NewRevReq">[10]Refs!$B$8</definedName>
    <definedName name="NOTES" localSheetId="0">#REF!</definedName>
    <definedName name="NOTES" localSheetId="3">#REF!</definedName>
    <definedName name="NOTES">#REF!</definedName>
    <definedName name="OPERATING" localSheetId="0">#REF!</definedName>
    <definedName name="OPERATING" localSheetId="3">#REF!</definedName>
    <definedName name="OPERATING">#REF!</definedName>
    <definedName name="oth_beg_bud" localSheetId="0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7">#REF!</definedName>
    <definedName name="PAGE11" localSheetId="0">#REF!</definedName>
    <definedName name="PAGE11" localSheetId="3">#REF!</definedName>
    <definedName name="PAGE11" localSheetId="8">#REF!</definedName>
    <definedName name="PAGE11">#REF!</definedName>
    <definedName name="PAGE2" localSheetId="7">[3]Sheet1!$A$1:$I$40</definedName>
    <definedName name="PAGE2" localSheetId="0">[4]Sheet1!$A$1:$I$40</definedName>
    <definedName name="PAGE2" localSheetId="8">[5]Sheet1!$A$1:$I$40</definedName>
    <definedName name="PAGE2">[6]Sheet1!$A$1:$I$40</definedName>
    <definedName name="PAGE3" localSheetId="7">#REF!</definedName>
    <definedName name="PAGE3" localSheetId="0">#REF!</definedName>
    <definedName name="PAGE3" localSheetId="3">#REF!</definedName>
    <definedName name="PAGE3" localSheetId="8">#REF!</definedName>
    <definedName name="PAGE3">#REF!</definedName>
    <definedName name="PAGE4" localSheetId="7">#REF!</definedName>
    <definedName name="PAGE4" localSheetId="0">#REF!</definedName>
    <definedName name="PAGE4" localSheetId="3">#REF!</definedName>
    <definedName name="PAGE4" localSheetId="8">#REF!</definedName>
    <definedName name="PAGE4">#REF!</definedName>
    <definedName name="PAGE7" localSheetId="7">#REF!</definedName>
    <definedName name="PAGE7" localSheetId="0">#REF!</definedName>
    <definedName name="PAGE7" localSheetId="3">#REF!</definedName>
    <definedName name="PAGE7" localSheetId="8">#REF!</definedName>
    <definedName name="PAGE7">#REF!</definedName>
    <definedName name="PAGE9" localSheetId="7">#REF!</definedName>
    <definedName name="PAGE9" localSheetId="0">#REF!</definedName>
    <definedName name="PAGE9" localSheetId="3">#REF!</definedName>
    <definedName name="PAGE9" localSheetId="8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7">'CDM Activity'!$A$1:$Q$41</definedName>
    <definedName name="_xlnm.Print_Area" localSheetId="2">'Purchased Power Model'!$A$1:$U$220</definedName>
    <definedName name="_xlnm.Print_Area" localSheetId="3">'Purchased Power Model WN'!$A$1:$U$220</definedName>
    <definedName name="_xlnm.Print_Area" localSheetId="5">'Rate Class Customer Model'!$A$1:$H$44</definedName>
    <definedName name="_xlnm.Print_Area" localSheetId="4">'Rate Class Energy Model'!$A$1:$M$81</definedName>
    <definedName name="_xlnm.Print_Area" localSheetId="6">'Rate Class Load Model'!$A$1:$E$40</definedName>
    <definedName name="Print_Area_MI" localSheetId="0">#REF!</definedName>
    <definedName name="Print_Area_MI" localSheetId="3">#REF!</definedName>
    <definedName name="Print_Area_MI">#REF!</definedName>
    <definedName name="print_end" localSheetId="0">#REF!</definedName>
    <definedName name="print_end" localSheetId="3">#REF!</definedName>
    <definedName name="print_end">#REF!</definedName>
    <definedName name="_xlnm.Print_Titles" localSheetId="2">'Purchased Power Model'!$A:$U,'Purchased Power Model'!$1:$2</definedName>
    <definedName name="_xlnm.Print_Titles" localSheetId="3">'Purchased Power Model WN'!$A:$U,'Purchased Power Model WN'!$1:$2</definedName>
    <definedName name="PRIOR" localSheetId="0">#REF!</definedName>
    <definedName name="PRIOR" localSheetId="3">#REF!</definedName>
    <definedName name="PRIOR">#REF!</definedName>
    <definedName name="Ratebase">'[11]Distribution Revenue by Source'!$C$25</definedName>
    <definedName name="RevReqLookupKey" localSheetId="0">[9]Refs!$B$5</definedName>
    <definedName name="RevReqLookupKey">[10]Refs!$B$5</definedName>
    <definedName name="RevReqRange" localSheetId="0">[9]Refs!$B$7</definedName>
    <definedName name="RevReqRange">[10]Refs!$B$7</definedName>
    <definedName name="RVCASHPR" localSheetId="0">#REF!</definedName>
    <definedName name="RVCASHPR" localSheetId="3">#REF!</definedName>
    <definedName name="RVCASHPR">#REF!</definedName>
    <definedName name="SALBENF" localSheetId="0">#REF!</definedName>
    <definedName name="SALBENF" localSheetId="3">#REF!</definedName>
    <definedName name="SALBENF">#REF!</definedName>
    <definedName name="salreg" localSheetId="0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 localSheetId="0">'[7]A1.Admin'!$C$13</definedName>
    <definedName name="TestYr">'[8]A1.Admin'!$C$13</definedName>
    <definedName name="TestYrPL" localSheetId="0">'[13]Revenue Requirement'!$B$10</definedName>
    <definedName name="TestYrPL">'[14]Revenue Requirement'!$B$10</definedName>
    <definedName name="total_dept" localSheetId="0">#REF!</definedName>
    <definedName name="total_dept" localSheetId="3">#REF!</definedName>
    <definedName name="total_dept">#REF!</definedName>
    <definedName name="total_manpower" localSheetId="0">#REF!</definedName>
    <definedName name="total_manpower" localSheetId="3">#REF!</definedName>
    <definedName name="total_manpower">#REF!</definedName>
    <definedName name="total_material" localSheetId="0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[12]Financials!$A$1</definedName>
    <definedName name="utitliy1">[15]Financials!$A$1</definedName>
    <definedName name="WAGBENF" localSheetId="0">#REF!</definedName>
    <definedName name="WAGBENF" localSheetId="3">#REF!</definedName>
    <definedName name="WAGBENF">#REF!</definedName>
    <definedName name="wagdob" localSheetId="0">#REF!</definedName>
    <definedName name="wagdob" localSheetId="3">#REF!</definedName>
    <definedName name="wagdob">#REF!</definedName>
    <definedName name="wagdobf" localSheetId="0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</definedNames>
  <calcPr calcId="152511" iterate="1"/>
</workbook>
</file>

<file path=xl/calcChain.xml><?xml version="1.0" encoding="utf-8"?>
<calcChain xmlns="http://schemas.openxmlformats.org/spreadsheetml/2006/main">
  <c r="J85" i="9" l="1"/>
  <c r="I85" i="9"/>
  <c r="H85" i="9"/>
  <c r="G85" i="9"/>
  <c r="S4" i="36" l="1"/>
  <c r="U21" i="36" l="1"/>
  <c r="U20" i="36"/>
  <c r="U16" i="36"/>
  <c r="U15" i="36"/>
  <c r="U11" i="36"/>
  <c r="U10" i="36"/>
  <c r="U5" i="36"/>
  <c r="S5" i="36"/>
  <c r="S6" i="36" s="1"/>
  <c r="S14" i="36" l="1"/>
  <c r="S16" i="36" s="1"/>
  <c r="S9" i="36"/>
  <c r="S19" i="36"/>
  <c r="S15" i="36"/>
  <c r="U6" i="36"/>
  <c r="S10" i="36"/>
  <c r="S20" i="36"/>
  <c r="A27" i="11"/>
  <c r="S21" i="36" l="1"/>
  <c r="S11" i="36"/>
  <c r="W201" i="7"/>
  <c r="W202" i="7"/>
  <c r="W200" i="7"/>
  <c r="H16" i="40"/>
  <c r="H17" i="40"/>
  <c r="Q17" i="40" s="1"/>
  <c r="H18" i="40"/>
  <c r="H19" i="40"/>
  <c r="Q19" i="40" s="1"/>
  <c r="H20" i="40"/>
  <c r="H21" i="40"/>
  <c r="Q21" i="40" s="1"/>
  <c r="H22" i="40"/>
  <c r="H23" i="40"/>
  <c r="H24" i="40"/>
  <c r="H25" i="40"/>
  <c r="Q25" i="40" s="1"/>
  <c r="H26" i="40"/>
  <c r="H27" i="40"/>
  <c r="H28" i="40"/>
  <c r="H29" i="40"/>
  <c r="S29" i="40" s="1"/>
  <c r="T29" i="40" s="1"/>
  <c r="U29" i="40" s="1"/>
  <c r="V29" i="40" s="1"/>
  <c r="H30" i="40"/>
  <c r="H31" i="40"/>
  <c r="H32" i="40"/>
  <c r="H33" i="40"/>
  <c r="H34" i="40"/>
  <c r="H35" i="40"/>
  <c r="H36" i="40"/>
  <c r="H37" i="40"/>
  <c r="H38" i="40"/>
  <c r="H39" i="40"/>
  <c r="H40" i="40"/>
  <c r="H41" i="40"/>
  <c r="Q41" i="40" s="1"/>
  <c r="H42" i="40"/>
  <c r="H43" i="40"/>
  <c r="H44" i="40"/>
  <c r="H45" i="40"/>
  <c r="S45" i="40" s="1"/>
  <c r="T45" i="40" s="1"/>
  <c r="U45" i="40" s="1"/>
  <c r="V45" i="40" s="1"/>
  <c r="H46" i="40"/>
  <c r="H47" i="40"/>
  <c r="H48" i="40"/>
  <c r="H49" i="40"/>
  <c r="S49" i="40" s="1"/>
  <c r="T49" i="40" s="1"/>
  <c r="U49" i="40" s="1"/>
  <c r="V49" i="40" s="1"/>
  <c r="H50" i="40"/>
  <c r="H51" i="40"/>
  <c r="H52" i="40"/>
  <c r="H53" i="40"/>
  <c r="S53" i="40" s="1"/>
  <c r="T53" i="40" s="1"/>
  <c r="U53" i="40" s="1"/>
  <c r="V53" i="40" s="1"/>
  <c r="H54" i="40"/>
  <c r="H55" i="40"/>
  <c r="H56" i="40"/>
  <c r="H57" i="40"/>
  <c r="S57" i="40" s="1"/>
  <c r="T57" i="40" s="1"/>
  <c r="U57" i="40" s="1"/>
  <c r="V57" i="40" s="1"/>
  <c r="H58" i="40"/>
  <c r="H59" i="40"/>
  <c r="H60" i="40"/>
  <c r="H61" i="40"/>
  <c r="S61" i="40" s="1"/>
  <c r="T61" i="40" s="1"/>
  <c r="U61" i="40" s="1"/>
  <c r="V61" i="40" s="1"/>
  <c r="H62" i="40"/>
  <c r="H63" i="40"/>
  <c r="Q63" i="40" s="1"/>
  <c r="H64" i="40"/>
  <c r="H65" i="40"/>
  <c r="Q65" i="40" s="1"/>
  <c r="H66" i="40"/>
  <c r="H67" i="40"/>
  <c r="H68" i="40"/>
  <c r="H69" i="40"/>
  <c r="H70" i="40"/>
  <c r="H71" i="40"/>
  <c r="H72" i="40"/>
  <c r="H73" i="40"/>
  <c r="H74" i="40"/>
  <c r="H75" i="40"/>
  <c r="H76" i="40"/>
  <c r="H77" i="40"/>
  <c r="S77" i="40" s="1"/>
  <c r="T77" i="40" s="1"/>
  <c r="U77" i="40" s="1"/>
  <c r="V77" i="40" s="1"/>
  <c r="H78" i="40"/>
  <c r="H79" i="40"/>
  <c r="H80" i="40"/>
  <c r="H81" i="40"/>
  <c r="Q81" i="40" s="1"/>
  <c r="H82" i="40"/>
  <c r="H83" i="40"/>
  <c r="Q83" i="40" s="1"/>
  <c r="H84" i="40"/>
  <c r="H85" i="40"/>
  <c r="S85" i="40" s="1"/>
  <c r="T85" i="40" s="1"/>
  <c r="U85" i="40" s="1"/>
  <c r="V85" i="40" s="1"/>
  <c r="H86" i="40"/>
  <c r="H87" i="40"/>
  <c r="H88" i="40"/>
  <c r="H89" i="40"/>
  <c r="S89" i="40" s="1"/>
  <c r="T89" i="40" s="1"/>
  <c r="U89" i="40" s="1"/>
  <c r="V89" i="40" s="1"/>
  <c r="H90" i="40"/>
  <c r="H91" i="40"/>
  <c r="H92" i="40"/>
  <c r="H93" i="40"/>
  <c r="H94" i="40"/>
  <c r="H95" i="40"/>
  <c r="H96" i="40"/>
  <c r="H97" i="40"/>
  <c r="H98" i="40"/>
  <c r="H99" i="40"/>
  <c r="H100" i="40"/>
  <c r="H101" i="40"/>
  <c r="H102" i="40"/>
  <c r="H103" i="40"/>
  <c r="H104" i="40"/>
  <c r="H105" i="40"/>
  <c r="Q105" i="40" s="1"/>
  <c r="H106" i="40"/>
  <c r="H107" i="40"/>
  <c r="H108" i="40"/>
  <c r="H109" i="40"/>
  <c r="H110" i="40"/>
  <c r="H111" i="40"/>
  <c r="S111" i="40" s="1"/>
  <c r="T111" i="40" s="1"/>
  <c r="U111" i="40" s="1"/>
  <c r="V111" i="40" s="1"/>
  <c r="H112" i="40"/>
  <c r="H113" i="40"/>
  <c r="H114" i="40"/>
  <c r="H115" i="40"/>
  <c r="H116" i="40"/>
  <c r="H117" i="40"/>
  <c r="H118" i="40"/>
  <c r="H119" i="40"/>
  <c r="H120" i="40"/>
  <c r="H121" i="40"/>
  <c r="H122" i="40"/>
  <c r="H123" i="40"/>
  <c r="H124" i="40"/>
  <c r="H125" i="40"/>
  <c r="H126" i="40"/>
  <c r="H127" i="40"/>
  <c r="H128" i="40"/>
  <c r="H129" i="40"/>
  <c r="S129" i="40" s="1"/>
  <c r="T129" i="40" s="1"/>
  <c r="U129" i="40" s="1"/>
  <c r="V129" i="40" s="1"/>
  <c r="H130" i="40"/>
  <c r="H131" i="40"/>
  <c r="H132" i="40"/>
  <c r="H133" i="40"/>
  <c r="H134" i="40"/>
  <c r="H135" i="40"/>
  <c r="H136" i="40"/>
  <c r="H137" i="40"/>
  <c r="S137" i="40" s="1"/>
  <c r="T137" i="40" s="1"/>
  <c r="U137" i="40" s="1"/>
  <c r="V137" i="40" s="1"/>
  <c r="H138" i="40"/>
  <c r="H139" i="40"/>
  <c r="Q139" i="40" s="1"/>
  <c r="H140" i="40"/>
  <c r="H141" i="40"/>
  <c r="S141" i="40" s="1"/>
  <c r="T141" i="40" s="1"/>
  <c r="U141" i="40" s="1"/>
  <c r="V141" i="40" s="1"/>
  <c r="H142" i="40"/>
  <c r="H143" i="40"/>
  <c r="S143" i="40" s="1"/>
  <c r="T143" i="40" s="1"/>
  <c r="U143" i="40" s="1"/>
  <c r="V143" i="40" s="1"/>
  <c r="H144" i="40"/>
  <c r="H145" i="40"/>
  <c r="H146" i="40"/>
  <c r="H147" i="40"/>
  <c r="H148" i="40"/>
  <c r="H149" i="40"/>
  <c r="H150" i="40"/>
  <c r="H151" i="40"/>
  <c r="H152" i="40"/>
  <c r="H153" i="40"/>
  <c r="H154" i="40"/>
  <c r="H155" i="40"/>
  <c r="H156" i="40"/>
  <c r="H157" i="40"/>
  <c r="Q157" i="40" s="1"/>
  <c r="H158" i="40"/>
  <c r="H159" i="40"/>
  <c r="H160" i="40"/>
  <c r="H161" i="40"/>
  <c r="S161" i="40" s="1"/>
  <c r="T161" i="40" s="1"/>
  <c r="U161" i="40" s="1"/>
  <c r="V161" i="40" s="1"/>
  <c r="H162" i="40"/>
  <c r="H163" i="40"/>
  <c r="H164" i="40"/>
  <c r="H165" i="40"/>
  <c r="S165" i="40" s="1"/>
  <c r="T165" i="40" s="1"/>
  <c r="U165" i="40" s="1"/>
  <c r="V165" i="40" s="1"/>
  <c r="H166" i="40"/>
  <c r="H167" i="40"/>
  <c r="H168" i="40"/>
  <c r="H169" i="40"/>
  <c r="H170" i="40"/>
  <c r="H171" i="40"/>
  <c r="H172" i="40"/>
  <c r="H173" i="40"/>
  <c r="H174" i="40"/>
  <c r="H175" i="40"/>
  <c r="H176" i="40"/>
  <c r="H177" i="40"/>
  <c r="S177" i="40" s="1"/>
  <c r="T177" i="40" s="1"/>
  <c r="U177" i="40" s="1"/>
  <c r="V177" i="40" s="1"/>
  <c r="H178" i="40"/>
  <c r="H179" i="40"/>
  <c r="H180" i="40"/>
  <c r="H181" i="40"/>
  <c r="H182" i="40"/>
  <c r="H183" i="40"/>
  <c r="H184" i="40"/>
  <c r="H185" i="40"/>
  <c r="H186" i="40"/>
  <c r="H187" i="40"/>
  <c r="H188" i="40"/>
  <c r="H189" i="40"/>
  <c r="H190" i="40"/>
  <c r="H191" i="40"/>
  <c r="H192" i="40"/>
  <c r="H193" i="40"/>
  <c r="H194" i="40"/>
  <c r="H15" i="40"/>
  <c r="G16" i="40"/>
  <c r="Q16" i="40" s="1"/>
  <c r="G17" i="40"/>
  <c r="G18" i="40"/>
  <c r="S18" i="40" s="1"/>
  <c r="T18" i="40" s="1"/>
  <c r="U18" i="40" s="1"/>
  <c r="V18" i="40" s="1"/>
  <c r="G19" i="40"/>
  <c r="S19" i="40" s="1"/>
  <c r="T19" i="40" s="1"/>
  <c r="U19" i="40" s="1"/>
  <c r="V19" i="40" s="1"/>
  <c r="G20" i="40"/>
  <c r="G21" i="40"/>
  <c r="G22" i="40"/>
  <c r="G23" i="40"/>
  <c r="Q23" i="40" s="1"/>
  <c r="G24" i="40"/>
  <c r="Q24" i="40" s="1"/>
  <c r="G25" i="40"/>
  <c r="G26" i="40"/>
  <c r="G27" i="40"/>
  <c r="Q27" i="40" s="1"/>
  <c r="G28" i="40"/>
  <c r="Q28" i="40" s="1"/>
  <c r="G29" i="40"/>
  <c r="G30" i="40"/>
  <c r="G31" i="40"/>
  <c r="S31" i="40" s="1"/>
  <c r="T31" i="40" s="1"/>
  <c r="U31" i="40" s="1"/>
  <c r="V31" i="40" s="1"/>
  <c r="G32" i="40"/>
  <c r="Q32" i="40" s="1"/>
  <c r="G33" i="40"/>
  <c r="G34" i="40"/>
  <c r="Q34" i="40" s="1"/>
  <c r="G35" i="40"/>
  <c r="S35" i="40" s="1"/>
  <c r="T35" i="40" s="1"/>
  <c r="U35" i="40" s="1"/>
  <c r="V35" i="40" s="1"/>
  <c r="G36" i="40"/>
  <c r="Q36" i="40" s="1"/>
  <c r="G37" i="40"/>
  <c r="G38" i="40"/>
  <c r="G39" i="40"/>
  <c r="G40" i="40"/>
  <c r="Q40" i="40" s="1"/>
  <c r="G41" i="40"/>
  <c r="G42" i="40"/>
  <c r="G43" i="40"/>
  <c r="G44" i="40"/>
  <c r="S44" i="40" s="1"/>
  <c r="T44" i="40" s="1"/>
  <c r="U44" i="40" s="1"/>
  <c r="V44" i="40" s="1"/>
  <c r="G45" i="40"/>
  <c r="G46" i="40"/>
  <c r="G47" i="40"/>
  <c r="Q47" i="40" s="1"/>
  <c r="G48" i="40"/>
  <c r="Q48" i="40" s="1"/>
  <c r="G49" i="40"/>
  <c r="G50" i="40"/>
  <c r="S50" i="40" s="1"/>
  <c r="T50" i="40" s="1"/>
  <c r="U50" i="40" s="1"/>
  <c r="V50" i="40" s="1"/>
  <c r="G51" i="40"/>
  <c r="Q51" i="40" s="1"/>
  <c r="G52" i="40"/>
  <c r="Q52" i="40" s="1"/>
  <c r="G53" i="40"/>
  <c r="G54" i="40"/>
  <c r="S54" i="40" s="1"/>
  <c r="T54" i="40" s="1"/>
  <c r="U54" i="40" s="1"/>
  <c r="V54" i="40" s="1"/>
  <c r="G55" i="40"/>
  <c r="Q55" i="40" s="1"/>
  <c r="G56" i="40"/>
  <c r="S56" i="40" s="1"/>
  <c r="T56" i="40" s="1"/>
  <c r="U56" i="40" s="1"/>
  <c r="V56" i="40" s="1"/>
  <c r="G57" i="40"/>
  <c r="G58" i="40"/>
  <c r="Q58" i="40" s="1"/>
  <c r="G59" i="40"/>
  <c r="Q59" i="40" s="1"/>
  <c r="G60" i="40"/>
  <c r="Q60" i="40" s="1"/>
  <c r="G61" i="40"/>
  <c r="G62" i="40"/>
  <c r="S62" i="40" s="1"/>
  <c r="T62" i="40" s="1"/>
  <c r="U62" i="40" s="1"/>
  <c r="V62" i="40" s="1"/>
  <c r="G63" i="40"/>
  <c r="G64" i="40"/>
  <c r="Q64" i="40" s="1"/>
  <c r="G65" i="40"/>
  <c r="G66" i="40"/>
  <c r="G67" i="40"/>
  <c r="Q67" i="40" s="1"/>
  <c r="G68" i="40"/>
  <c r="S68" i="40" s="1"/>
  <c r="T68" i="40" s="1"/>
  <c r="U68" i="40" s="1"/>
  <c r="V68" i="40" s="1"/>
  <c r="G69" i="40"/>
  <c r="G70" i="40"/>
  <c r="Q70" i="40" s="1"/>
  <c r="G71" i="40"/>
  <c r="Q71" i="40" s="1"/>
  <c r="G72" i="40"/>
  <c r="S72" i="40" s="1"/>
  <c r="T72" i="40" s="1"/>
  <c r="U72" i="40" s="1"/>
  <c r="V72" i="40" s="1"/>
  <c r="G73" i="40"/>
  <c r="G74" i="40"/>
  <c r="G75" i="40"/>
  <c r="Q75" i="40" s="1"/>
  <c r="G76" i="40"/>
  <c r="Q76" i="40" s="1"/>
  <c r="G77" i="40"/>
  <c r="G78" i="40"/>
  <c r="Q78" i="40" s="1"/>
  <c r="G79" i="40"/>
  <c r="Q79" i="40" s="1"/>
  <c r="G80" i="40"/>
  <c r="Q80" i="40" s="1"/>
  <c r="G81" i="40"/>
  <c r="G82" i="40"/>
  <c r="S82" i="40" s="1"/>
  <c r="T82" i="40" s="1"/>
  <c r="U82" i="40" s="1"/>
  <c r="V82" i="40" s="1"/>
  <c r="G83" i="40"/>
  <c r="G84" i="40"/>
  <c r="Q84" i="40" s="1"/>
  <c r="G85" i="40"/>
  <c r="G86" i="40"/>
  <c r="G87" i="40"/>
  <c r="G88" i="40"/>
  <c r="G89" i="40"/>
  <c r="G90" i="40"/>
  <c r="Q90" i="40" s="1"/>
  <c r="G91" i="40"/>
  <c r="S91" i="40" s="1"/>
  <c r="T91" i="40" s="1"/>
  <c r="U91" i="40" s="1"/>
  <c r="V91" i="40" s="1"/>
  <c r="G92" i="40"/>
  <c r="S92" i="40" s="1"/>
  <c r="T92" i="40" s="1"/>
  <c r="G93" i="40"/>
  <c r="G94" i="40"/>
  <c r="G95" i="40"/>
  <c r="Q95" i="40" s="1"/>
  <c r="G96" i="40"/>
  <c r="Q96" i="40" s="1"/>
  <c r="G97" i="40"/>
  <c r="G98" i="40"/>
  <c r="G99" i="40"/>
  <c r="Q99" i="40" s="1"/>
  <c r="G100" i="40"/>
  <c r="S100" i="40" s="1"/>
  <c r="T100" i="40" s="1"/>
  <c r="U100" i="40" s="1"/>
  <c r="V100" i="40" s="1"/>
  <c r="G101" i="40"/>
  <c r="G102" i="40"/>
  <c r="Q102" i="40" s="1"/>
  <c r="G103" i="40"/>
  <c r="S103" i="40" s="1"/>
  <c r="T103" i="40" s="1"/>
  <c r="U103" i="40" s="1"/>
  <c r="V103" i="40" s="1"/>
  <c r="G104" i="40"/>
  <c r="S104" i="40" s="1"/>
  <c r="T104" i="40" s="1"/>
  <c r="U104" i="40" s="1"/>
  <c r="V104" i="40" s="1"/>
  <c r="G105" i="40"/>
  <c r="G106" i="40"/>
  <c r="G107" i="40"/>
  <c r="Q107" i="40" s="1"/>
  <c r="G108" i="40"/>
  <c r="S108" i="40" s="1"/>
  <c r="T108" i="40" s="1"/>
  <c r="U108" i="40" s="1"/>
  <c r="V108" i="40" s="1"/>
  <c r="G109" i="40"/>
  <c r="G110" i="40"/>
  <c r="Q110" i="40" s="1"/>
  <c r="G111" i="40"/>
  <c r="G112" i="40"/>
  <c r="G113" i="40"/>
  <c r="G114" i="40"/>
  <c r="G115" i="40"/>
  <c r="G116" i="40"/>
  <c r="G117" i="40"/>
  <c r="G118" i="40"/>
  <c r="G119" i="40"/>
  <c r="G120" i="40"/>
  <c r="G121" i="40"/>
  <c r="G122" i="40"/>
  <c r="G123" i="40"/>
  <c r="G124" i="40"/>
  <c r="G125" i="40"/>
  <c r="G126" i="40"/>
  <c r="G127" i="40"/>
  <c r="S127" i="40" s="1"/>
  <c r="T127" i="40" s="1"/>
  <c r="U127" i="40" s="1"/>
  <c r="V127" i="40" s="1"/>
  <c r="G128" i="40"/>
  <c r="G129" i="40"/>
  <c r="G130" i="40"/>
  <c r="G131" i="40"/>
  <c r="S131" i="40" s="1"/>
  <c r="T131" i="40" s="1"/>
  <c r="U131" i="40" s="1"/>
  <c r="V131" i="40" s="1"/>
  <c r="G132" i="40"/>
  <c r="G133" i="40"/>
  <c r="G134" i="40"/>
  <c r="G135" i="40"/>
  <c r="Q135" i="40" s="1"/>
  <c r="G136" i="40"/>
  <c r="G137" i="40"/>
  <c r="G138" i="40"/>
  <c r="G139" i="40"/>
  <c r="S139" i="40" s="1"/>
  <c r="T139" i="40" s="1"/>
  <c r="U139" i="40" s="1"/>
  <c r="V139" i="40" s="1"/>
  <c r="G140" i="40"/>
  <c r="G141" i="40"/>
  <c r="G142" i="40"/>
  <c r="S142" i="40" s="1"/>
  <c r="T142" i="40" s="1"/>
  <c r="U142" i="40" s="1"/>
  <c r="V142" i="40" s="1"/>
  <c r="G143" i="40"/>
  <c r="G144" i="40"/>
  <c r="G145" i="40"/>
  <c r="G146" i="40"/>
  <c r="Q146" i="40" s="1"/>
  <c r="G147" i="40"/>
  <c r="S147" i="40" s="1"/>
  <c r="T147" i="40" s="1"/>
  <c r="U147" i="40" s="1"/>
  <c r="V147" i="40" s="1"/>
  <c r="G148" i="40"/>
  <c r="Q148" i="40" s="1"/>
  <c r="G149" i="40"/>
  <c r="G150" i="40"/>
  <c r="G151" i="40"/>
  <c r="S151" i="40" s="1"/>
  <c r="T151" i="40" s="1"/>
  <c r="U151" i="40" s="1"/>
  <c r="V151" i="40" s="1"/>
  <c r="G152" i="40"/>
  <c r="S152" i="40" s="1"/>
  <c r="T152" i="40" s="1"/>
  <c r="U152" i="40" s="1"/>
  <c r="V152" i="40" s="1"/>
  <c r="G153" i="40"/>
  <c r="G154" i="40"/>
  <c r="G155" i="40"/>
  <c r="S155" i="40" s="1"/>
  <c r="T155" i="40" s="1"/>
  <c r="U155" i="40" s="1"/>
  <c r="V155" i="40" s="1"/>
  <c r="G156" i="40"/>
  <c r="G157" i="40"/>
  <c r="G158" i="40"/>
  <c r="G159" i="40"/>
  <c r="Q159" i="40" s="1"/>
  <c r="G160" i="40"/>
  <c r="G161" i="40"/>
  <c r="G162" i="40"/>
  <c r="Q162" i="40" s="1"/>
  <c r="G163" i="40"/>
  <c r="G164" i="40"/>
  <c r="S164" i="40" s="1"/>
  <c r="T164" i="40" s="1"/>
  <c r="U164" i="40" s="1"/>
  <c r="V164" i="40" s="1"/>
  <c r="G165" i="40"/>
  <c r="G166" i="40"/>
  <c r="S166" i="40" s="1"/>
  <c r="T166" i="40" s="1"/>
  <c r="U166" i="40" s="1"/>
  <c r="V166" i="40" s="1"/>
  <c r="G167" i="40"/>
  <c r="S167" i="40" s="1"/>
  <c r="T167" i="40" s="1"/>
  <c r="U167" i="40" s="1"/>
  <c r="V167" i="40" s="1"/>
  <c r="G168" i="40"/>
  <c r="S168" i="40" s="1"/>
  <c r="T168" i="40" s="1"/>
  <c r="U168" i="40" s="1"/>
  <c r="V168" i="40" s="1"/>
  <c r="G169" i="40"/>
  <c r="G170" i="40"/>
  <c r="G171" i="40"/>
  <c r="Q171" i="40" s="1"/>
  <c r="G172" i="40"/>
  <c r="Q172" i="40" s="1"/>
  <c r="G173" i="40"/>
  <c r="G174" i="40"/>
  <c r="G175" i="40"/>
  <c r="S175" i="40" s="1"/>
  <c r="T175" i="40" s="1"/>
  <c r="U175" i="40" s="1"/>
  <c r="V175" i="40" s="1"/>
  <c r="G176" i="40"/>
  <c r="G177" i="40"/>
  <c r="G178" i="40"/>
  <c r="G179" i="40"/>
  <c r="S179" i="40" s="1"/>
  <c r="T179" i="40" s="1"/>
  <c r="U179" i="40" s="1"/>
  <c r="V179" i="40" s="1"/>
  <c r="G180" i="40"/>
  <c r="Q180" i="40" s="1"/>
  <c r="G181" i="40"/>
  <c r="G182" i="40"/>
  <c r="G183" i="40"/>
  <c r="G184" i="40"/>
  <c r="G185" i="40"/>
  <c r="G186" i="40"/>
  <c r="G187" i="40"/>
  <c r="G188" i="40"/>
  <c r="G189" i="40"/>
  <c r="G190" i="40"/>
  <c r="G191" i="40"/>
  <c r="G192" i="40"/>
  <c r="G193" i="40"/>
  <c r="G194" i="40"/>
  <c r="G15" i="40"/>
  <c r="H3" i="40"/>
  <c r="H4" i="40"/>
  <c r="H5" i="40"/>
  <c r="H6" i="40"/>
  <c r="Q6" i="40" s="1"/>
  <c r="H7" i="40"/>
  <c r="H8" i="40"/>
  <c r="Q8" i="40" s="1"/>
  <c r="H9" i="40"/>
  <c r="H10" i="40"/>
  <c r="S10" i="40" s="1"/>
  <c r="T10" i="40" s="1"/>
  <c r="U10" i="40" s="1"/>
  <c r="V10" i="40" s="1"/>
  <c r="H11" i="40"/>
  <c r="H12" i="40"/>
  <c r="H13" i="40"/>
  <c r="H14" i="40"/>
  <c r="G4" i="40"/>
  <c r="G5" i="40"/>
  <c r="G6" i="40"/>
  <c r="G7" i="40"/>
  <c r="Q7" i="40" s="1"/>
  <c r="G8" i="40"/>
  <c r="G9" i="40"/>
  <c r="G10" i="40"/>
  <c r="G11" i="40"/>
  <c r="Q11" i="40" s="1"/>
  <c r="G12" i="40"/>
  <c r="G13" i="40"/>
  <c r="G14" i="40"/>
  <c r="G3" i="40"/>
  <c r="L235" i="40"/>
  <c r="K235" i="40"/>
  <c r="J235" i="40"/>
  <c r="I235" i="40"/>
  <c r="H235" i="40"/>
  <c r="G235" i="40"/>
  <c r="K234" i="40"/>
  <c r="J234" i="40"/>
  <c r="I234" i="40"/>
  <c r="H234" i="40"/>
  <c r="G234" i="40"/>
  <c r="Q234" i="40" s="1"/>
  <c r="L233" i="40"/>
  <c r="K233" i="40"/>
  <c r="J233" i="40"/>
  <c r="I233" i="40"/>
  <c r="H233" i="40"/>
  <c r="G233" i="40"/>
  <c r="Q233" i="40" s="1"/>
  <c r="K232" i="40"/>
  <c r="J232" i="40"/>
  <c r="S232" i="40" s="1"/>
  <c r="I232" i="40"/>
  <c r="H232" i="40"/>
  <c r="G232" i="40"/>
  <c r="L231" i="40"/>
  <c r="K231" i="40"/>
  <c r="J231" i="40"/>
  <c r="I231" i="40"/>
  <c r="H231" i="40"/>
  <c r="G231" i="40"/>
  <c r="Q231" i="40" s="1"/>
  <c r="K230" i="40"/>
  <c r="J230" i="40"/>
  <c r="S230" i="40" s="1"/>
  <c r="I230" i="40"/>
  <c r="H230" i="40"/>
  <c r="G230" i="40"/>
  <c r="S229" i="40"/>
  <c r="L229" i="40"/>
  <c r="K229" i="40"/>
  <c r="J229" i="40"/>
  <c r="I229" i="40"/>
  <c r="H229" i="40"/>
  <c r="G229" i="40"/>
  <c r="K228" i="40"/>
  <c r="J228" i="40"/>
  <c r="I228" i="40"/>
  <c r="H228" i="40"/>
  <c r="G228" i="40"/>
  <c r="Q228" i="40" s="1"/>
  <c r="L227" i="40"/>
  <c r="K227" i="40"/>
  <c r="J227" i="40"/>
  <c r="S227" i="40" s="1"/>
  <c r="I227" i="40"/>
  <c r="H227" i="40"/>
  <c r="G227" i="40"/>
  <c r="S226" i="40"/>
  <c r="K226" i="40"/>
  <c r="J226" i="40"/>
  <c r="I226" i="40"/>
  <c r="H226" i="40"/>
  <c r="G226" i="40"/>
  <c r="Q226" i="40" s="1"/>
  <c r="K225" i="40"/>
  <c r="J225" i="40"/>
  <c r="S225" i="40" s="1"/>
  <c r="I225" i="40"/>
  <c r="H225" i="40"/>
  <c r="G225" i="40"/>
  <c r="S224" i="40"/>
  <c r="P224" i="40"/>
  <c r="P225" i="40" s="1"/>
  <c r="P226" i="40" s="1"/>
  <c r="P227" i="40" s="1"/>
  <c r="P228" i="40" s="1"/>
  <c r="P229" i="40" s="1"/>
  <c r="P230" i="40" s="1"/>
  <c r="P231" i="40" s="1"/>
  <c r="P232" i="40" s="1"/>
  <c r="P233" i="40" s="1"/>
  <c r="P234" i="40" s="1"/>
  <c r="P235" i="40" s="1"/>
  <c r="O224" i="40"/>
  <c r="O225" i="40" s="1"/>
  <c r="O226" i="40" s="1"/>
  <c r="O227" i="40" s="1"/>
  <c r="O228" i="40" s="1"/>
  <c r="O229" i="40" s="1"/>
  <c r="O230" i="40" s="1"/>
  <c r="O231" i="40" s="1"/>
  <c r="O232" i="40" s="1"/>
  <c r="O233" i="40" s="1"/>
  <c r="O234" i="40" s="1"/>
  <c r="O235" i="40" s="1"/>
  <c r="L224" i="40"/>
  <c r="K224" i="40"/>
  <c r="J224" i="40"/>
  <c r="I224" i="40"/>
  <c r="H224" i="40"/>
  <c r="G224" i="40"/>
  <c r="Q224" i="40" s="1"/>
  <c r="W215" i="40"/>
  <c r="F215" i="40"/>
  <c r="B215" i="40"/>
  <c r="W214" i="40"/>
  <c r="B214" i="40"/>
  <c r="W213" i="40"/>
  <c r="B213" i="40"/>
  <c r="W212" i="40"/>
  <c r="B212" i="40"/>
  <c r="W211" i="40"/>
  <c r="B211" i="40"/>
  <c r="W210" i="40"/>
  <c r="B210" i="40"/>
  <c r="W209" i="40"/>
  <c r="B209" i="40"/>
  <c r="W208" i="40"/>
  <c r="B208" i="40"/>
  <c r="W207" i="40"/>
  <c r="B207" i="40"/>
  <c r="W206" i="40"/>
  <c r="B206" i="40"/>
  <c r="W205" i="40"/>
  <c r="B205" i="40"/>
  <c r="W204" i="40"/>
  <c r="B204" i="40"/>
  <c r="W203" i="40"/>
  <c r="B203" i="40"/>
  <c r="W202" i="40"/>
  <c r="C202" i="40"/>
  <c r="B202" i="40"/>
  <c r="W201" i="40"/>
  <c r="C201" i="40"/>
  <c r="B201" i="40"/>
  <c r="W200" i="40"/>
  <c r="C200" i="40"/>
  <c r="B200" i="40"/>
  <c r="K198" i="40"/>
  <c r="L194" i="40"/>
  <c r="L193" i="40"/>
  <c r="L234" i="40" s="1"/>
  <c r="L192" i="40"/>
  <c r="W191" i="40"/>
  <c r="W192" i="40" s="1"/>
  <c r="W193" i="40" s="1"/>
  <c r="L191" i="40"/>
  <c r="L232" i="40" s="1"/>
  <c r="L190" i="40"/>
  <c r="W189" i="40"/>
  <c r="W190" i="40" s="1"/>
  <c r="S231" i="40" s="1"/>
  <c r="L189" i="40"/>
  <c r="L230" i="40" s="1"/>
  <c r="D189" i="40"/>
  <c r="L188" i="40"/>
  <c r="L187" i="40"/>
  <c r="L228" i="40" s="1"/>
  <c r="S228" i="40" s="1"/>
  <c r="L186" i="40"/>
  <c r="W185" i="40"/>
  <c r="W186" i="40" s="1"/>
  <c r="W187" i="40" s="1"/>
  <c r="W188" i="40" s="1"/>
  <c r="L185" i="40"/>
  <c r="L226" i="40" s="1"/>
  <c r="W184" i="40"/>
  <c r="L184" i="40"/>
  <c r="L225" i="40" s="1"/>
  <c r="W183" i="40"/>
  <c r="L183" i="40"/>
  <c r="D183" i="40"/>
  <c r="D184" i="40" s="1"/>
  <c r="D185" i="40" s="1"/>
  <c r="D186" i="40" s="1"/>
  <c r="D187" i="40" s="1"/>
  <c r="D188" i="40" s="1"/>
  <c r="S178" i="40"/>
  <c r="T178" i="40" s="1"/>
  <c r="U178" i="40" s="1"/>
  <c r="V178" i="40" s="1"/>
  <c r="Q177" i="40"/>
  <c r="S174" i="40"/>
  <c r="T174" i="40" s="1"/>
  <c r="U174" i="40" s="1"/>
  <c r="V174" i="40" s="1"/>
  <c r="D173" i="40"/>
  <c r="S171" i="40"/>
  <c r="T171" i="40" s="1"/>
  <c r="U171" i="40" s="1"/>
  <c r="V171" i="40" s="1"/>
  <c r="D171" i="40"/>
  <c r="D172" i="40" s="1"/>
  <c r="Q166" i="40"/>
  <c r="Q165" i="40"/>
  <c r="S162" i="40"/>
  <c r="T162" i="40" s="1"/>
  <c r="U162" i="40" s="1"/>
  <c r="V162" i="40" s="1"/>
  <c r="Q161" i="40"/>
  <c r="D159" i="40"/>
  <c r="D160" i="40" s="1"/>
  <c r="D161" i="40" s="1"/>
  <c r="D162" i="40" s="1"/>
  <c r="Q158" i="40"/>
  <c r="S157" i="40"/>
  <c r="T157" i="40" s="1"/>
  <c r="U157" i="40" s="1"/>
  <c r="V157" i="40" s="1"/>
  <c r="Q154" i="40"/>
  <c r="D149" i="40"/>
  <c r="D150" i="40" s="1"/>
  <c r="D151" i="40" s="1"/>
  <c r="D148" i="40"/>
  <c r="D147" i="40"/>
  <c r="S146" i="40"/>
  <c r="T146" i="40" s="1"/>
  <c r="U146" i="40" s="1"/>
  <c r="V146" i="40" s="1"/>
  <c r="Q142" i="40"/>
  <c r="Q141" i="40"/>
  <c r="Q138" i="40"/>
  <c r="Q137" i="40"/>
  <c r="D136" i="40"/>
  <c r="D135" i="40"/>
  <c r="L134" i="40"/>
  <c r="L133" i="40"/>
  <c r="S133" i="40"/>
  <c r="T133" i="40" s="1"/>
  <c r="U133" i="40" s="1"/>
  <c r="V133" i="40" s="1"/>
  <c r="L132" i="40"/>
  <c r="L131" i="40"/>
  <c r="L130" i="40"/>
  <c r="L129" i="40"/>
  <c r="Q129" i="40" s="1"/>
  <c r="L128" i="40"/>
  <c r="L127" i="40"/>
  <c r="L126" i="40"/>
  <c r="L125" i="40"/>
  <c r="S125" i="40"/>
  <c r="T125" i="40" s="1"/>
  <c r="U125" i="40" s="1"/>
  <c r="V125" i="40" s="1"/>
  <c r="L124" i="40"/>
  <c r="D124" i="40"/>
  <c r="D125" i="40" s="1"/>
  <c r="L123" i="40"/>
  <c r="D123" i="40"/>
  <c r="L122" i="40"/>
  <c r="L121" i="40"/>
  <c r="Q121" i="40" s="1"/>
  <c r="L120" i="40"/>
  <c r="L119" i="40"/>
  <c r="L118" i="40"/>
  <c r="L117" i="40"/>
  <c r="Q117" i="40" s="1"/>
  <c r="L116" i="40"/>
  <c r="L115" i="40"/>
  <c r="L114" i="40"/>
  <c r="L113" i="40"/>
  <c r="Q113" i="40" s="1"/>
  <c r="L112" i="40"/>
  <c r="D112" i="40"/>
  <c r="D113" i="40" s="1"/>
  <c r="D114" i="40" s="1"/>
  <c r="D115" i="40" s="1"/>
  <c r="D116" i="40" s="1"/>
  <c r="D117" i="40" s="1"/>
  <c r="D118" i="40" s="1"/>
  <c r="D119" i="40" s="1"/>
  <c r="D120" i="40" s="1"/>
  <c r="D121" i="40" s="1"/>
  <c r="D122" i="40" s="1"/>
  <c r="L111" i="40"/>
  <c r="Q111" i="40" s="1"/>
  <c r="D111" i="40"/>
  <c r="S107" i="40"/>
  <c r="T107" i="40" s="1"/>
  <c r="U107" i="40" s="1"/>
  <c r="V107" i="40" s="1"/>
  <c r="Q106" i="40"/>
  <c r="S105" i="40"/>
  <c r="T105" i="40" s="1"/>
  <c r="U105" i="40" s="1"/>
  <c r="V105" i="40" s="1"/>
  <c r="Q103" i="40"/>
  <c r="D100" i="40"/>
  <c r="S99" i="40"/>
  <c r="T99" i="40" s="1"/>
  <c r="U99" i="40" s="1"/>
  <c r="V99" i="40" s="1"/>
  <c r="D99" i="40"/>
  <c r="Q98" i="40"/>
  <c r="S97" i="40"/>
  <c r="T97" i="40" s="1"/>
  <c r="U97" i="40" s="1"/>
  <c r="V97" i="40" s="1"/>
  <c r="Q94" i="40"/>
  <c r="S93" i="40"/>
  <c r="T93" i="40" s="1"/>
  <c r="U93" i="40" s="1"/>
  <c r="V93" i="40" s="1"/>
  <c r="U92" i="40"/>
  <c r="V92" i="40" s="1"/>
  <c r="Q91" i="40"/>
  <c r="D87" i="40"/>
  <c r="D88" i="40" s="1"/>
  <c r="D89" i="40" s="1"/>
  <c r="D90" i="40" s="1"/>
  <c r="D91" i="40" s="1"/>
  <c r="Q86" i="40"/>
  <c r="Q85" i="40"/>
  <c r="S84" i="40"/>
  <c r="T84" i="40" s="1"/>
  <c r="U84" i="40" s="1"/>
  <c r="V84" i="40" s="1"/>
  <c r="Q82" i="40"/>
  <c r="S81" i="40"/>
  <c r="T81" i="40" s="1"/>
  <c r="U81" i="40" s="1"/>
  <c r="V81" i="40" s="1"/>
  <c r="S80" i="40"/>
  <c r="T80" i="40" s="1"/>
  <c r="U80" i="40" s="1"/>
  <c r="V80" i="40" s="1"/>
  <c r="Q77" i="40"/>
  <c r="D75" i="40"/>
  <c r="D76" i="40" s="1"/>
  <c r="D77" i="40" s="1"/>
  <c r="Q74" i="40"/>
  <c r="Q73" i="40"/>
  <c r="S70" i="40"/>
  <c r="T70" i="40" s="1"/>
  <c r="U70" i="40" s="1"/>
  <c r="V70" i="40" s="1"/>
  <c r="Q69" i="40"/>
  <c r="Q68" i="40"/>
  <c r="Q66" i="40"/>
  <c r="D65" i="40"/>
  <c r="S64" i="40"/>
  <c r="T64" i="40" s="1"/>
  <c r="U64" i="40" s="1"/>
  <c r="V64" i="40" s="1"/>
  <c r="D63" i="40"/>
  <c r="D64" i="40" s="1"/>
  <c r="Q62" i="40"/>
  <c r="Q61" i="40"/>
  <c r="Q57" i="40"/>
  <c r="Q56" i="40"/>
  <c r="Q54" i="40"/>
  <c r="Q53" i="40"/>
  <c r="D51" i="40"/>
  <c r="D52" i="40" s="1"/>
  <c r="Q50" i="40"/>
  <c r="Q49" i="40"/>
  <c r="S46" i="40"/>
  <c r="T46" i="40" s="1"/>
  <c r="U46" i="40" s="1"/>
  <c r="V46" i="40" s="1"/>
  <c r="Q46" i="40"/>
  <c r="Q45" i="40"/>
  <c r="Q43" i="40"/>
  <c r="D41" i="40"/>
  <c r="D39" i="40"/>
  <c r="D40" i="40" s="1"/>
  <c r="S38" i="40"/>
  <c r="T38" i="40" s="1"/>
  <c r="U38" i="40" s="1"/>
  <c r="V38" i="40" s="1"/>
  <c r="Q38" i="40"/>
  <c r="E38" i="40"/>
  <c r="S37" i="40"/>
  <c r="T37" i="40" s="1"/>
  <c r="U37" i="40" s="1"/>
  <c r="V37" i="40" s="1"/>
  <c r="R37" i="40"/>
  <c r="F37" i="40"/>
  <c r="E37" i="40"/>
  <c r="R36" i="40"/>
  <c r="S36" i="40"/>
  <c r="T36" i="40" s="1"/>
  <c r="U36" i="40" s="1"/>
  <c r="V36" i="40" s="1"/>
  <c r="F36" i="40"/>
  <c r="E36" i="40"/>
  <c r="Q35" i="40"/>
  <c r="E35" i="40"/>
  <c r="R35" i="40" s="1"/>
  <c r="S34" i="40"/>
  <c r="T34" i="40" s="1"/>
  <c r="U34" i="40" s="1"/>
  <c r="V34" i="40" s="1"/>
  <c r="E34" i="40"/>
  <c r="S33" i="40"/>
  <c r="T33" i="40" s="1"/>
  <c r="U33" i="40" s="1"/>
  <c r="V33" i="40" s="1"/>
  <c r="R33" i="40"/>
  <c r="F33" i="40"/>
  <c r="E33" i="40"/>
  <c r="R32" i="40"/>
  <c r="S32" i="40"/>
  <c r="T32" i="40" s="1"/>
  <c r="U32" i="40" s="1"/>
  <c r="V32" i="40" s="1"/>
  <c r="F32" i="40"/>
  <c r="E32" i="40"/>
  <c r="Q31" i="40"/>
  <c r="E31" i="40"/>
  <c r="R31" i="40" s="1"/>
  <c r="S30" i="40"/>
  <c r="T30" i="40" s="1"/>
  <c r="U30" i="40" s="1"/>
  <c r="V30" i="40" s="1"/>
  <c r="Q30" i="40"/>
  <c r="E30" i="40"/>
  <c r="R29" i="40"/>
  <c r="F29" i="40"/>
  <c r="E29" i="40"/>
  <c r="R28" i="40"/>
  <c r="F28" i="40"/>
  <c r="E28" i="40"/>
  <c r="S27" i="40"/>
  <c r="T27" i="40" s="1"/>
  <c r="U27" i="40" s="1"/>
  <c r="V27" i="40" s="1"/>
  <c r="E27" i="40"/>
  <c r="E202" i="40" s="1"/>
  <c r="R26" i="40"/>
  <c r="Q26" i="40"/>
  <c r="S26" i="40"/>
  <c r="T26" i="40" s="1"/>
  <c r="U26" i="40" s="1"/>
  <c r="V26" i="40" s="1"/>
  <c r="F26" i="40"/>
  <c r="E26" i="40"/>
  <c r="E25" i="40"/>
  <c r="R25" i="40" s="1"/>
  <c r="R24" i="40"/>
  <c r="F24" i="40"/>
  <c r="E24" i="40"/>
  <c r="S23" i="40"/>
  <c r="T23" i="40" s="1"/>
  <c r="U23" i="40" s="1"/>
  <c r="V23" i="40" s="1"/>
  <c r="E23" i="40"/>
  <c r="R23" i="40" s="1"/>
  <c r="R22" i="40"/>
  <c r="Q22" i="40"/>
  <c r="S22" i="40"/>
  <c r="T22" i="40" s="1"/>
  <c r="U22" i="40" s="1"/>
  <c r="V22" i="40" s="1"/>
  <c r="F22" i="40"/>
  <c r="E22" i="40"/>
  <c r="E21" i="40"/>
  <c r="R21" i="40" s="1"/>
  <c r="R20" i="40"/>
  <c r="Q20" i="40"/>
  <c r="F20" i="40"/>
  <c r="E20" i="40"/>
  <c r="E19" i="40"/>
  <c r="R19" i="40" s="1"/>
  <c r="R18" i="40"/>
  <c r="Q18" i="40"/>
  <c r="F18" i="40"/>
  <c r="E18" i="40"/>
  <c r="E17" i="40"/>
  <c r="R17" i="40" s="1"/>
  <c r="R16" i="40"/>
  <c r="F16" i="40"/>
  <c r="E16" i="40"/>
  <c r="Q15" i="40"/>
  <c r="S15" i="40"/>
  <c r="T15" i="40" s="1"/>
  <c r="U15" i="40" s="1"/>
  <c r="V15" i="40" s="1"/>
  <c r="E15" i="40"/>
  <c r="E201" i="40" s="1"/>
  <c r="R14" i="40"/>
  <c r="F14" i="40"/>
  <c r="E14" i="40"/>
  <c r="Q13" i="40"/>
  <c r="E13" i="40"/>
  <c r="R13" i="40" s="1"/>
  <c r="R12" i="40"/>
  <c r="Q12" i="40"/>
  <c r="F12" i="40"/>
  <c r="E12" i="40"/>
  <c r="E11" i="40"/>
  <c r="R11" i="40" s="1"/>
  <c r="R10" i="40"/>
  <c r="F10" i="40"/>
  <c r="E10" i="40"/>
  <c r="Q9" i="40"/>
  <c r="E9" i="40"/>
  <c r="R9" i="40" s="1"/>
  <c r="R8" i="40"/>
  <c r="F8" i="40"/>
  <c r="E8" i="40"/>
  <c r="S7" i="40"/>
  <c r="T7" i="40" s="1"/>
  <c r="U7" i="40" s="1"/>
  <c r="V7" i="40" s="1"/>
  <c r="E7" i="40"/>
  <c r="R7" i="40" s="1"/>
  <c r="R6" i="40"/>
  <c r="S6" i="40"/>
  <c r="T6" i="40" s="1"/>
  <c r="U6" i="40" s="1"/>
  <c r="V6" i="40" s="1"/>
  <c r="F6" i="40"/>
  <c r="E6" i="40"/>
  <c r="Q5" i="40"/>
  <c r="E5" i="40"/>
  <c r="R5" i="40" s="1"/>
  <c r="R4" i="40"/>
  <c r="Q4" i="40"/>
  <c r="F4" i="40"/>
  <c r="E4" i="40"/>
  <c r="A4" i="40"/>
  <c r="A5" i="40" s="1"/>
  <c r="A6" i="40" s="1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55" i="40" s="1"/>
  <c r="A56" i="40" s="1"/>
  <c r="A57" i="40" s="1"/>
  <c r="A58" i="40" s="1"/>
  <c r="A59" i="40" s="1"/>
  <c r="A60" i="40" s="1"/>
  <c r="A61" i="40" s="1"/>
  <c r="A62" i="40" s="1"/>
  <c r="A63" i="40" s="1"/>
  <c r="A64" i="40" s="1"/>
  <c r="A65" i="40" s="1"/>
  <c r="A66" i="40" s="1"/>
  <c r="A67" i="40" s="1"/>
  <c r="A68" i="40" s="1"/>
  <c r="A69" i="40" s="1"/>
  <c r="A70" i="40" s="1"/>
  <c r="A71" i="40" s="1"/>
  <c r="A72" i="40" s="1"/>
  <c r="A73" i="40" s="1"/>
  <c r="A74" i="40" s="1"/>
  <c r="A75" i="40" s="1"/>
  <c r="A76" i="40" s="1"/>
  <c r="A77" i="40" s="1"/>
  <c r="A78" i="40" s="1"/>
  <c r="A79" i="40" s="1"/>
  <c r="A80" i="40" s="1"/>
  <c r="A81" i="40" s="1"/>
  <c r="A82" i="40" s="1"/>
  <c r="A83" i="40" s="1"/>
  <c r="A84" i="40" s="1"/>
  <c r="A85" i="40" s="1"/>
  <c r="A86" i="40" s="1"/>
  <c r="A87" i="40" s="1"/>
  <c r="A88" i="40" s="1"/>
  <c r="A89" i="40" s="1"/>
  <c r="A90" i="40" s="1"/>
  <c r="A91" i="40" s="1"/>
  <c r="A92" i="40" s="1"/>
  <c r="A93" i="40" s="1"/>
  <c r="A94" i="40" s="1"/>
  <c r="A95" i="40" s="1"/>
  <c r="A96" i="40" s="1"/>
  <c r="A97" i="40" s="1"/>
  <c r="A98" i="40" s="1"/>
  <c r="A99" i="40" s="1"/>
  <c r="A100" i="40" s="1"/>
  <c r="A101" i="40" s="1"/>
  <c r="A102" i="40" s="1"/>
  <c r="A103" i="40" s="1"/>
  <c r="A104" i="40" s="1"/>
  <c r="A105" i="40" s="1"/>
  <c r="A106" i="40" s="1"/>
  <c r="A107" i="40" s="1"/>
  <c r="A108" i="40" s="1"/>
  <c r="A109" i="40" s="1"/>
  <c r="A110" i="40" s="1"/>
  <c r="A111" i="40" s="1"/>
  <c r="A112" i="40" s="1"/>
  <c r="A113" i="40" s="1"/>
  <c r="A114" i="40" s="1"/>
  <c r="A115" i="40" s="1"/>
  <c r="A116" i="40" s="1"/>
  <c r="A117" i="40" s="1"/>
  <c r="A118" i="40" s="1"/>
  <c r="A119" i="40" s="1"/>
  <c r="A120" i="40" s="1"/>
  <c r="A121" i="40" s="1"/>
  <c r="A122" i="40" s="1"/>
  <c r="A123" i="40" s="1"/>
  <c r="A124" i="40" s="1"/>
  <c r="A125" i="40" s="1"/>
  <c r="A126" i="40" s="1"/>
  <c r="A127" i="40" s="1"/>
  <c r="A128" i="40" s="1"/>
  <c r="A129" i="40" s="1"/>
  <c r="A130" i="40" s="1"/>
  <c r="A131" i="40" s="1"/>
  <c r="A132" i="40" s="1"/>
  <c r="A133" i="40" s="1"/>
  <c r="A134" i="40" s="1"/>
  <c r="A135" i="40" s="1"/>
  <c r="A136" i="40" s="1"/>
  <c r="A137" i="40" s="1"/>
  <c r="A138" i="40" s="1"/>
  <c r="A139" i="40" s="1"/>
  <c r="A140" i="40" s="1"/>
  <c r="A141" i="40" s="1"/>
  <c r="A142" i="40" s="1"/>
  <c r="A143" i="40" s="1"/>
  <c r="A144" i="40" s="1"/>
  <c r="A145" i="40" s="1"/>
  <c r="A146" i="40" s="1"/>
  <c r="A147" i="40" s="1"/>
  <c r="A148" i="40" s="1"/>
  <c r="A149" i="40" s="1"/>
  <c r="A150" i="40" s="1"/>
  <c r="A151" i="40" s="1"/>
  <c r="A152" i="40" s="1"/>
  <c r="A153" i="40" s="1"/>
  <c r="A154" i="40" s="1"/>
  <c r="A155" i="40" s="1"/>
  <c r="A156" i="40" s="1"/>
  <c r="A157" i="40" s="1"/>
  <c r="A158" i="40" s="1"/>
  <c r="A159" i="40" s="1"/>
  <c r="A160" i="40" s="1"/>
  <c r="A161" i="40" s="1"/>
  <c r="A162" i="40" s="1"/>
  <c r="A163" i="40" s="1"/>
  <c r="A164" i="40" s="1"/>
  <c r="A165" i="40" s="1"/>
  <c r="A166" i="40" s="1"/>
  <c r="A167" i="40" s="1"/>
  <c r="A168" i="40" s="1"/>
  <c r="A169" i="40" s="1"/>
  <c r="A170" i="40" s="1"/>
  <c r="A171" i="40" s="1"/>
  <c r="A172" i="40" s="1"/>
  <c r="A173" i="40" s="1"/>
  <c r="A174" i="40" s="1"/>
  <c r="A175" i="40" s="1"/>
  <c r="A176" i="40" s="1"/>
  <c r="A177" i="40" s="1"/>
  <c r="A178" i="40" s="1"/>
  <c r="A179" i="40" s="1"/>
  <c r="A180" i="40" s="1"/>
  <c r="A181" i="40" s="1"/>
  <c r="A182" i="40" s="1"/>
  <c r="A183" i="40" s="1"/>
  <c r="A184" i="40" s="1"/>
  <c r="A185" i="40" s="1"/>
  <c r="A186" i="40" s="1"/>
  <c r="A187" i="40" s="1"/>
  <c r="A188" i="40" s="1"/>
  <c r="A189" i="40" s="1"/>
  <c r="A190" i="40" s="1"/>
  <c r="A191" i="40" s="1"/>
  <c r="A192" i="40" s="1"/>
  <c r="A193" i="40" s="1"/>
  <c r="A194" i="40" s="1"/>
  <c r="Q3" i="40"/>
  <c r="S3" i="40"/>
  <c r="T3" i="40" s="1"/>
  <c r="U3" i="40" s="1"/>
  <c r="V3" i="40" s="1"/>
  <c r="E3" i="40"/>
  <c r="E200" i="40" s="1"/>
  <c r="S201" i="7"/>
  <c r="S202" i="7"/>
  <c r="S200" i="7"/>
  <c r="L219" i="7"/>
  <c r="R200" i="7"/>
  <c r="R201" i="7"/>
  <c r="R202" i="7"/>
  <c r="R4" i="7"/>
  <c r="R5" i="7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" i="7"/>
  <c r="Q184" i="7"/>
  <c r="Q215" i="7" s="1"/>
  <c r="Q185" i="7"/>
  <c r="Q186" i="7"/>
  <c r="Q187" i="7"/>
  <c r="Q188" i="7"/>
  <c r="Q189" i="7"/>
  <c r="Q190" i="7"/>
  <c r="Q191" i="7"/>
  <c r="Q192" i="7"/>
  <c r="Q193" i="7"/>
  <c r="Q194" i="7"/>
  <c r="Q183" i="7"/>
  <c r="Q4" i="7"/>
  <c r="Q200" i="7" s="1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02" i="7" s="1"/>
  <c r="Q29" i="7"/>
  <c r="Q30" i="7"/>
  <c r="Q31" i="7"/>
  <c r="Q32" i="7"/>
  <c r="Q33" i="7"/>
  <c r="Q34" i="7"/>
  <c r="Q35" i="7"/>
  <c r="Q36" i="7"/>
  <c r="Q37" i="7"/>
  <c r="Q38" i="7"/>
  <c r="Q39" i="7"/>
  <c r="Q203" i="7" s="1"/>
  <c r="Q40" i="7"/>
  <c r="Q41" i="7"/>
  <c r="Q42" i="7"/>
  <c r="Q43" i="7"/>
  <c r="Q44" i="7"/>
  <c r="Q45" i="7"/>
  <c r="Q46" i="7"/>
  <c r="Q47" i="7"/>
  <c r="Q48" i="7"/>
  <c r="Q49" i="7"/>
  <c r="Q50" i="7"/>
  <c r="Q51" i="7"/>
  <c r="Q204" i="7" s="1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206" i="7" s="1"/>
  <c r="Q77" i="7"/>
  <c r="Q78" i="7"/>
  <c r="Q79" i="7"/>
  <c r="Q80" i="7"/>
  <c r="Q81" i="7"/>
  <c r="Q82" i="7"/>
  <c r="Q83" i="7"/>
  <c r="Q84" i="7"/>
  <c r="Q85" i="7"/>
  <c r="Q86" i="7"/>
  <c r="Q87" i="7"/>
  <c r="Q207" i="7" s="1"/>
  <c r="Q88" i="7"/>
  <c r="Q89" i="7"/>
  <c r="Q90" i="7"/>
  <c r="Q91" i="7"/>
  <c r="Q92" i="7"/>
  <c r="Q93" i="7"/>
  <c r="Q94" i="7"/>
  <c r="Q95" i="7"/>
  <c r="Q96" i="7"/>
  <c r="Q97" i="7"/>
  <c r="Q98" i="7"/>
  <c r="Q99" i="7"/>
  <c r="Q208" i="7" s="1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210" i="7" s="1"/>
  <c r="Q125" i="7"/>
  <c r="Q126" i="7"/>
  <c r="Q127" i="7"/>
  <c r="Q128" i="7"/>
  <c r="Q129" i="7"/>
  <c r="Q130" i="7"/>
  <c r="Q131" i="7"/>
  <c r="Q132" i="7"/>
  <c r="Q133" i="7"/>
  <c r="Q134" i="7"/>
  <c r="Q135" i="7"/>
  <c r="Q211" i="7" s="1"/>
  <c r="Q136" i="7"/>
  <c r="Q137" i="7"/>
  <c r="Q138" i="7"/>
  <c r="Q139" i="7"/>
  <c r="Q140" i="7"/>
  <c r="Q141" i="7"/>
  <c r="Q142" i="7"/>
  <c r="Q143" i="7"/>
  <c r="Q144" i="7"/>
  <c r="Q145" i="7"/>
  <c r="Q146" i="7"/>
  <c r="Q147" i="7"/>
  <c r="Q212" i="7" s="1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214" i="7" s="1"/>
  <c r="Q173" i="7"/>
  <c r="Q174" i="7"/>
  <c r="Q175" i="7"/>
  <c r="Q176" i="7"/>
  <c r="Q177" i="7"/>
  <c r="Q178" i="7"/>
  <c r="Q179" i="7"/>
  <c r="Q180" i="7"/>
  <c r="Q181" i="7"/>
  <c r="Q182" i="7"/>
  <c r="Q3" i="7"/>
  <c r="S3" i="7"/>
  <c r="Q235" i="7"/>
  <c r="Q234" i="7"/>
  <c r="Q233" i="7"/>
  <c r="Q232" i="7"/>
  <c r="Q231" i="7"/>
  <c r="Q230" i="7"/>
  <c r="Q229" i="7"/>
  <c r="Q228" i="7"/>
  <c r="Q227" i="7"/>
  <c r="Q226" i="7"/>
  <c r="Q225" i="7"/>
  <c r="Q224" i="7"/>
  <c r="Q213" i="7"/>
  <c r="Q209" i="7"/>
  <c r="Q205" i="7"/>
  <c r="Q201" i="7"/>
  <c r="E200" i="7"/>
  <c r="F200" i="7"/>
  <c r="E201" i="7"/>
  <c r="F201" i="7"/>
  <c r="E202" i="7"/>
  <c r="F202" i="7"/>
  <c r="F215" i="7"/>
  <c r="Q206" i="40" l="1"/>
  <c r="Q115" i="40"/>
  <c r="Q125" i="40"/>
  <c r="Q133" i="40"/>
  <c r="S160" i="40"/>
  <c r="T160" i="40" s="1"/>
  <c r="U160" i="40" s="1"/>
  <c r="V160" i="40" s="1"/>
  <c r="Q160" i="40"/>
  <c r="S144" i="40"/>
  <c r="T144" i="40" s="1"/>
  <c r="U144" i="40" s="1"/>
  <c r="V144" i="40" s="1"/>
  <c r="Q144" i="40"/>
  <c r="S28" i="40"/>
  <c r="T28" i="40" s="1"/>
  <c r="U28" i="40" s="1"/>
  <c r="V28" i="40" s="1"/>
  <c r="Q44" i="40"/>
  <c r="Q168" i="40"/>
  <c r="S163" i="40"/>
  <c r="T163" i="40" s="1"/>
  <c r="U163" i="40" s="1"/>
  <c r="V163" i="40" s="1"/>
  <c r="Q163" i="40"/>
  <c r="S48" i="40"/>
  <c r="T48" i="40" s="1"/>
  <c r="U48" i="40" s="1"/>
  <c r="V48" i="40" s="1"/>
  <c r="S52" i="40"/>
  <c r="T52" i="40" s="1"/>
  <c r="U52" i="40" s="1"/>
  <c r="V52" i="40" s="1"/>
  <c r="S60" i="40"/>
  <c r="T60" i="40" s="1"/>
  <c r="U60" i="40" s="1"/>
  <c r="V60" i="40" s="1"/>
  <c r="Q72" i="40"/>
  <c r="Q205" i="40" s="1"/>
  <c r="S76" i="40"/>
  <c r="T76" i="40" s="1"/>
  <c r="U76" i="40" s="1"/>
  <c r="V76" i="40" s="1"/>
  <c r="S96" i="40"/>
  <c r="T96" i="40" s="1"/>
  <c r="U96" i="40" s="1"/>
  <c r="V96" i="40" s="1"/>
  <c r="Q131" i="40"/>
  <c r="Q147" i="40"/>
  <c r="S148" i="40"/>
  <c r="T148" i="40" s="1"/>
  <c r="U148" i="40" s="1"/>
  <c r="V148" i="40" s="1"/>
  <c r="Q152" i="40"/>
  <c r="Q155" i="40"/>
  <c r="Q92" i="40"/>
  <c r="S95" i="40"/>
  <c r="T95" i="40" s="1"/>
  <c r="U95" i="40" s="1"/>
  <c r="V95" i="40" s="1"/>
  <c r="Q151" i="40"/>
  <c r="S159" i="40"/>
  <c r="T159" i="40" s="1"/>
  <c r="U159" i="40" s="1"/>
  <c r="V159" i="40" s="1"/>
  <c r="Q164" i="40"/>
  <c r="Q167" i="40"/>
  <c r="Q123" i="40"/>
  <c r="Q127" i="40"/>
  <c r="Q136" i="40"/>
  <c r="Q143" i="40"/>
  <c r="S39" i="40"/>
  <c r="T39" i="40" s="1"/>
  <c r="U39" i="40" s="1"/>
  <c r="V39" i="40" s="1"/>
  <c r="S42" i="40"/>
  <c r="T42" i="40" s="1"/>
  <c r="U42" i="40" s="1"/>
  <c r="V42" i="40" s="1"/>
  <c r="Q100" i="40"/>
  <c r="Q104" i="40"/>
  <c r="Q108" i="40"/>
  <c r="Q119" i="40"/>
  <c r="S14" i="40"/>
  <c r="T14" i="40" s="1"/>
  <c r="U14" i="40" s="1"/>
  <c r="V14" i="40" s="1"/>
  <c r="S11" i="40"/>
  <c r="T11" i="40" s="1"/>
  <c r="U11" i="40" s="1"/>
  <c r="V11" i="40" s="1"/>
  <c r="Q10" i="40"/>
  <c r="Q200" i="40" s="1"/>
  <c r="Q14" i="40"/>
  <c r="D78" i="40"/>
  <c r="D79" i="40" s="1"/>
  <c r="D80" i="40" s="1"/>
  <c r="R34" i="40"/>
  <c r="F34" i="40"/>
  <c r="R38" i="40"/>
  <c r="F38" i="40"/>
  <c r="S88" i="40"/>
  <c r="T88" i="40" s="1"/>
  <c r="U88" i="40" s="1"/>
  <c r="V88" i="40" s="1"/>
  <c r="Q88" i="40"/>
  <c r="Q101" i="40"/>
  <c r="S101" i="40"/>
  <c r="T101" i="40" s="1"/>
  <c r="U101" i="40" s="1"/>
  <c r="V101" i="40" s="1"/>
  <c r="D126" i="40"/>
  <c r="D127" i="40" s="1"/>
  <c r="F3" i="40"/>
  <c r="R3" i="40"/>
  <c r="S4" i="40"/>
  <c r="T4" i="40" s="1"/>
  <c r="U4" i="40" s="1"/>
  <c r="V4" i="40" s="1"/>
  <c r="F7" i="40"/>
  <c r="S8" i="40"/>
  <c r="T8" i="40" s="1"/>
  <c r="U8" i="40" s="1"/>
  <c r="V8" i="40" s="1"/>
  <c r="F11" i="40"/>
  <c r="S12" i="40"/>
  <c r="T12" i="40" s="1"/>
  <c r="U12" i="40" s="1"/>
  <c r="V12" i="40" s="1"/>
  <c r="F15" i="40"/>
  <c r="R15" i="40"/>
  <c r="R201" i="40" s="1"/>
  <c r="S16" i="40"/>
  <c r="T16" i="40" s="1"/>
  <c r="U16" i="40" s="1"/>
  <c r="V16" i="40" s="1"/>
  <c r="F19" i="40"/>
  <c r="S20" i="40"/>
  <c r="T20" i="40" s="1"/>
  <c r="U20" i="40" s="1"/>
  <c r="V20" i="40" s="1"/>
  <c r="F23" i="40"/>
  <c r="S24" i="40"/>
  <c r="T24" i="40" s="1"/>
  <c r="U24" i="40" s="1"/>
  <c r="V24" i="40" s="1"/>
  <c r="F27" i="40"/>
  <c r="R27" i="40"/>
  <c r="R202" i="40" s="1"/>
  <c r="Q29" i="40"/>
  <c r="F31" i="40"/>
  <c r="Q33" i="40"/>
  <c r="F35" i="40"/>
  <c r="Q37" i="40"/>
  <c r="S40" i="40"/>
  <c r="T40" i="40" s="1"/>
  <c r="U40" i="40" s="1"/>
  <c r="V40" i="40" s="1"/>
  <c r="S41" i="40"/>
  <c r="T41" i="40" s="1"/>
  <c r="U41" i="40" s="1"/>
  <c r="V41" i="40" s="1"/>
  <c r="D42" i="40"/>
  <c r="D43" i="40" s="1"/>
  <c r="D44" i="40" s="1"/>
  <c r="Q42" i="40"/>
  <c r="D53" i="40"/>
  <c r="S65" i="40"/>
  <c r="T65" i="40" s="1"/>
  <c r="U65" i="40" s="1"/>
  <c r="V65" i="40" s="1"/>
  <c r="S73" i="40"/>
  <c r="T73" i="40" s="1"/>
  <c r="U73" i="40" s="1"/>
  <c r="V73" i="40" s="1"/>
  <c r="D92" i="40"/>
  <c r="D163" i="40"/>
  <c r="S5" i="40"/>
  <c r="T5" i="40" s="1"/>
  <c r="U5" i="40" s="1"/>
  <c r="V5" i="40" s="1"/>
  <c r="S9" i="40"/>
  <c r="T9" i="40" s="1"/>
  <c r="U9" i="40" s="1"/>
  <c r="V9" i="40" s="1"/>
  <c r="S13" i="40"/>
  <c r="T13" i="40" s="1"/>
  <c r="U13" i="40" s="1"/>
  <c r="V13" i="40" s="1"/>
  <c r="S17" i="40"/>
  <c r="T17" i="40" s="1"/>
  <c r="U17" i="40" s="1"/>
  <c r="V17" i="40" s="1"/>
  <c r="S21" i="40"/>
  <c r="T21" i="40" s="1"/>
  <c r="U21" i="40" s="1"/>
  <c r="V21" i="40" s="1"/>
  <c r="R30" i="40"/>
  <c r="F30" i="40"/>
  <c r="D66" i="40"/>
  <c r="D67" i="40" s="1"/>
  <c r="D68" i="40" s="1"/>
  <c r="Q204" i="40"/>
  <c r="S58" i="40"/>
  <c r="T58" i="40" s="1"/>
  <c r="U58" i="40" s="1"/>
  <c r="V58" i="40" s="1"/>
  <c r="S78" i="40"/>
  <c r="T78" i="40" s="1"/>
  <c r="U78" i="40" s="1"/>
  <c r="V78" i="40" s="1"/>
  <c r="S86" i="40"/>
  <c r="T86" i="40" s="1"/>
  <c r="U86" i="40" s="1"/>
  <c r="V86" i="40" s="1"/>
  <c r="Q109" i="40"/>
  <c r="S109" i="40"/>
  <c r="T109" i="40" s="1"/>
  <c r="U109" i="40" s="1"/>
  <c r="V109" i="40" s="1"/>
  <c r="Q201" i="40"/>
  <c r="S201" i="40" s="1"/>
  <c r="S25" i="40"/>
  <c r="T25" i="40" s="1"/>
  <c r="U25" i="40" s="1"/>
  <c r="V25" i="40" s="1"/>
  <c r="F5" i="40"/>
  <c r="F9" i="40"/>
  <c r="F13" i="40"/>
  <c r="F17" i="40"/>
  <c r="F21" i="40"/>
  <c r="F25" i="40"/>
  <c r="Q39" i="40"/>
  <c r="S66" i="40"/>
  <c r="T66" i="40" s="1"/>
  <c r="U66" i="40" s="1"/>
  <c r="V66" i="40" s="1"/>
  <c r="S69" i="40"/>
  <c r="T69" i="40" s="1"/>
  <c r="U69" i="40" s="1"/>
  <c r="V69" i="40" s="1"/>
  <c r="S74" i="40"/>
  <c r="T74" i="40" s="1"/>
  <c r="U74" i="40" s="1"/>
  <c r="V74" i="40" s="1"/>
  <c r="S140" i="40"/>
  <c r="T140" i="40" s="1"/>
  <c r="U140" i="40" s="1"/>
  <c r="V140" i="40" s="1"/>
  <c r="Q140" i="40"/>
  <c r="S43" i="40"/>
  <c r="T43" i="40" s="1"/>
  <c r="U43" i="40" s="1"/>
  <c r="V43" i="40" s="1"/>
  <c r="S47" i="40"/>
  <c r="T47" i="40" s="1"/>
  <c r="U47" i="40" s="1"/>
  <c r="V47" i="40" s="1"/>
  <c r="S51" i="40"/>
  <c r="T51" i="40" s="1"/>
  <c r="U51" i="40" s="1"/>
  <c r="V51" i="40" s="1"/>
  <c r="S55" i="40"/>
  <c r="T55" i="40" s="1"/>
  <c r="U55" i="40" s="1"/>
  <c r="V55" i="40" s="1"/>
  <c r="S59" i="40"/>
  <c r="T59" i="40" s="1"/>
  <c r="U59" i="40" s="1"/>
  <c r="V59" i="40" s="1"/>
  <c r="S63" i="40"/>
  <c r="T63" i="40" s="1"/>
  <c r="U63" i="40" s="1"/>
  <c r="V63" i="40" s="1"/>
  <c r="S67" i="40"/>
  <c r="T67" i="40" s="1"/>
  <c r="U67" i="40" s="1"/>
  <c r="V67" i="40" s="1"/>
  <c r="S71" i="40"/>
  <c r="T71" i="40" s="1"/>
  <c r="U71" i="40" s="1"/>
  <c r="V71" i="40" s="1"/>
  <c r="S75" i="40"/>
  <c r="T75" i="40" s="1"/>
  <c r="U75" i="40" s="1"/>
  <c r="V75" i="40" s="1"/>
  <c r="S79" i="40"/>
  <c r="T79" i="40" s="1"/>
  <c r="U79" i="40" s="1"/>
  <c r="V79" i="40" s="1"/>
  <c r="S83" i="40"/>
  <c r="T83" i="40" s="1"/>
  <c r="U83" i="40" s="1"/>
  <c r="V83" i="40" s="1"/>
  <c r="S87" i="40"/>
  <c r="T87" i="40" s="1"/>
  <c r="U87" i="40" s="1"/>
  <c r="V87" i="40" s="1"/>
  <c r="Q89" i="40"/>
  <c r="S90" i="40"/>
  <c r="T90" i="40" s="1"/>
  <c r="U90" i="40" s="1"/>
  <c r="V90" i="40" s="1"/>
  <c r="S94" i="40"/>
  <c r="T94" i="40" s="1"/>
  <c r="U94" i="40" s="1"/>
  <c r="V94" i="40" s="1"/>
  <c r="S98" i="40"/>
  <c r="T98" i="40" s="1"/>
  <c r="U98" i="40" s="1"/>
  <c r="V98" i="40" s="1"/>
  <c r="Q124" i="40"/>
  <c r="S124" i="40"/>
  <c r="T124" i="40" s="1"/>
  <c r="U124" i="40" s="1"/>
  <c r="V124" i="40" s="1"/>
  <c r="Q126" i="40"/>
  <c r="S126" i="40"/>
  <c r="T126" i="40" s="1"/>
  <c r="U126" i="40" s="1"/>
  <c r="V126" i="40" s="1"/>
  <c r="Q128" i="40"/>
  <c r="S128" i="40"/>
  <c r="T128" i="40" s="1"/>
  <c r="U128" i="40" s="1"/>
  <c r="V128" i="40" s="1"/>
  <c r="Q130" i="40"/>
  <c r="S130" i="40"/>
  <c r="T130" i="40" s="1"/>
  <c r="U130" i="40" s="1"/>
  <c r="V130" i="40" s="1"/>
  <c r="Q132" i="40"/>
  <c r="S132" i="40"/>
  <c r="T132" i="40" s="1"/>
  <c r="U132" i="40" s="1"/>
  <c r="V132" i="40" s="1"/>
  <c r="Q134" i="40"/>
  <c r="S134" i="40"/>
  <c r="T134" i="40" s="1"/>
  <c r="U134" i="40" s="1"/>
  <c r="V134" i="40" s="1"/>
  <c r="Q156" i="40"/>
  <c r="S115" i="40"/>
  <c r="T115" i="40" s="1"/>
  <c r="U115" i="40" s="1"/>
  <c r="V115" i="40" s="1"/>
  <c r="S117" i="40"/>
  <c r="T117" i="40" s="1"/>
  <c r="U117" i="40" s="1"/>
  <c r="V117" i="40" s="1"/>
  <c r="S119" i="40"/>
  <c r="T119" i="40" s="1"/>
  <c r="U119" i="40" s="1"/>
  <c r="V119" i="40" s="1"/>
  <c r="S121" i="40"/>
  <c r="T121" i="40" s="1"/>
  <c r="U121" i="40" s="1"/>
  <c r="V121" i="40" s="1"/>
  <c r="S170" i="40"/>
  <c r="T170" i="40" s="1"/>
  <c r="U170" i="40" s="1"/>
  <c r="V170" i="40" s="1"/>
  <c r="Q170" i="40"/>
  <c r="D137" i="40"/>
  <c r="D138" i="40" s="1"/>
  <c r="D139" i="40" s="1"/>
  <c r="Q145" i="40"/>
  <c r="S145" i="40"/>
  <c r="T145" i="40" s="1"/>
  <c r="U145" i="40" s="1"/>
  <c r="V145" i="40" s="1"/>
  <c r="Q150" i="40"/>
  <c r="S150" i="40"/>
  <c r="T150" i="40" s="1"/>
  <c r="U150" i="40" s="1"/>
  <c r="V150" i="40" s="1"/>
  <c r="Q87" i="40"/>
  <c r="Q93" i="40"/>
  <c r="Q97" i="40"/>
  <c r="D101" i="40"/>
  <c r="D102" i="40" s="1"/>
  <c r="D103" i="40" s="1"/>
  <c r="Q112" i="40"/>
  <c r="Q209" i="40" s="1"/>
  <c r="S112" i="40"/>
  <c r="T112" i="40" s="1"/>
  <c r="U112" i="40" s="1"/>
  <c r="V112" i="40" s="1"/>
  <c r="S113" i="40"/>
  <c r="T113" i="40" s="1"/>
  <c r="U113" i="40" s="1"/>
  <c r="V113" i="40" s="1"/>
  <c r="Q114" i="40"/>
  <c r="S114" i="40"/>
  <c r="T114" i="40" s="1"/>
  <c r="U114" i="40" s="1"/>
  <c r="V114" i="40" s="1"/>
  <c r="Q116" i="40"/>
  <c r="S116" i="40"/>
  <c r="T116" i="40" s="1"/>
  <c r="U116" i="40" s="1"/>
  <c r="V116" i="40" s="1"/>
  <c r="Q118" i="40"/>
  <c r="S118" i="40"/>
  <c r="T118" i="40" s="1"/>
  <c r="U118" i="40" s="1"/>
  <c r="V118" i="40" s="1"/>
  <c r="Q120" i="40"/>
  <c r="S120" i="40"/>
  <c r="T120" i="40" s="1"/>
  <c r="U120" i="40" s="1"/>
  <c r="V120" i="40" s="1"/>
  <c r="Q122" i="40"/>
  <c r="S122" i="40"/>
  <c r="T122" i="40" s="1"/>
  <c r="U122" i="40" s="1"/>
  <c r="V122" i="40" s="1"/>
  <c r="S123" i="40"/>
  <c r="T123" i="40" s="1"/>
  <c r="U123" i="40" s="1"/>
  <c r="V123" i="40" s="1"/>
  <c r="S136" i="40"/>
  <c r="T136" i="40" s="1"/>
  <c r="U136" i="40" s="1"/>
  <c r="V136" i="40" s="1"/>
  <c r="S169" i="40"/>
  <c r="T169" i="40" s="1"/>
  <c r="U169" i="40" s="1"/>
  <c r="V169" i="40" s="1"/>
  <c r="Q169" i="40"/>
  <c r="D152" i="40"/>
  <c r="D174" i="40"/>
  <c r="W194" i="40"/>
  <c r="S234" i="40"/>
  <c r="S102" i="40"/>
  <c r="T102" i="40" s="1"/>
  <c r="U102" i="40" s="1"/>
  <c r="V102" i="40" s="1"/>
  <c r="S106" i="40"/>
  <c r="T106" i="40" s="1"/>
  <c r="U106" i="40" s="1"/>
  <c r="V106" i="40" s="1"/>
  <c r="S110" i="40"/>
  <c r="T110" i="40" s="1"/>
  <c r="U110" i="40" s="1"/>
  <c r="V110" i="40" s="1"/>
  <c r="S138" i="40"/>
  <c r="T138" i="40" s="1"/>
  <c r="U138" i="40" s="1"/>
  <c r="V138" i="40" s="1"/>
  <c r="Q149" i="40"/>
  <c r="Q153" i="40"/>
  <c r="S233" i="40"/>
  <c r="T235" i="40" s="1"/>
  <c r="S235" i="40"/>
  <c r="S135" i="40"/>
  <c r="T135" i="40" s="1"/>
  <c r="U135" i="40" s="1"/>
  <c r="V135" i="40" s="1"/>
  <c r="Q173" i="40"/>
  <c r="Q181" i="40"/>
  <c r="S149" i="40"/>
  <c r="T149" i="40" s="1"/>
  <c r="U149" i="40" s="1"/>
  <c r="V149" i="40" s="1"/>
  <c r="S153" i="40"/>
  <c r="T153" i="40" s="1"/>
  <c r="U153" i="40" s="1"/>
  <c r="V153" i="40" s="1"/>
  <c r="S156" i="40"/>
  <c r="T156" i="40" s="1"/>
  <c r="U156" i="40" s="1"/>
  <c r="V156" i="40" s="1"/>
  <c r="Q178" i="40"/>
  <c r="S154" i="40"/>
  <c r="T154" i="40" s="1"/>
  <c r="U154" i="40" s="1"/>
  <c r="V154" i="40" s="1"/>
  <c r="S158" i="40"/>
  <c r="T158" i="40" s="1"/>
  <c r="U158" i="40" s="1"/>
  <c r="V158" i="40" s="1"/>
  <c r="S176" i="40"/>
  <c r="T176" i="40" s="1"/>
  <c r="U176" i="40" s="1"/>
  <c r="V176" i="40" s="1"/>
  <c r="Q179" i="40"/>
  <c r="Q182" i="40"/>
  <c r="D190" i="40"/>
  <c r="D191" i="40" s="1"/>
  <c r="D192" i="40" s="1"/>
  <c r="D193" i="40" s="1"/>
  <c r="Q225" i="40"/>
  <c r="Q227" i="40"/>
  <c r="Q230" i="40"/>
  <c r="Q235" i="40"/>
  <c r="Q229" i="40"/>
  <c r="Q232" i="40"/>
  <c r="S172" i="40"/>
  <c r="T172" i="40" s="1"/>
  <c r="U172" i="40" s="1"/>
  <c r="V172" i="40" s="1"/>
  <c r="S173" i="40"/>
  <c r="T173" i="40" s="1"/>
  <c r="U173" i="40" s="1"/>
  <c r="V173" i="40" s="1"/>
  <c r="Q174" i="40"/>
  <c r="Q175" i="40"/>
  <c r="Q176" i="40"/>
  <c r="S180" i="40"/>
  <c r="T180" i="40" s="1"/>
  <c r="U180" i="40" s="1"/>
  <c r="V180" i="40" s="1"/>
  <c r="S182" i="40"/>
  <c r="T182" i="40" s="1"/>
  <c r="U182" i="40" s="1"/>
  <c r="V182" i="40" s="1"/>
  <c r="S181" i="40"/>
  <c r="T181" i="40" s="1"/>
  <c r="U181" i="40" s="1"/>
  <c r="V181" i="40" s="1"/>
  <c r="B217" i="40"/>
  <c r="Q198" i="7"/>
  <c r="Q219" i="7"/>
  <c r="Q217" i="7"/>
  <c r="C202" i="7"/>
  <c r="C201" i="7"/>
  <c r="C200" i="7"/>
  <c r="E38" i="7"/>
  <c r="F38" i="7" s="1"/>
  <c r="F37" i="7"/>
  <c r="E37" i="7"/>
  <c r="E36" i="7"/>
  <c r="F36" i="7" s="1"/>
  <c r="F35" i="7"/>
  <c r="E35" i="7"/>
  <c r="E34" i="7"/>
  <c r="F34" i="7" s="1"/>
  <c r="F33" i="7"/>
  <c r="E33" i="7"/>
  <c r="E32" i="7"/>
  <c r="F32" i="7" s="1"/>
  <c r="F31" i="7"/>
  <c r="E31" i="7"/>
  <c r="E30" i="7"/>
  <c r="F30" i="7" s="1"/>
  <c r="F29" i="7"/>
  <c r="E29" i="7"/>
  <c r="E28" i="7"/>
  <c r="F28" i="7" s="1"/>
  <c r="F27" i="7"/>
  <c r="E27" i="7"/>
  <c r="E26" i="7"/>
  <c r="F26" i="7" s="1"/>
  <c r="F25" i="7"/>
  <c r="E25" i="7"/>
  <c r="E24" i="7"/>
  <c r="F24" i="7" s="1"/>
  <c r="F23" i="7"/>
  <c r="E23" i="7"/>
  <c r="E22" i="7"/>
  <c r="F22" i="7" s="1"/>
  <c r="F21" i="7"/>
  <c r="E21" i="7"/>
  <c r="E20" i="7"/>
  <c r="F20" i="7" s="1"/>
  <c r="E19" i="7"/>
  <c r="F19" i="7" s="1"/>
  <c r="E18" i="7"/>
  <c r="F18" i="7" s="1"/>
  <c r="E17" i="7"/>
  <c r="F17" i="7" s="1"/>
  <c r="F16" i="7"/>
  <c r="E16" i="7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F8" i="7"/>
  <c r="E8" i="7"/>
  <c r="E7" i="7"/>
  <c r="F7" i="7" s="1"/>
  <c r="E6" i="7"/>
  <c r="F6" i="7" s="1"/>
  <c r="E5" i="7"/>
  <c r="F5" i="7" s="1"/>
  <c r="E4" i="7"/>
  <c r="F4" i="7" s="1"/>
  <c r="E3" i="7"/>
  <c r="F3" i="7" s="1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Q202" i="40" l="1"/>
  <c r="Q213" i="40"/>
  <c r="Q207" i="40"/>
  <c r="Q203" i="40"/>
  <c r="Q208" i="40"/>
  <c r="Q214" i="40"/>
  <c r="Q210" i="40"/>
  <c r="Q212" i="40"/>
  <c r="Q211" i="40"/>
  <c r="V183" i="40"/>
  <c r="D45" i="40"/>
  <c r="F201" i="40"/>
  <c r="D81" i="40"/>
  <c r="S192" i="40"/>
  <c r="Q192" i="40"/>
  <c r="Q194" i="40"/>
  <c r="S194" i="40"/>
  <c r="S188" i="40"/>
  <c r="Q188" i="40"/>
  <c r="S189" i="40"/>
  <c r="Q189" i="40"/>
  <c r="D175" i="40"/>
  <c r="D104" i="40"/>
  <c r="D69" i="40"/>
  <c r="F202" i="40"/>
  <c r="D128" i="40"/>
  <c r="S184" i="40"/>
  <c r="Q184" i="40"/>
  <c r="T201" i="40"/>
  <c r="U201" i="40" s="1"/>
  <c r="V201" i="40" s="1"/>
  <c r="D54" i="40"/>
  <c r="D194" i="40"/>
  <c r="Q191" i="40"/>
  <c r="S191" i="40"/>
  <c r="Q186" i="40"/>
  <c r="S186" i="40"/>
  <c r="D153" i="40"/>
  <c r="Q183" i="40"/>
  <c r="S183" i="40"/>
  <c r="S202" i="40"/>
  <c r="D164" i="40"/>
  <c r="R200" i="40"/>
  <c r="S190" i="40"/>
  <c r="Q190" i="40"/>
  <c r="X201" i="40"/>
  <c r="S193" i="40"/>
  <c r="Q193" i="40"/>
  <c r="Q187" i="40"/>
  <c r="S187" i="40"/>
  <c r="S185" i="40"/>
  <c r="Q185" i="40"/>
  <c r="D140" i="40"/>
  <c r="D93" i="40"/>
  <c r="F200" i="40"/>
  <c r="Q217" i="40" l="1"/>
  <c r="Q215" i="40"/>
  <c r="D154" i="40"/>
  <c r="D55" i="40"/>
  <c r="D94" i="40"/>
  <c r="Q198" i="40"/>
  <c r="S200" i="40"/>
  <c r="D165" i="40"/>
  <c r="T202" i="40"/>
  <c r="U202" i="40" s="1"/>
  <c r="V202" i="40" s="1"/>
  <c r="X202" i="40"/>
  <c r="D176" i="40"/>
  <c r="D70" i="40"/>
  <c r="D82" i="40"/>
  <c r="D141" i="40"/>
  <c r="D129" i="40"/>
  <c r="D105" i="40"/>
  <c r="D46" i="40"/>
  <c r="D142" i="40" l="1"/>
  <c r="D166" i="40"/>
  <c r="D56" i="40"/>
  <c r="Q219" i="40"/>
  <c r="L219" i="40" s="1"/>
  <c r="D83" i="40"/>
  <c r="D71" i="40"/>
  <c r="T200" i="40"/>
  <c r="U200" i="40" s="1"/>
  <c r="V200" i="40" s="1"/>
  <c r="X200" i="40"/>
  <c r="D106" i="40"/>
  <c r="D155" i="40"/>
  <c r="D47" i="40"/>
  <c r="D130" i="40"/>
  <c r="D177" i="40"/>
  <c r="D95" i="40"/>
  <c r="D131" i="40" l="1"/>
  <c r="D72" i="40"/>
  <c r="D143" i="40"/>
  <c r="D57" i="40"/>
  <c r="D84" i="40"/>
  <c r="D167" i="40"/>
  <c r="D178" i="40"/>
  <c r="D96" i="40"/>
  <c r="D48" i="40"/>
  <c r="D156" i="40"/>
  <c r="D107" i="40"/>
  <c r="D179" i="40" l="1"/>
  <c r="D144" i="40"/>
  <c r="D73" i="40"/>
  <c r="D85" i="40"/>
  <c r="D157" i="40"/>
  <c r="D168" i="40"/>
  <c r="D108" i="40"/>
  <c r="D49" i="40"/>
  <c r="D97" i="40"/>
  <c r="D58" i="40"/>
  <c r="D132" i="40"/>
  <c r="D133" i="40" l="1"/>
  <c r="D74" i="40"/>
  <c r="D50" i="40"/>
  <c r="D158" i="40"/>
  <c r="D109" i="40"/>
  <c r="D86" i="40"/>
  <c r="D180" i="40"/>
  <c r="D59" i="40"/>
  <c r="D98" i="40"/>
  <c r="D169" i="40"/>
  <c r="D145" i="40"/>
  <c r="D134" i="40" l="1"/>
  <c r="D60" i="40"/>
  <c r="D170" i="40"/>
  <c r="D146" i="40"/>
  <c r="D181" i="40"/>
  <c r="D110" i="40"/>
  <c r="D61" i="40" l="1"/>
  <c r="D182" i="40"/>
  <c r="D62" i="40" l="1"/>
  <c r="F16" i="36" l="1"/>
  <c r="F15" i="36"/>
  <c r="E16" i="36"/>
  <c r="E15" i="36"/>
  <c r="E14" i="36"/>
  <c r="D16" i="36"/>
  <c r="D15" i="36"/>
  <c r="D14" i="36"/>
  <c r="D13" i="36"/>
  <c r="F31" i="34" l="1"/>
  <c r="F30" i="34"/>
  <c r="F29" i="34"/>
  <c r="F28" i="34"/>
  <c r="F27" i="34"/>
  <c r="F26" i="34"/>
  <c r="F16" i="34"/>
  <c r="F17" i="34" s="1"/>
  <c r="F18" i="34" s="1"/>
  <c r="F19" i="34" s="1"/>
  <c r="F20" i="34" s="1"/>
  <c r="F21" i="34" s="1"/>
  <c r="F20" i="36" l="1"/>
  <c r="S70" i="9"/>
  <c r="P54" i="11"/>
  <c r="O54" i="11"/>
  <c r="P51" i="11"/>
  <c r="P52" i="11"/>
  <c r="P46" i="11"/>
  <c r="P42" i="11"/>
  <c r="P38" i="11"/>
  <c r="P33" i="11"/>
  <c r="P28" i="11"/>
  <c r="P23" i="11"/>
  <c r="P19" i="11"/>
  <c r="P15" i="11"/>
  <c r="P10" i="11"/>
  <c r="Z16" i="32"/>
  <c r="Z9" i="32"/>
  <c r="Z8" i="32"/>
  <c r="Z28" i="32"/>
  <c r="Z10" i="32"/>
  <c r="Z11" i="32"/>
  <c r="Z12" i="32"/>
  <c r="Z13" i="32"/>
  <c r="Z14" i="32"/>
  <c r="Z15" i="32"/>
  <c r="Z17" i="32"/>
  <c r="Z18" i="32"/>
  <c r="Z19" i="32"/>
  <c r="H172" i="7" l="1"/>
  <c r="H173" i="7"/>
  <c r="H174" i="7"/>
  <c r="H175" i="7"/>
  <c r="H176" i="7"/>
  <c r="H177" i="7"/>
  <c r="H178" i="7"/>
  <c r="H179" i="7"/>
  <c r="H180" i="7"/>
  <c r="H181" i="7"/>
  <c r="H182" i="7"/>
  <c r="H171" i="7"/>
  <c r="C40" i="18" l="1"/>
  <c r="D40" i="18"/>
  <c r="B40" i="18"/>
  <c r="B38" i="18"/>
  <c r="C38" i="18"/>
  <c r="D38" i="18"/>
  <c r="C42" i="17"/>
  <c r="D42" i="17"/>
  <c r="E42" i="17"/>
  <c r="F42" i="17"/>
  <c r="G42" i="17"/>
  <c r="B42" i="17"/>
  <c r="B38" i="17"/>
  <c r="C38" i="17"/>
  <c r="D38" i="17"/>
  <c r="E38" i="17"/>
  <c r="F38" i="17"/>
  <c r="G38" i="17"/>
  <c r="Z30" i="32" l="1"/>
  <c r="Z39" i="32"/>
  <c r="Y39" i="32"/>
  <c r="Z38" i="32"/>
  <c r="Y38" i="32"/>
  <c r="Z37" i="32"/>
  <c r="Y37" i="32"/>
  <c r="Z36" i="32"/>
  <c r="Y36" i="32"/>
  <c r="Z35" i="32"/>
  <c r="Y35" i="32"/>
  <c r="Z34" i="32"/>
  <c r="Y34" i="32"/>
  <c r="Z33" i="32"/>
  <c r="Y33" i="32"/>
  <c r="Z32" i="32"/>
  <c r="Y32" i="32"/>
  <c r="Z31" i="32"/>
  <c r="Y31" i="32"/>
  <c r="Y30" i="32"/>
  <c r="Z29" i="32"/>
  <c r="Y29" i="32"/>
  <c r="Y28" i="32"/>
  <c r="Y19" i="32"/>
  <c r="Y18" i="32"/>
  <c r="Y17" i="32"/>
  <c r="Y16" i="32"/>
  <c r="Y15" i="32"/>
  <c r="Y14" i="32"/>
  <c r="Y13" i="32"/>
  <c r="Y12" i="32"/>
  <c r="Y11" i="32"/>
  <c r="Y10" i="32"/>
  <c r="Y9" i="32"/>
  <c r="Y8" i="32"/>
  <c r="X41" i="32"/>
  <c r="X42" i="32" s="1"/>
  <c r="X21" i="32"/>
  <c r="P57" i="17" l="1"/>
  <c r="Q56" i="17"/>
  <c r="Q55" i="17"/>
  <c r="Q54" i="17"/>
  <c r="Q53" i="17"/>
  <c r="O57" i="17"/>
  <c r="N57" i="17"/>
  <c r="M57" i="17"/>
  <c r="Q51" i="17"/>
  <c r="M22" i="17"/>
  <c r="N22" i="17"/>
  <c r="O22" i="17"/>
  <c r="P22" i="17"/>
  <c r="M23" i="17"/>
  <c r="N23" i="17"/>
  <c r="O23" i="17"/>
  <c r="P23" i="17"/>
  <c r="P28" i="17" s="1"/>
  <c r="Q23" i="17"/>
  <c r="M24" i="17"/>
  <c r="M28" i="17" s="1"/>
  <c r="N24" i="17"/>
  <c r="O24" i="17"/>
  <c r="P24" i="17"/>
  <c r="Q25" i="17"/>
  <c r="Q26" i="17"/>
  <c r="Q27" i="17"/>
  <c r="M31" i="17"/>
  <c r="Q31" i="17" s="1"/>
  <c r="N31" i="17"/>
  <c r="O31" i="17"/>
  <c r="P31" i="17"/>
  <c r="M32" i="17"/>
  <c r="N32" i="17"/>
  <c r="O32" i="17"/>
  <c r="O37" i="17" s="1"/>
  <c r="P32" i="17"/>
  <c r="M33" i="17"/>
  <c r="N33" i="17"/>
  <c r="O33" i="17"/>
  <c r="P33" i="17"/>
  <c r="Q34" i="17"/>
  <c r="Q35" i="17"/>
  <c r="Q36" i="17"/>
  <c r="Q52" i="17" l="1"/>
  <c r="Q22" i="17"/>
  <c r="Q32" i="17"/>
  <c r="N37" i="17"/>
  <c r="P37" i="17"/>
  <c r="Q33" i="17"/>
  <c r="M37" i="17"/>
  <c r="O28" i="17"/>
  <c r="Q24" i="17"/>
  <c r="N28" i="17"/>
  <c r="L50" i="9" l="1"/>
  <c r="I17" i="17" l="1"/>
  <c r="I16" i="17"/>
  <c r="I15" i="17"/>
  <c r="I14" i="17"/>
  <c r="I13" i="17"/>
  <c r="G26" i="9" l="1"/>
  <c r="E11" i="38" l="1"/>
  <c r="D11" i="38"/>
  <c r="C11" i="38"/>
  <c r="C463" i="38" l="1"/>
  <c r="C462" i="38"/>
  <c r="C461" i="38"/>
  <c r="C460" i="38"/>
  <c r="C455" i="38"/>
  <c r="B463" i="38" s="1"/>
  <c r="C454" i="38"/>
  <c r="B462" i="38" s="1"/>
  <c r="C453" i="38"/>
  <c r="B461" i="38" s="1"/>
  <c r="C452" i="38"/>
  <c r="C447" i="38"/>
  <c r="B455" i="38" s="1"/>
  <c r="C446" i="38"/>
  <c r="C445" i="38"/>
  <c r="C444" i="38"/>
  <c r="C439" i="38"/>
  <c r="B447" i="38" s="1"/>
  <c r="D447" i="38" s="1"/>
  <c r="E447" i="38" s="1"/>
  <c r="C438" i="38"/>
  <c r="B446" i="38" s="1"/>
  <c r="C437" i="38"/>
  <c r="B445" i="38" s="1"/>
  <c r="C436" i="38"/>
  <c r="B444" i="38" s="1"/>
  <c r="D444" i="38" s="1"/>
  <c r="C431" i="38"/>
  <c r="B439" i="38" s="1"/>
  <c r="C430" i="38"/>
  <c r="C429" i="38"/>
  <c r="B438" i="38"/>
  <c r="B437" i="38"/>
  <c r="C428" i="38"/>
  <c r="C423" i="38"/>
  <c r="B431" i="38" s="1"/>
  <c r="D431" i="38" s="1"/>
  <c r="E431" i="38" s="1"/>
  <c r="C422" i="38"/>
  <c r="B430" i="38" s="1"/>
  <c r="D430" i="38" s="1"/>
  <c r="E430" i="38" s="1"/>
  <c r="C421" i="38"/>
  <c r="C420" i="38"/>
  <c r="B423" i="38"/>
  <c r="B422" i="38"/>
  <c r="B421" i="38"/>
  <c r="B420" i="38"/>
  <c r="B454" i="38"/>
  <c r="B453" i="38"/>
  <c r="B452" i="38"/>
  <c r="B429" i="38"/>
  <c r="B428" i="38"/>
  <c r="C456" i="38" l="1"/>
  <c r="D452" i="38"/>
  <c r="E452" i="38" s="1"/>
  <c r="C448" i="38"/>
  <c r="D463" i="38"/>
  <c r="E463" i="38" s="1"/>
  <c r="D462" i="38"/>
  <c r="E462" i="38" s="1"/>
  <c r="C464" i="38"/>
  <c r="D461" i="38"/>
  <c r="E461" i="38" s="1"/>
  <c r="D455" i="38"/>
  <c r="E455" i="38" s="1"/>
  <c r="D453" i="38"/>
  <c r="E453" i="38" s="1"/>
  <c r="B460" i="38"/>
  <c r="B464" i="38" s="1"/>
  <c r="B456" i="38"/>
  <c r="D454" i="38"/>
  <c r="E454" i="38" s="1"/>
  <c r="D446" i="38"/>
  <c r="E446" i="38" s="1"/>
  <c r="B448" i="38"/>
  <c r="D438" i="38"/>
  <c r="E438" i="38" s="1"/>
  <c r="D437" i="38"/>
  <c r="E437" i="38" s="1"/>
  <c r="C440" i="38"/>
  <c r="C432" i="38"/>
  <c r="D439" i="38"/>
  <c r="E439" i="38" s="1"/>
  <c r="D429" i="38"/>
  <c r="E429" i="38" s="1"/>
  <c r="B436" i="38"/>
  <c r="D436" i="38" s="1"/>
  <c r="E436" i="38" s="1"/>
  <c r="E444" i="38"/>
  <c r="D445" i="38"/>
  <c r="E445" i="38" s="1"/>
  <c r="B440" i="38"/>
  <c r="B432" i="38"/>
  <c r="D428" i="38"/>
  <c r="D432" i="38" s="1"/>
  <c r="D460" i="38" l="1"/>
  <c r="D464" i="38" s="1"/>
  <c r="E464" i="38" s="1"/>
  <c r="E432" i="38"/>
  <c r="D456" i="38"/>
  <c r="E456" i="38" s="1"/>
  <c r="D440" i="38"/>
  <c r="E440" i="38" s="1"/>
  <c r="D448" i="38"/>
  <c r="E448" i="38" s="1"/>
  <c r="E428" i="38"/>
  <c r="E460" i="38" l="1"/>
  <c r="C415" i="38"/>
  <c r="D423" i="38" s="1"/>
  <c r="E423" i="38" s="1"/>
  <c r="C414" i="38"/>
  <c r="D422" i="38" s="1"/>
  <c r="E422" i="38" s="1"/>
  <c r="C413" i="38"/>
  <c r="C412" i="38"/>
  <c r="C411" i="38"/>
  <c r="C410" i="38"/>
  <c r="C405" i="38"/>
  <c r="B415" i="38" s="1"/>
  <c r="C404" i="38"/>
  <c r="C403" i="38"/>
  <c r="B413" i="38" s="1"/>
  <c r="C402" i="38"/>
  <c r="C400" i="38"/>
  <c r="B410" i="38" s="1"/>
  <c r="C395" i="38"/>
  <c r="B405" i="38" s="1"/>
  <c r="C394" i="38"/>
  <c r="B404" i="38" s="1"/>
  <c r="C393" i="38"/>
  <c r="B403" i="38" s="1"/>
  <c r="C392" i="38"/>
  <c r="C391" i="38"/>
  <c r="B401" i="38" s="1"/>
  <c r="C390" i="38"/>
  <c r="C385" i="38"/>
  <c r="B395" i="38" s="1"/>
  <c r="C384" i="38"/>
  <c r="C383" i="38"/>
  <c r="B393" i="38" s="1"/>
  <c r="C382" i="38"/>
  <c r="B392" i="38" s="1"/>
  <c r="C381" i="38"/>
  <c r="B381" i="38"/>
  <c r="C380" i="38"/>
  <c r="B390" i="38" s="1"/>
  <c r="C375" i="38"/>
  <c r="B385" i="38" s="1"/>
  <c r="C374" i="38"/>
  <c r="B384" i="38" s="1"/>
  <c r="C373" i="38"/>
  <c r="B383" i="38" s="1"/>
  <c r="C372" i="38"/>
  <c r="B382" i="38" s="1"/>
  <c r="C371" i="38"/>
  <c r="C370" i="38"/>
  <c r="C365" i="38"/>
  <c r="B375" i="38" s="1"/>
  <c r="C363" i="38"/>
  <c r="C362" i="38"/>
  <c r="C361" i="38"/>
  <c r="B371" i="38" s="1"/>
  <c r="B365" i="38"/>
  <c r="B364" i="38"/>
  <c r="B363" i="38"/>
  <c r="B362" i="38"/>
  <c r="B361" i="38"/>
  <c r="B360" i="38"/>
  <c r="B18" i="38"/>
  <c r="B10" i="38"/>
  <c r="B12" i="38" s="1"/>
  <c r="I18" i="38"/>
  <c r="H18" i="38"/>
  <c r="G18" i="38"/>
  <c r="F18" i="38"/>
  <c r="E18" i="38"/>
  <c r="D18" i="38"/>
  <c r="C18" i="38"/>
  <c r="D385" i="38" l="1"/>
  <c r="E385" i="38" s="1"/>
  <c r="D415" i="38"/>
  <c r="E415" i="38" s="1"/>
  <c r="D405" i="38"/>
  <c r="E405" i="38" s="1"/>
  <c r="C386" i="38"/>
  <c r="D365" i="38"/>
  <c r="E365" i="38" s="1"/>
  <c r="D382" i="38"/>
  <c r="E382" i="38" s="1"/>
  <c r="D390" i="38"/>
  <c r="D384" i="38"/>
  <c r="E384" i="38" s="1"/>
  <c r="D403" i="38"/>
  <c r="E403" i="38" s="1"/>
  <c r="D413" i="38"/>
  <c r="E413" i="38" s="1"/>
  <c r="B424" i="38"/>
  <c r="D420" i="38"/>
  <c r="B380" i="38"/>
  <c r="D380" i="38" s="1"/>
  <c r="E380" i="38" s="1"/>
  <c r="B400" i="38"/>
  <c r="D400" i="38" s="1"/>
  <c r="E400" i="38" s="1"/>
  <c r="D404" i="38"/>
  <c r="E404" i="38" s="1"/>
  <c r="D371" i="38"/>
  <c r="E371" i="38" s="1"/>
  <c r="D362" i="38"/>
  <c r="E362" i="38" s="1"/>
  <c r="D375" i="38"/>
  <c r="E375" i="38" s="1"/>
  <c r="B19" i="38"/>
  <c r="B394" i="38"/>
  <c r="D394" i="38" s="1"/>
  <c r="E394" i="38" s="1"/>
  <c r="D410" i="38"/>
  <c r="E410" i="38" s="1"/>
  <c r="D361" i="38"/>
  <c r="E361" i="38" s="1"/>
  <c r="D363" i="38"/>
  <c r="E363" i="38" s="1"/>
  <c r="D383" i="38"/>
  <c r="E383" i="38" s="1"/>
  <c r="B391" i="38"/>
  <c r="D395" i="38"/>
  <c r="E395" i="38" s="1"/>
  <c r="B372" i="38"/>
  <c r="B373" i="38"/>
  <c r="D373" i="38" s="1"/>
  <c r="D392" i="38"/>
  <c r="E392" i="38" s="1"/>
  <c r="B412" i="38"/>
  <c r="D412" i="38" s="1"/>
  <c r="E412" i="38" s="1"/>
  <c r="B386" i="38"/>
  <c r="B366" i="38"/>
  <c r="C376" i="38"/>
  <c r="D393" i="38"/>
  <c r="E393" i="38" s="1"/>
  <c r="B414" i="38"/>
  <c r="D414" i="38" s="1"/>
  <c r="D381" i="38"/>
  <c r="B402" i="38"/>
  <c r="C416" i="38"/>
  <c r="C396" i="38"/>
  <c r="E390" i="38"/>
  <c r="C401" i="38"/>
  <c r="B411" i="38" s="1"/>
  <c r="D411" i="38" s="1"/>
  <c r="E411" i="38" s="1"/>
  <c r="B396" i="38" l="1"/>
  <c r="C406" i="38"/>
  <c r="B406" i="38"/>
  <c r="B416" i="38"/>
  <c r="E420" i="38"/>
  <c r="D391" i="38"/>
  <c r="E391" i="38" s="1"/>
  <c r="D401" i="38"/>
  <c r="E401" i="38" s="1"/>
  <c r="E414" i="38"/>
  <c r="D416" i="38"/>
  <c r="E373" i="38"/>
  <c r="D386" i="38"/>
  <c r="E386" i="38" s="1"/>
  <c r="E381" i="38"/>
  <c r="D402" i="38"/>
  <c r="D372" i="38"/>
  <c r="E372" i="38" s="1"/>
  <c r="I10" i="38"/>
  <c r="H10" i="38"/>
  <c r="G10" i="38"/>
  <c r="F10" i="38"/>
  <c r="E10" i="38"/>
  <c r="D10" i="38"/>
  <c r="D12" i="38" s="1"/>
  <c r="D19" i="38" s="1"/>
  <c r="C364" i="38"/>
  <c r="I19" i="38" l="1"/>
  <c r="I12" i="38"/>
  <c r="H19" i="38"/>
  <c r="H12" i="38"/>
  <c r="G12" i="38"/>
  <c r="G19" i="38" s="1"/>
  <c r="F12" i="38"/>
  <c r="F19" i="38" s="1"/>
  <c r="E12" i="38"/>
  <c r="E19" i="38" s="1"/>
  <c r="D421" i="38"/>
  <c r="C424" i="38"/>
  <c r="B374" i="38"/>
  <c r="D374" i="38" s="1"/>
  <c r="E374" i="38" s="1"/>
  <c r="D364" i="38"/>
  <c r="E364" i="38" s="1"/>
  <c r="D396" i="38"/>
  <c r="E396" i="38" s="1"/>
  <c r="C10" i="38"/>
  <c r="C360" i="38"/>
  <c r="E416" i="38"/>
  <c r="E402" i="38"/>
  <c r="D406" i="38"/>
  <c r="E406" i="38" s="1"/>
  <c r="D354" i="38"/>
  <c r="D355" i="38" s="1"/>
  <c r="A346" i="38"/>
  <c r="A347" i="38"/>
  <c r="C12" i="38" l="1"/>
  <c r="C19" i="38" s="1"/>
  <c r="B370" i="38"/>
  <c r="D360" i="38"/>
  <c r="C366" i="38"/>
  <c r="E421" i="38"/>
  <c r="D424" i="38"/>
  <c r="E424" i="38" s="1"/>
  <c r="E360" i="38" l="1"/>
  <c r="D366" i="38"/>
  <c r="E366" i="38" s="1"/>
  <c r="D370" i="38"/>
  <c r="B376" i="38"/>
  <c r="E370" i="38" l="1"/>
  <c r="D376" i="38"/>
  <c r="E376" i="38" s="1"/>
  <c r="M22" i="9"/>
  <c r="M25" i="9" l="1"/>
  <c r="L134" i="7"/>
  <c r="L133" i="7"/>
  <c r="L132" i="7"/>
  <c r="L131" i="7"/>
  <c r="L130" i="7"/>
  <c r="L128" i="7"/>
  <c r="L127" i="7"/>
  <c r="L129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P6" i="17"/>
  <c r="P5" i="17"/>
  <c r="P4" i="17"/>
  <c r="O6" i="17"/>
  <c r="O5" i="17"/>
  <c r="O4" i="17"/>
  <c r="N6" i="17"/>
  <c r="N5" i="17"/>
  <c r="N4" i="17"/>
  <c r="M36" i="9"/>
  <c r="M37" i="9"/>
  <c r="M54" i="9" s="1"/>
  <c r="M38" i="9"/>
  <c r="M39" i="9"/>
  <c r="M40" i="9"/>
  <c r="Q18" i="17"/>
  <c r="Q17" i="17"/>
  <c r="Q16" i="17"/>
  <c r="Q15" i="17"/>
  <c r="Q14" i="17"/>
  <c r="P19" i="17"/>
  <c r="O19" i="17"/>
  <c r="N19" i="17"/>
  <c r="Q13" i="17"/>
  <c r="D37" i="18"/>
  <c r="C37" i="18"/>
  <c r="C347" i="38" s="1"/>
  <c r="B37" i="18"/>
  <c r="B347" i="38" s="1"/>
  <c r="D36" i="18"/>
  <c r="D346" i="38" s="1"/>
  <c r="C36" i="18"/>
  <c r="C346" i="38" s="1"/>
  <c r="B36" i="18"/>
  <c r="B346" i="38" s="1"/>
  <c r="G25" i="17"/>
  <c r="G26" i="17"/>
  <c r="G27" i="17"/>
  <c r="G28" i="17"/>
  <c r="G29" i="17"/>
  <c r="M57" i="9" l="1"/>
  <c r="M55" i="9"/>
  <c r="D347" i="38"/>
  <c r="M56" i="9"/>
  <c r="M19" i="17"/>
  <c r="M6" i="17"/>
  <c r="M5" i="17"/>
  <c r="M4" i="17"/>
  <c r="O10" i="17"/>
  <c r="Q9" i="17"/>
  <c r="Q8" i="17"/>
  <c r="Q7" i="17"/>
  <c r="M10" i="17" l="1"/>
  <c r="F249" i="38"/>
  <c r="Q6" i="17"/>
  <c r="P10" i="17"/>
  <c r="Q5" i="17"/>
  <c r="N10" i="17"/>
  <c r="Q4" i="17"/>
  <c r="V623" i="38" l="1"/>
  <c r="V622" i="38"/>
  <c r="V621" i="38"/>
  <c r="V620" i="38"/>
  <c r="V619" i="38"/>
  <c r="V618" i="38"/>
  <c r="X609" i="38"/>
  <c r="Z609" i="38" s="1"/>
  <c r="AB609" i="38" s="1"/>
  <c r="AD609" i="38" s="1"/>
  <c r="W609" i="38"/>
  <c r="Y609" i="38" s="1"/>
  <c r="AA609" i="38" s="1"/>
  <c r="AC609" i="38" s="1"/>
  <c r="V604" i="38"/>
  <c r="V603" i="38"/>
  <c r="V602" i="38"/>
  <c r="V601" i="38"/>
  <c r="V600" i="38"/>
  <c r="V599" i="38"/>
  <c r="X590" i="38"/>
  <c r="Z590" i="38" s="1"/>
  <c r="AB590" i="38" s="1"/>
  <c r="AD590" i="38" s="1"/>
  <c r="W590" i="38"/>
  <c r="Y590" i="38" s="1"/>
  <c r="AA590" i="38" s="1"/>
  <c r="AC590" i="38" s="1"/>
  <c r="V585" i="38"/>
  <c r="V584" i="38"/>
  <c r="V583" i="38"/>
  <c r="V582" i="38"/>
  <c r="V581" i="38"/>
  <c r="V580" i="38"/>
  <c r="X571" i="38"/>
  <c r="Z571" i="38" s="1"/>
  <c r="AB571" i="38" s="1"/>
  <c r="AD571" i="38" s="1"/>
  <c r="W571" i="38"/>
  <c r="Y571" i="38" s="1"/>
  <c r="AA571" i="38" s="1"/>
  <c r="AC571" i="38" s="1"/>
  <c r="V566" i="38"/>
  <c r="V565" i="38"/>
  <c r="V564" i="38"/>
  <c r="V563" i="38"/>
  <c r="V562" i="38"/>
  <c r="V561" i="38"/>
  <c r="X552" i="38"/>
  <c r="Z552" i="38" s="1"/>
  <c r="AB552" i="38" s="1"/>
  <c r="AD552" i="38" s="1"/>
  <c r="W552" i="38"/>
  <c r="Y552" i="38" s="1"/>
  <c r="AA552" i="38" s="1"/>
  <c r="AC552" i="38" s="1"/>
  <c r="V547" i="38"/>
  <c r="V546" i="38"/>
  <c r="V545" i="38"/>
  <c r="V544" i="38"/>
  <c r="V543" i="38"/>
  <c r="V542" i="38"/>
  <c r="X533" i="38"/>
  <c r="Z533" i="38" s="1"/>
  <c r="AB533" i="38" s="1"/>
  <c r="AD533" i="38" s="1"/>
  <c r="W533" i="38"/>
  <c r="Y533" i="38" s="1"/>
  <c r="AA533" i="38" s="1"/>
  <c r="AC533" i="38" s="1"/>
  <c r="V524" i="38"/>
  <c r="V525" i="38"/>
  <c r="V526" i="38"/>
  <c r="V527" i="38"/>
  <c r="V528" i="38"/>
  <c r="V523" i="38"/>
  <c r="W520" i="38"/>
  <c r="Y520" i="38" s="1"/>
  <c r="W519" i="38"/>
  <c r="W518" i="38"/>
  <c r="Y518" i="38" s="1"/>
  <c r="W517" i="38"/>
  <c r="Y517" i="38" s="1"/>
  <c r="W516" i="38"/>
  <c r="Y516" i="38" s="1"/>
  <c r="W515" i="38"/>
  <c r="Y515" i="38" s="1"/>
  <c r="X514" i="38"/>
  <c r="Z514" i="38" s="1"/>
  <c r="AB514" i="38" s="1"/>
  <c r="AD514" i="38" s="1"/>
  <c r="W514" i="38"/>
  <c r="Y514" i="38" s="1"/>
  <c r="AA514" i="38" s="1"/>
  <c r="AC514" i="38" s="1"/>
  <c r="T520" i="38"/>
  <c r="T519" i="38"/>
  <c r="T518" i="38"/>
  <c r="T517" i="38"/>
  <c r="T516" i="38"/>
  <c r="T515" i="38"/>
  <c r="L509" i="38"/>
  <c r="L508" i="38"/>
  <c r="L507" i="38"/>
  <c r="N467" i="38"/>
  <c r="O467" i="38"/>
  <c r="P467" i="38"/>
  <c r="Q467" i="38"/>
  <c r="R467" i="38"/>
  <c r="M467" i="38"/>
  <c r="A334" i="38"/>
  <c r="A335" i="38"/>
  <c r="A336" i="38"/>
  <c r="A337" i="38"/>
  <c r="A338" i="38"/>
  <c r="A339" i="38"/>
  <c r="A332" i="38"/>
  <c r="A352" i="38" s="1"/>
  <c r="A345" i="38"/>
  <c r="A344" i="38"/>
  <c r="A343" i="38"/>
  <c r="A342" i="38"/>
  <c r="A341" i="38"/>
  <c r="A340" i="38"/>
  <c r="AC518" i="38" l="1"/>
  <c r="AC520" i="38"/>
  <c r="AA519" i="38"/>
  <c r="AC517" i="38"/>
  <c r="AA518" i="38"/>
  <c r="AC515" i="38"/>
  <c r="AC516" i="38"/>
  <c r="T521" i="38"/>
  <c r="AA516" i="38"/>
  <c r="Y519" i="38"/>
  <c r="AC519" i="38" s="1"/>
  <c r="AA515" i="38"/>
  <c r="AA517" i="38"/>
  <c r="AA520" i="38"/>
  <c r="C316" i="38" l="1"/>
  <c r="D316" i="38"/>
  <c r="C317" i="38"/>
  <c r="D317" i="38"/>
  <c r="C318" i="38"/>
  <c r="D318" i="38"/>
  <c r="C319" i="38"/>
  <c r="D319" i="38"/>
  <c r="C320" i="38"/>
  <c r="D320" i="38"/>
  <c r="C321" i="38"/>
  <c r="D321" i="38"/>
  <c r="C322" i="38"/>
  <c r="D322" i="38"/>
  <c r="C323" i="38"/>
  <c r="D323" i="38"/>
  <c r="C324" i="38"/>
  <c r="D324" i="38"/>
  <c r="C325" i="38"/>
  <c r="D325" i="38"/>
  <c r="C326" i="38"/>
  <c r="D326" i="38"/>
  <c r="C327" i="38"/>
  <c r="D327" i="38"/>
  <c r="C328" i="38"/>
  <c r="D328" i="38"/>
  <c r="C329" i="38"/>
  <c r="D329" i="38"/>
  <c r="B317" i="38"/>
  <c r="B318" i="38"/>
  <c r="B319" i="38"/>
  <c r="B320" i="38"/>
  <c r="B321" i="38"/>
  <c r="B322" i="38"/>
  <c r="B323" i="38"/>
  <c r="B324" i="38"/>
  <c r="B325" i="38"/>
  <c r="B326" i="38"/>
  <c r="B327" i="38"/>
  <c r="B328" i="38"/>
  <c r="B329" i="38"/>
  <c r="B316" i="38"/>
  <c r="E313" i="38"/>
  <c r="E325" i="38" l="1"/>
  <c r="E316" i="38"/>
  <c r="E324" i="38"/>
  <c r="I313" i="38"/>
  <c r="E352" i="38"/>
  <c r="E317" i="38"/>
  <c r="E329" i="38"/>
  <c r="E321" i="38"/>
  <c r="E328" i="38"/>
  <c r="E327" i="38"/>
  <c r="E323" i="38"/>
  <c r="E319" i="38"/>
  <c r="E320" i="38"/>
  <c r="E326" i="38"/>
  <c r="E322" i="38"/>
  <c r="E318" i="38"/>
  <c r="C255" i="38" l="1"/>
  <c r="D255" i="38"/>
  <c r="E255" i="38"/>
  <c r="F255" i="38"/>
  <c r="G255" i="38"/>
  <c r="B255" i="38"/>
  <c r="F231" i="38"/>
  <c r="F232" i="38"/>
  <c r="A212" i="38"/>
  <c r="A213" i="38"/>
  <c r="A214" i="38"/>
  <c r="A215" i="38"/>
  <c r="B194" i="38"/>
  <c r="C194" i="38"/>
  <c r="D194" i="38"/>
  <c r="E194" i="38"/>
  <c r="F194" i="38"/>
  <c r="G194" i="38"/>
  <c r="B195" i="38"/>
  <c r="C195" i="38"/>
  <c r="D195" i="38"/>
  <c r="E195" i="38"/>
  <c r="F195" i="38"/>
  <c r="G195" i="38"/>
  <c r="B196" i="38"/>
  <c r="C196" i="38"/>
  <c r="D196" i="38"/>
  <c r="E196" i="38"/>
  <c r="F196" i="38"/>
  <c r="G196" i="38"/>
  <c r="B197" i="38"/>
  <c r="C197" i="38"/>
  <c r="D197" i="38"/>
  <c r="E197" i="38"/>
  <c r="F197" i="38"/>
  <c r="G197" i="38"/>
  <c r="B198" i="38"/>
  <c r="C198" i="38"/>
  <c r="D198" i="38"/>
  <c r="E198" i="38"/>
  <c r="F198" i="38"/>
  <c r="G198" i="38"/>
  <c r="B199" i="38"/>
  <c r="C199" i="38"/>
  <c r="D199" i="38"/>
  <c r="E199" i="38"/>
  <c r="F199" i="38"/>
  <c r="G199" i="38"/>
  <c r="B200" i="38"/>
  <c r="C200" i="38"/>
  <c r="D200" i="38"/>
  <c r="E200" i="38"/>
  <c r="F200" i="38"/>
  <c r="G200" i="38"/>
  <c r="B201" i="38"/>
  <c r="C201" i="38"/>
  <c r="D201" i="38"/>
  <c r="E201" i="38"/>
  <c r="F201" i="38"/>
  <c r="G201" i="38"/>
  <c r="B202" i="38"/>
  <c r="C202" i="38"/>
  <c r="D202" i="38"/>
  <c r="E202" i="38"/>
  <c r="F202" i="38"/>
  <c r="G202" i="38"/>
  <c r="B203" i="38"/>
  <c r="C203" i="38"/>
  <c r="D203" i="38"/>
  <c r="E203" i="38"/>
  <c r="F203" i="38"/>
  <c r="G203" i="38"/>
  <c r="B204" i="38"/>
  <c r="C204" i="38"/>
  <c r="D204" i="38"/>
  <c r="E204" i="38"/>
  <c r="F204" i="38"/>
  <c r="G204" i="38"/>
  <c r="B205" i="38"/>
  <c r="C205" i="38"/>
  <c r="D205" i="38"/>
  <c r="E205" i="38"/>
  <c r="F205" i="38"/>
  <c r="G205" i="38"/>
  <c r="B206" i="38"/>
  <c r="C206" i="38"/>
  <c r="D206" i="38"/>
  <c r="E206" i="38"/>
  <c r="F206" i="38"/>
  <c r="G206" i="38"/>
  <c r="C193" i="38"/>
  <c r="D193" i="38"/>
  <c r="E193" i="38"/>
  <c r="F193" i="38"/>
  <c r="G193" i="38"/>
  <c r="B193" i="38"/>
  <c r="A241" i="38"/>
  <c r="A232" i="38"/>
  <c r="A244" i="38" s="1"/>
  <c r="A250" i="38" s="1"/>
  <c r="A231" i="38"/>
  <c r="A243" i="38" s="1"/>
  <c r="A249" i="38" s="1"/>
  <c r="A229" i="38"/>
  <c r="A247" i="38" s="1"/>
  <c r="A298" i="38" s="1"/>
  <c r="A218" i="38"/>
  <c r="A217" i="38"/>
  <c r="A216" i="38"/>
  <c r="A225" i="38"/>
  <c r="A224" i="38"/>
  <c r="A223" i="38"/>
  <c r="A222" i="38"/>
  <c r="A221" i="38"/>
  <c r="A220" i="38"/>
  <c r="A219" i="38"/>
  <c r="C166" i="38"/>
  <c r="C161" i="38"/>
  <c r="C162" i="38"/>
  <c r="C163" i="38"/>
  <c r="C164" i="38"/>
  <c r="C165" i="38"/>
  <c r="C160" i="38"/>
  <c r="A160" i="38"/>
  <c r="A165" i="38"/>
  <c r="A161" i="38"/>
  <c r="A162" i="38"/>
  <c r="A163" i="38"/>
  <c r="A164" i="38"/>
  <c r="C157" i="38"/>
  <c r="C156" i="38"/>
  <c r="C155" i="38"/>
  <c r="C140" i="38"/>
  <c r="D140" i="38"/>
  <c r="E140" i="38"/>
  <c r="C141" i="38"/>
  <c r="D141" i="38"/>
  <c r="E141" i="38"/>
  <c r="C142" i="38"/>
  <c r="D142" i="38"/>
  <c r="E142" i="38"/>
  <c r="C143" i="38"/>
  <c r="D143" i="38"/>
  <c r="E143" i="38"/>
  <c r="C144" i="38"/>
  <c r="D144" i="38"/>
  <c r="E144" i="38"/>
  <c r="D145" i="38"/>
  <c r="E145" i="38"/>
  <c r="D146" i="38"/>
  <c r="E146" i="38"/>
  <c r="D147" i="38"/>
  <c r="E147" i="38"/>
  <c r="D148" i="38"/>
  <c r="E148" i="38"/>
  <c r="E149" i="38"/>
  <c r="A141" i="38"/>
  <c r="A142" i="38"/>
  <c r="A143" i="38"/>
  <c r="A144" i="38"/>
  <c r="A145" i="38"/>
  <c r="A146" i="38"/>
  <c r="A147" i="38"/>
  <c r="A148" i="38"/>
  <c r="A149" i="38"/>
  <c r="A150" i="38"/>
  <c r="A151" i="38"/>
  <c r="A152" i="38"/>
  <c r="A140" i="38"/>
  <c r="F225" i="38" l="1"/>
  <c r="F217" i="38"/>
  <c r="E223" i="38"/>
  <c r="G222" i="38"/>
  <c r="C222" i="38"/>
  <c r="E219" i="38"/>
  <c r="G218" i="38"/>
  <c r="C218" i="38"/>
  <c r="E215" i="38"/>
  <c r="G214" i="38"/>
  <c r="B224" i="38"/>
  <c r="D223" i="38"/>
  <c r="D215" i="38"/>
  <c r="D225" i="38"/>
  <c r="F222" i="38"/>
  <c r="B222" i="38"/>
  <c r="D221" i="38"/>
  <c r="F221" i="38"/>
  <c r="B220" i="38"/>
  <c r="D219" i="38"/>
  <c r="F218" i="38"/>
  <c r="B218" i="38"/>
  <c r="D217" i="38"/>
  <c r="B216" i="38"/>
  <c r="F214" i="38"/>
  <c r="B214" i="38"/>
  <c r="F213" i="38"/>
  <c r="D213" i="38"/>
  <c r="G225" i="38"/>
  <c r="C225" i="38"/>
  <c r="E225" i="38"/>
  <c r="G223" i="38"/>
  <c r="C223" i="38"/>
  <c r="E222" i="38"/>
  <c r="G221" i="38"/>
  <c r="C221" i="38"/>
  <c r="E220" i="38"/>
  <c r="G219" i="38"/>
  <c r="C220" i="38"/>
  <c r="E218" i="38"/>
  <c r="G217" i="38"/>
  <c r="C217" i="38"/>
  <c r="E216" i="38"/>
  <c r="G215" i="38"/>
  <c r="C216" i="38"/>
  <c r="E214" i="38"/>
  <c r="G213" i="38"/>
  <c r="C213" i="38"/>
  <c r="E213" i="38"/>
  <c r="B225" i="38"/>
  <c r="D224" i="38"/>
  <c r="F223" i="38"/>
  <c r="B223" i="38"/>
  <c r="D222" i="38"/>
  <c r="B221" i="38"/>
  <c r="D220" i="38"/>
  <c r="F219" i="38"/>
  <c r="B219" i="38"/>
  <c r="D218" i="38"/>
  <c r="B217" i="38"/>
  <c r="D216" i="38"/>
  <c r="F215" i="38"/>
  <c r="B215" i="38"/>
  <c r="D214" i="38"/>
  <c r="B213" i="38"/>
  <c r="G224" i="38"/>
  <c r="C224" i="38"/>
  <c r="G220" i="38"/>
  <c r="G216" i="38"/>
  <c r="F224" i="38"/>
  <c r="E221" i="38"/>
  <c r="F220" i="38"/>
  <c r="C219" i="38"/>
  <c r="E217" i="38"/>
  <c r="F216" i="38"/>
  <c r="C215" i="38"/>
  <c r="H193" i="38"/>
  <c r="H195" i="38"/>
  <c r="E224" i="38"/>
  <c r="C214" i="38"/>
  <c r="H203" i="38"/>
  <c r="H199" i="38"/>
  <c r="H205" i="38"/>
  <c r="H201" i="38"/>
  <c r="H197" i="38"/>
  <c r="H206" i="38"/>
  <c r="H204" i="38"/>
  <c r="H202" i="38"/>
  <c r="H200" i="38"/>
  <c r="H198" i="38"/>
  <c r="H196" i="38"/>
  <c r="H194" i="38"/>
  <c r="H95" i="38" l="1"/>
  <c r="A105" i="38"/>
  <c r="A106" i="38"/>
  <c r="A107" i="38"/>
  <c r="A108" i="38"/>
  <c r="C83" i="38"/>
  <c r="D83" i="38"/>
  <c r="E83" i="38"/>
  <c r="F83" i="38"/>
  <c r="G83" i="38"/>
  <c r="H83" i="38"/>
  <c r="H191" i="38" s="1"/>
  <c r="F74" i="38"/>
  <c r="F131" i="38" s="1"/>
  <c r="G74" i="38"/>
  <c r="G131" i="38" s="1"/>
  <c r="E74" i="38"/>
  <c r="E131" i="38" s="1"/>
  <c r="D74" i="38"/>
  <c r="C74" i="38"/>
  <c r="C131" i="38" s="1"/>
  <c r="B74" i="38"/>
  <c r="B131" i="38" s="1"/>
  <c r="A48" i="38"/>
  <c r="A84" i="38" s="1"/>
  <c r="A49" i="38"/>
  <c r="A64" i="38" s="1"/>
  <c r="A121" i="38" s="1"/>
  <c r="A50" i="38"/>
  <c r="A86" i="38" s="1"/>
  <c r="A51" i="38"/>
  <c r="A66" i="38" s="1"/>
  <c r="A123" i="38" s="1"/>
  <c r="F191" i="38" l="1"/>
  <c r="F229" i="38" s="1"/>
  <c r="F103" i="38"/>
  <c r="E191" i="38"/>
  <c r="E229" i="38" s="1"/>
  <c r="E103" i="38"/>
  <c r="G191" i="38"/>
  <c r="G210" i="38" s="1"/>
  <c r="G103" i="38"/>
  <c r="C191" i="38"/>
  <c r="C210" i="38" s="1"/>
  <c r="C103" i="38"/>
  <c r="D191" i="38"/>
  <c r="D229" i="38" s="1"/>
  <c r="D103" i="38"/>
  <c r="H229" i="38"/>
  <c r="A87" i="38"/>
  <c r="A63" i="38"/>
  <c r="A120" i="38" s="1"/>
  <c r="H74" i="38"/>
  <c r="A85" i="38"/>
  <c r="D131" i="38"/>
  <c r="A65" i="38"/>
  <c r="A122" i="38" s="1"/>
  <c r="D210" i="38" l="1"/>
  <c r="F210" i="38"/>
  <c r="G229" i="38"/>
  <c r="G247" i="38" s="1"/>
  <c r="E210" i="38"/>
  <c r="C229" i="38"/>
  <c r="C235" i="38" s="1"/>
  <c r="C241" i="38" s="1"/>
  <c r="E235" i="38"/>
  <c r="E241" i="38" s="1"/>
  <c r="E247" i="38"/>
  <c r="D247" i="38"/>
  <c r="D235" i="38"/>
  <c r="D241" i="38" s="1"/>
  <c r="F247" i="38"/>
  <c r="F235" i="38"/>
  <c r="F241" i="38" s="1"/>
  <c r="H247" i="38"/>
  <c r="G235" i="38" l="1"/>
  <c r="G241" i="38" s="1"/>
  <c r="C247" i="38"/>
  <c r="C253" i="38" s="1"/>
  <c r="C286" i="38" s="1"/>
  <c r="E253" i="38"/>
  <c r="E298" i="38"/>
  <c r="K492" i="38" s="1"/>
  <c r="F253" i="38"/>
  <c r="F298" i="38"/>
  <c r="G253" i="38"/>
  <c r="G298" i="38"/>
  <c r="D253" i="38"/>
  <c r="D286" i="38" s="1"/>
  <c r="D298" i="38"/>
  <c r="K487" i="38" s="1"/>
  <c r="C298" i="38" l="1"/>
  <c r="K483" i="38" s="1"/>
  <c r="K502" i="38"/>
  <c r="D313" i="38"/>
  <c r="D332" i="38" s="1"/>
  <c r="D352" i="38" s="1"/>
  <c r="K497" i="38"/>
  <c r="H313" i="38" l="1"/>
  <c r="I225" i="7" l="1"/>
  <c r="J225" i="7"/>
  <c r="I226" i="7"/>
  <c r="J226" i="7"/>
  <c r="I227" i="7"/>
  <c r="J227" i="7"/>
  <c r="I228" i="7"/>
  <c r="J228" i="7"/>
  <c r="I229" i="7"/>
  <c r="J229" i="7"/>
  <c r="I230" i="7"/>
  <c r="J230" i="7"/>
  <c r="I231" i="7"/>
  <c r="J231" i="7"/>
  <c r="I232" i="7"/>
  <c r="J232" i="7"/>
  <c r="I233" i="7"/>
  <c r="J233" i="7"/>
  <c r="I234" i="7"/>
  <c r="J234" i="7"/>
  <c r="I235" i="7"/>
  <c r="J235" i="7"/>
  <c r="J224" i="7"/>
  <c r="I224" i="7"/>
  <c r="S513" i="38" l="1"/>
  <c r="S532" i="38" s="1"/>
  <c r="S551" i="38" s="1"/>
  <c r="S570" i="38" s="1"/>
  <c r="S589" i="38" s="1"/>
  <c r="S608" i="38" s="1"/>
  <c r="A118" i="38"/>
  <c r="A117" i="38"/>
  <c r="A116" i="38"/>
  <c r="A115" i="38"/>
  <c r="A114" i="38"/>
  <c r="A113" i="38"/>
  <c r="A112" i="38"/>
  <c r="A111" i="38"/>
  <c r="A110" i="38"/>
  <c r="A109" i="38"/>
  <c r="A83" i="38"/>
  <c r="A103" i="38" s="1"/>
  <c r="A79" i="38"/>
  <c r="A136" i="38" s="1"/>
  <c r="A288" i="38" s="1"/>
  <c r="A301" i="38" s="1"/>
  <c r="A304" i="38" s="1"/>
  <c r="A307" i="38" s="1"/>
  <c r="A310" i="38" s="1"/>
  <c r="A355" i="38" s="1"/>
  <c r="A78" i="38"/>
  <c r="A135" i="38" s="1"/>
  <c r="A287" i="38" s="1"/>
  <c r="A300" i="38" s="1"/>
  <c r="A303" i="38" s="1"/>
  <c r="A306" i="38" s="1"/>
  <c r="A309" i="38" s="1"/>
  <c r="A354" i="38" s="1"/>
  <c r="A74" i="38"/>
  <c r="A131" i="38" s="1"/>
  <c r="A61" i="38"/>
  <c r="A98" i="38" s="1"/>
  <c r="A60" i="38"/>
  <c r="A76" i="38" s="1"/>
  <c r="A133" i="38" s="1"/>
  <c r="A59" i="38"/>
  <c r="A96" i="38" s="1"/>
  <c r="A58" i="38"/>
  <c r="A73" i="38" s="1"/>
  <c r="A130" i="38" s="1"/>
  <c r="A57" i="38"/>
  <c r="A93" i="38" s="1"/>
  <c r="A56" i="38"/>
  <c r="A71" i="38" s="1"/>
  <c r="A128" i="38" s="1"/>
  <c r="A55" i="38"/>
  <c r="A91" i="38" s="1"/>
  <c r="A54" i="38"/>
  <c r="A69" i="38" s="1"/>
  <c r="A126" i="38" s="1"/>
  <c r="A53" i="38"/>
  <c r="A89" i="38" s="1"/>
  <c r="A52" i="38"/>
  <c r="A67" i="38" s="1"/>
  <c r="A124" i="38" s="1"/>
  <c r="B313" i="38"/>
  <c r="F313" i="38" l="1"/>
  <c r="B332" i="38"/>
  <c r="B352" i="38" s="1"/>
  <c r="A94" i="38"/>
  <c r="A97" i="38"/>
  <c r="A68" i="38"/>
  <c r="A125" i="38" s="1"/>
  <c r="A90" i="38"/>
  <c r="A72" i="38"/>
  <c r="A129" i="38" s="1"/>
  <c r="A75" i="38"/>
  <c r="A132" i="38" s="1"/>
  <c r="A70" i="38"/>
  <c r="A127" i="38" s="1"/>
  <c r="A77" i="38"/>
  <c r="A134" i="38" s="1"/>
  <c r="D291" i="38"/>
  <c r="A88" i="38"/>
  <c r="A92" i="38"/>
  <c r="A99" i="38"/>
  <c r="B83" i="38"/>
  <c r="B103" i="38" s="1"/>
  <c r="A95" i="38"/>
  <c r="C291" i="38"/>
  <c r="A100" i="38"/>
  <c r="C313" i="38"/>
  <c r="C332" i="38" l="1"/>
  <c r="C352" i="38" s="1"/>
  <c r="G313" i="38"/>
  <c r="B191" i="38"/>
  <c r="B229" i="38" l="1"/>
  <c r="B210" i="38"/>
  <c r="B235" i="38" l="1"/>
  <c r="B241" i="38" s="1"/>
  <c r="B247" i="38"/>
  <c r="B253" i="38" l="1"/>
  <c r="B286" i="38" s="1"/>
  <c r="B291" i="38" s="1"/>
  <c r="B298" i="38"/>
  <c r="K479" i="38" l="1"/>
  <c r="B280" i="38" l="1"/>
  <c r="B273" i="38"/>
  <c r="B266" i="38"/>
  <c r="B260" i="38"/>
  <c r="B262" i="38" s="1"/>
  <c r="C267" i="38" l="1"/>
  <c r="C274" i="38"/>
  <c r="C261" i="38"/>
  <c r="C281" i="38"/>
  <c r="B287" i="38"/>
  <c r="B268" i="38"/>
  <c r="D287" i="38"/>
  <c r="D306" i="38" s="1"/>
  <c r="B282" i="38"/>
  <c r="C287" i="38"/>
  <c r="C306" i="38" s="1"/>
  <c r="B275" i="38"/>
  <c r="E287" i="38" l="1"/>
  <c r="B306" i="38"/>
  <c r="H306" i="38" s="1"/>
  <c r="E152" i="38" l="1"/>
  <c r="D152" i="38"/>
  <c r="D151" i="38"/>
  <c r="D150" i="38"/>
  <c r="D149" i="38"/>
  <c r="E20" i="36" l="1"/>
  <c r="C260" i="38" s="1"/>
  <c r="C262" i="38" s="1"/>
  <c r="E150" i="38"/>
  <c r="E151" i="38"/>
  <c r="C266" i="38" l="1"/>
  <c r="B288" i="38" s="1"/>
  <c r="C273" i="38"/>
  <c r="C288" i="38" s="1"/>
  <c r="C307" i="38" s="1"/>
  <c r="C280" i="38"/>
  <c r="D288" i="38" s="1"/>
  <c r="D307" i="38" s="1"/>
  <c r="E22" i="36"/>
  <c r="Q47" i="17"/>
  <c r="Q46" i="17"/>
  <c r="Q45" i="17"/>
  <c r="P48" i="17"/>
  <c r="F17" i="36" l="1"/>
  <c r="C275" i="38"/>
  <c r="C292" i="38" s="1"/>
  <c r="C282" i="38"/>
  <c r="D292" i="38" s="1"/>
  <c r="C268" i="38"/>
  <c r="B292" i="38" s="1"/>
  <c r="B307" i="38"/>
  <c r="H307" i="38" s="1"/>
  <c r="E288" i="38"/>
  <c r="B212" i="7"/>
  <c r="B184" i="38" s="1"/>
  <c r="E292" i="38" l="1"/>
  <c r="C16" i="36"/>
  <c r="C152" i="38" s="1"/>
  <c r="C15" i="36"/>
  <c r="C151" i="38" s="1"/>
  <c r="C14" i="36"/>
  <c r="C150" i="38" s="1"/>
  <c r="C13" i="36"/>
  <c r="C149" i="38" s="1"/>
  <c r="C12" i="36"/>
  <c r="C148" i="38" s="1"/>
  <c r="C11" i="36"/>
  <c r="C147" i="38" s="1"/>
  <c r="C10" i="36"/>
  <c r="C146" i="38" s="1"/>
  <c r="C9" i="36"/>
  <c r="C145" i="38" s="1"/>
  <c r="C17" i="36" l="1"/>
  <c r="B16" i="36" l="1"/>
  <c r="B15" i="36"/>
  <c r="B151" i="38" l="1"/>
  <c r="F151" i="38" s="1"/>
  <c r="G15" i="36"/>
  <c r="B152" i="38"/>
  <c r="F152" i="38" s="1"/>
  <c r="G16" i="36"/>
  <c r="Q475" i="38"/>
  <c r="D17" i="36"/>
  <c r="E17" i="36"/>
  <c r="B14" i="36"/>
  <c r="G14" i="36" s="1"/>
  <c r="B13" i="36"/>
  <c r="G13" i="36" s="1"/>
  <c r="B12" i="36"/>
  <c r="G12" i="36" s="1"/>
  <c r="B11" i="36"/>
  <c r="G11" i="36" s="1"/>
  <c r="B10" i="36"/>
  <c r="G10" i="36" s="1"/>
  <c r="B9" i="36"/>
  <c r="G9" i="36" s="1"/>
  <c r="B8" i="36"/>
  <c r="G8" i="36" s="1"/>
  <c r="B7" i="36"/>
  <c r="G7" i="36" s="1"/>
  <c r="B6" i="36"/>
  <c r="G6" i="36" s="1"/>
  <c r="B5" i="36"/>
  <c r="G5" i="36" s="1"/>
  <c r="B4" i="36"/>
  <c r="G4" i="36" s="1"/>
  <c r="O15" i="36"/>
  <c r="B142" i="38" l="1"/>
  <c r="F142" i="38" s="1"/>
  <c r="B144" i="38"/>
  <c r="F144" i="38" s="1"/>
  <c r="B145" i="38"/>
  <c r="F145" i="38" s="1"/>
  <c r="B150" i="38"/>
  <c r="F150" i="38" s="1"/>
  <c r="B146" i="38"/>
  <c r="F146" i="38" s="1"/>
  <c r="B147" i="38"/>
  <c r="F147" i="38" s="1"/>
  <c r="B148" i="38"/>
  <c r="F148" i="38" s="1"/>
  <c r="B143" i="38"/>
  <c r="F143" i="38" s="1"/>
  <c r="B140" i="38"/>
  <c r="F140" i="38" s="1"/>
  <c r="B141" i="38"/>
  <c r="F141" i="38" s="1"/>
  <c r="B149" i="38"/>
  <c r="F149" i="38" s="1"/>
  <c r="B17" i="36"/>
  <c r="G17" i="36" l="1"/>
  <c r="P76" i="9"/>
  <c r="R475" i="38"/>
  <c r="H4" i="36"/>
  <c r="I4" i="36" s="1"/>
  <c r="H21" i="36" s="1"/>
  <c r="C39" i="40" l="1"/>
  <c r="C39" i="7"/>
  <c r="H22" i="36"/>
  <c r="C40" i="40" l="1"/>
  <c r="E40" i="40" s="1"/>
  <c r="C40" i="7"/>
  <c r="E39" i="40"/>
  <c r="H23" i="36"/>
  <c r="F40" i="40" l="1"/>
  <c r="R40" i="40"/>
  <c r="C41" i="40"/>
  <c r="C41" i="7"/>
  <c r="F39" i="40"/>
  <c r="R39" i="40"/>
  <c r="H24" i="36"/>
  <c r="E41" i="40" l="1"/>
  <c r="C42" i="40"/>
  <c r="E42" i="40" s="1"/>
  <c r="C42" i="7"/>
  <c r="H25" i="36"/>
  <c r="C43" i="40" l="1"/>
  <c r="C43" i="7"/>
  <c r="F42" i="40"/>
  <c r="R42" i="40"/>
  <c r="F41" i="40"/>
  <c r="R41" i="40"/>
  <c r="H26" i="36"/>
  <c r="C44" i="40" l="1"/>
  <c r="E44" i="40" s="1"/>
  <c r="C44" i="7"/>
  <c r="E43" i="40"/>
  <c r="H27" i="36"/>
  <c r="C45" i="40" l="1"/>
  <c r="C45" i="7"/>
  <c r="F43" i="40"/>
  <c r="R43" i="40"/>
  <c r="R44" i="40"/>
  <c r="F44" i="40"/>
  <c r="H28" i="36"/>
  <c r="C46" i="40" l="1"/>
  <c r="E46" i="40" s="1"/>
  <c r="C46" i="7"/>
  <c r="E45" i="40"/>
  <c r="H29" i="36"/>
  <c r="C47" i="40" l="1"/>
  <c r="C47" i="7"/>
  <c r="F45" i="40"/>
  <c r="R45" i="40"/>
  <c r="R46" i="40"/>
  <c r="F46" i="40"/>
  <c r="H30" i="36"/>
  <c r="C48" i="40" l="1"/>
  <c r="E48" i="40" s="1"/>
  <c r="C48" i="7"/>
  <c r="E47" i="40"/>
  <c r="H31" i="36"/>
  <c r="F47" i="40" l="1"/>
  <c r="R47" i="40"/>
  <c r="C49" i="40"/>
  <c r="E49" i="40" s="1"/>
  <c r="C49" i="7"/>
  <c r="R48" i="40"/>
  <c r="F48" i="40"/>
  <c r="H32" i="36"/>
  <c r="C50" i="40" l="1"/>
  <c r="C50" i="7"/>
  <c r="C203" i="7" s="1"/>
  <c r="R49" i="40"/>
  <c r="F49" i="40"/>
  <c r="J32" i="36"/>
  <c r="H5" i="36" s="1"/>
  <c r="I5" i="36" s="1"/>
  <c r="H33" i="36" s="1"/>
  <c r="I32" i="36"/>
  <c r="K4" i="36" s="1"/>
  <c r="L4" i="36" s="1"/>
  <c r="C51" i="40" l="1"/>
  <c r="C51" i="7"/>
  <c r="E50" i="40"/>
  <c r="C203" i="40"/>
  <c r="H34" i="36"/>
  <c r="C52" i="40" l="1"/>
  <c r="E52" i="40" s="1"/>
  <c r="C52" i="7"/>
  <c r="E51" i="40"/>
  <c r="R50" i="40"/>
  <c r="R203" i="40" s="1"/>
  <c r="F50" i="40"/>
  <c r="F203" i="40" s="1"/>
  <c r="E203" i="40"/>
  <c r="H35" i="36"/>
  <c r="R52" i="40" l="1"/>
  <c r="F52" i="40"/>
  <c r="C53" i="40"/>
  <c r="C53" i="7"/>
  <c r="S203" i="40"/>
  <c r="F51" i="40"/>
  <c r="R51" i="40"/>
  <c r="H36" i="36"/>
  <c r="E53" i="40" l="1"/>
  <c r="C54" i="40"/>
  <c r="E54" i="40" s="1"/>
  <c r="C54" i="7"/>
  <c r="W203" i="7"/>
  <c r="X203" i="40"/>
  <c r="T203" i="40"/>
  <c r="U203" i="40" s="1"/>
  <c r="V203" i="40" s="1"/>
  <c r="H37" i="36"/>
  <c r="R54" i="40" l="1"/>
  <c r="F54" i="40"/>
  <c r="R53" i="40"/>
  <c r="F53" i="40"/>
  <c r="C55" i="40"/>
  <c r="E55" i="40" s="1"/>
  <c r="C55" i="7"/>
  <c r="H38" i="36"/>
  <c r="F55" i="40" l="1"/>
  <c r="R55" i="40"/>
  <c r="C56" i="40"/>
  <c r="E56" i="40" s="1"/>
  <c r="C56" i="7"/>
  <c r="H39" i="36"/>
  <c r="C57" i="40" l="1"/>
  <c r="E57" i="40" s="1"/>
  <c r="C57" i="7"/>
  <c r="F56" i="40"/>
  <c r="R56" i="40"/>
  <c r="H40" i="36"/>
  <c r="C58" i="40" l="1"/>
  <c r="E58" i="40" s="1"/>
  <c r="C58" i="7"/>
  <c r="R57" i="40"/>
  <c r="F57" i="40"/>
  <c r="H41" i="36"/>
  <c r="C59" i="40" l="1"/>
  <c r="E59" i="40" s="1"/>
  <c r="C59" i="7"/>
  <c r="F58" i="40"/>
  <c r="R58" i="40"/>
  <c r="H42" i="36"/>
  <c r="C60" i="40" l="1"/>
  <c r="E60" i="40" s="1"/>
  <c r="C60" i="7"/>
  <c r="F59" i="40"/>
  <c r="R59" i="40"/>
  <c r="H43" i="36"/>
  <c r="C61" i="40" l="1"/>
  <c r="E61" i="40" s="1"/>
  <c r="C61" i="7"/>
  <c r="F60" i="40"/>
  <c r="R60" i="40"/>
  <c r="H44" i="36"/>
  <c r="D69" i="34"/>
  <c r="D49" i="34"/>
  <c r="D50" i="34"/>
  <c r="C62" i="40" l="1"/>
  <c r="C62" i="7"/>
  <c r="C204" i="7" s="1"/>
  <c r="F61" i="40"/>
  <c r="R61" i="40"/>
  <c r="J44" i="36"/>
  <c r="H6" i="36" s="1"/>
  <c r="I6" i="36" s="1"/>
  <c r="H45" i="36" s="1"/>
  <c r="I44" i="36"/>
  <c r="K5" i="36" s="1"/>
  <c r="L5" i="36" s="1"/>
  <c r="C63" i="40" l="1"/>
  <c r="C63" i="7"/>
  <c r="E62" i="40"/>
  <c r="C204" i="40"/>
  <c r="H46" i="36"/>
  <c r="C64" i="40" l="1"/>
  <c r="E64" i="40" s="1"/>
  <c r="C64" i="7"/>
  <c r="E63" i="40"/>
  <c r="R62" i="40"/>
  <c r="F62" i="40"/>
  <c r="F204" i="40" s="1"/>
  <c r="E204" i="40"/>
  <c r="H47" i="36"/>
  <c r="O38" i="11"/>
  <c r="N38" i="11"/>
  <c r="O33" i="11"/>
  <c r="N33" i="11"/>
  <c r="O28" i="11"/>
  <c r="N28" i="11"/>
  <c r="O23" i="11"/>
  <c r="N23" i="11"/>
  <c r="O19" i="11"/>
  <c r="N19" i="11"/>
  <c r="O15" i="11"/>
  <c r="N15" i="11"/>
  <c r="M49" i="9"/>
  <c r="G237" i="38" s="1"/>
  <c r="G243" i="38" s="1"/>
  <c r="G244" i="38" s="1"/>
  <c r="L49" i="9"/>
  <c r="F237" i="38" s="1"/>
  <c r="F243" i="38" s="1"/>
  <c r="K49" i="9"/>
  <c r="E237" i="38" s="1"/>
  <c r="E243" i="38" s="1"/>
  <c r="J49" i="9"/>
  <c r="D237" i="38" s="1"/>
  <c r="D243" i="38" s="1"/>
  <c r="I49" i="9"/>
  <c r="C237" i="38" s="1"/>
  <c r="C243" i="38" s="1"/>
  <c r="H49" i="9"/>
  <c r="B237" i="38" s="1"/>
  <c r="B243" i="38" s="1"/>
  <c r="M48" i="9"/>
  <c r="L48" i="9"/>
  <c r="K48" i="9"/>
  <c r="J48" i="9"/>
  <c r="I48" i="9"/>
  <c r="H48" i="9"/>
  <c r="F63" i="40" l="1"/>
  <c r="R63" i="40"/>
  <c r="C65" i="40"/>
  <c r="E65" i="40" s="1"/>
  <c r="C65" i="7"/>
  <c r="R64" i="40"/>
  <c r="F64" i="40"/>
  <c r="R204" i="40"/>
  <c r="P494" i="38"/>
  <c r="E61" i="38"/>
  <c r="O481" i="38"/>
  <c r="B60" i="38"/>
  <c r="O499" i="38"/>
  <c r="F60" i="38"/>
  <c r="O494" i="38"/>
  <c r="E60" i="38"/>
  <c r="B244" i="38"/>
  <c r="C244" i="38"/>
  <c r="P485" i="38"/>
  <c r="C61" i="38"/>
  <c r="P504" i="38"/>
  <c r="G61" i="38"/>
  <c r="F244" i="38"/>
  <c r="F300" i="38"/>
  <c r="P499" i="38"/>
  <c r="F61" i="38"/>
  <c r="O485" i="38"/>
  <c r="C60" i="38"/>
  <c r="D244" i="38"/>
  <c r="O489" i="38"/>
  <c r="D60" i="38"/>
  <c r="P481" i="38"/>
  <c r="B61" i="38"/>
  <c r="O504" i="38"/>
  <c r="G60" i="38"/>
  <c r="E244" i="38"/>
  <c r="P489" i="38"/>
  <c r="D61" i="38"/>
  <c r="H48" i="36"/>
  <c r="W41" i="32"/>
  <c r="W21" i="32"/>
  <c r="C66" i="40" l="1"/>
  <c r="C66" i="7"/>
  <c r="S204" i="40"/>
  <c r="R65" i="40"/>
  <c r="F65" i="40"/>
  <c r="X577" i="38"/>
  <c r="W596" i="38"/>
  <c r="X558" i="38"/>
  <c r="W577" i="38"/>
  <c r="W573" i="38"/>
  <c r="X554" i="38"/>
  <c r="W591" i="38"/>
  <c r="X572" i="38"/>
  <c r="P508" i="38"/>
  <c r="X553" i="38"/>
  <c r="W572" i="38"/>
  <c r="O508" i="38"/>
  <c r="H61" i="38"/>
  <c r="X573" i="38"/>
  <c r="W592" i="38"/>
  <c r="H60" i="38"/>
  <c r="H49" i="36"/>
  <c r="B215" i="7"/>
  <c r="B27" i="9" s="1"/>
  <c r="B214" i="7"/>
  <c r="P4" i="11" s="1"/>
  <c r="C67" i="40" l="1"/>
  <c r="E67" i="40" s="1"/>
  <c r="C67" i="7"/>
  <c r="E66" i="40"/>
  <c r="W204" i="7"/>
  <c r="T204" i="40"/>
  <c r="U204" i="40" s="1"/>
  <c r="V204" i="40" s="1"/>
  <c r="X204" i="40"/>
  <c r="E172" i="38"/>
  <c r="W581" i="38"/>
  <c r="W580" i="38"/>
  <c r="W585" i="38"/>
  <c r="H50" i="36"/>
  <c r="B26" i="9"/>
  <c r="F26" i="9" s="1"/>
  <c r="D171" i="7" s="1"/>
  <c r="C68" i="40" l="1"/>
  <c r="E68" i="40" s="1"/>
  <c r="C68" i="7"/>
  <c r="F67" i="40"/>
  <c r="R67" i="40"/>
  <c r="R66" i="40"/>
  <c r="F66" i="40"/>
  <c r="D172" i="7"/>
  <c r="E173" i="38"/>
  <c r="H51" i="36"/>
  <c r="G15" i="9"/>
  <c r="G14" i="9"/>
  <c r="C69" i="40" l="1"/>
  <c r="C69" i="7"/>
  <c r="F68" i="40"/>
  <c r="R68" i="40"/>
  <c r="D173" i="7"/>
  <c r="E174" i="38"/>
  <c r="H52" i="36"/>
  <c r="O44" i="17"/>
  <c r="O43" i="17"/>
  <c r="O42" i="17"/>
  <c r="N44" i="17"/>
  <c r="N43" i="17"/>
  <c r="N42" i="17"/>
  <c r="M44" i="17"/>
  <c r="M43" i="17"/>
  <c r="M42" i="17"/>
  <c r="E69" i="40" l="1"/>
  <c r="C70" i="40"/>
  <c r="E70" i="40" s="1"/>
  <c r="C70" i="7"/>
  <c r="D174" i="7"/>
  <c r="E175" i="38"/>
  <c r="N48" i="17"/>
  <c r="Q42" i="17"/>
  <c r="Q44" i="17"/>
  <c r="Q43" i="17"/>
  <c r="M48" i="17"/>
  <c r="H53" i="36"/>
  <c r="O48" i="17"/>
  <c r="B37" i="17"/>
  <c r="E37" i="17"/>
  <c r="F37" i="17"/>
  <c r="G37" i="17"/>
  <c r="D37" i="17"/>
  <c r="C37" i="17"/>
  <c r="G36" i="17"/>
  <c r="F36" i="17"/>
  <c r="E36" i="17"/>
  <c r="D36" i="17"/>
  <c r="C36" i="17"/>
  <c r="B36" i="17"/>
  <c r="G25" i="9"/>
  <c r="G24" i="9"/>
  <c r="G22" i="9"/>
  <c r="L46" i="11" s="1"/>
  <c r="G20" i="9"/>
  <c r="J46" i="11" s="1"/>
  <c r="G17" i="9"/>
  <c r="C71" i="40" l="1"/>
  <c r="E71" i="40" s="1"/>
  <c r="C71" i="7"/>
  <c r="R69" i="40"/>
  <c r="F69" i="40"/>
  <c r="R70" i="40"/>
  <c r="F70" i="40"/>
  <c r="D175" i="7"/>
  <c r="E176" i="38"/>
  <c r="O46" i="11"/>
  <c r="O10" i="11"/>
  <c r="N10" i="11"/>
  <c r="N46" i="11"/>
  <c r="H54" i="36"/>
  <c r="H17" i="17"/>
  <c r="C72" i="40" l="1"/>
  <c r="E72" i="40" s="1"/>
  <c r="C72" i="7"/>
  <c r="R71" i="40"/>
  <c r="F71" i="40"/>
  <c r="D176" i="7"/>
  <c r="O476" i="38"/>
  <c r="B40" i="38"/>
  <c r="P476" i="38"/>
  <c r="B41" i="38"/>
  <c r="H55" i="36"/>
  <c r="H110" i="7"/>
  <c r="H109" i="7"/>
  <c r="H108" i="7"/>
  <c r="H107" i="7"/>
  <c r="H106" i="7"/>
  <c r="H105" i="7"/>
  <c r="H104" i="7"/>
  <c r="H103" i="7"/>
  <c r="H102" i="7"/>
  <c r="H101" i="7"/>
  <c r="H100" i="7"/>
  <c r="H98" i="7"/>
  <c r="H97" i="7"/>
  <c r="H96" i="7"/>
  <c r="H95" i="7"/>
  <c r="H94" i="7"/>
  <c r="H93" i="7"/>
  <c r="H92" i="7"/>
  <c r="H91" i="7"/>
  <c r="H90" i="7"/>
  <c r="H89" i="7"/>
  <c r="H88" i="7"/>
  <c r="H86" i="7"/>
  <c r="H85" i="7"/>
  <c r="H84" i="7"/>
  <c r="H83" i="7"/>
  <c r="H82" i="7"/>
  <c r="H81" i="7"/>
  <c r="H80" i="7"/>
  <c r="H79" i="7"/>
  <c r="H78" i="7"/>
  <c r="H77" i="7"/>
  <c r="H76" i="7"/>
  <c r="H74" i="7"/>
  <c r="H73" i="7"/>
  <c r="H72" i="7"/>
  <c r="H71" i="7"/>
  <c r="H70" i="7"/>
  <c r="S70" i="7" s="1"/>
  <c r="H69" i="7"/>
  <c r="H68" i="7"/>
  <c r="H67" i="7"/>
  <c r="H66" i="7"/>
  <c r="H65" i="7"/>
  <c r="H64" i="7"/>
  <c r="H62" i="7"/>
  <c r="S62" i="7" s="1"/>
  <c r="H61" i="7"/>
  <c r="S61" i="7" s="1"/>
  <c r="H60" i="7"/>
  <c r="H59" i="7"/>
  <c r="S59" i="7" s="1"/>
  <c r="H58" i="7"/>
  <c r="S58" i="7" s="1"/>
  <c r="H57" i="7"/>
  <c r="S57" i="7" s="1"/>
  <c r="H56" i="7"/>
  <c r="S56" i="7" s="1"/>
  <c r="H55" i="7"/>
  <c r="S55" i="7" s="1"/>
  <c r="H54" i="7"/>
  <c r="S54" i="7" s="1"/>
  <c r="H53" i="7"/>
  <c r="S53" i="7" s="1"/>
  <c r="H52" i="7"/>
  <c r="S52" i="7" s="1"/>
  <c r="H50" i="7"/>
  <c r="H49" i="7"/>
  <c r="H48" i="7"/>
  <c r="S48" i="7" s="1"/>
  <c r="H47" i="7"/>
  <c r="S47" i="7" s="1"/>
  <c r="H46" i="7"/>
  <c r="H45" i="7"/>
  <c r="H44" i="7"/>
  <c r="S44" i="7" s="1"/>
  <c r="H43" i="7"/>
  <c r="S43" i="7" s="1"/>
  <c r="H42" i="7"/>
  <c r="H41" i="7"/>
  <c r="H40" i="7"/>
  <c r="S40" i="7" s="1"/>
  <c r="H38" i="7"/>
  <c r="H37" i="7"/>
  <c r="H36" i="7"/>
  <c r="H35" i="7"/>
  <c r="S35" i="7" s="1"/>
  <c r="H34" i="7"/>
  <c r="S34" i="7" s="1"/>
  <c r="H33" i="7"/>
  <c r="H32" i="7"/>
  <c r="S32" i="7" s="1"/>
  <c r="H31" i="7"/>
  <c r="S31" i="7" s="1"/>
  <c r="H30" i="7"/>
  <c r="H29" i="7"/>
  <c r="H28" i="7"/>
  <c r="H26" i="7"/>
  <c r="S26" i="7" s="1"/>
  <c r="H25" i="7"/>
  <c r="S25" i="7" s="1"/>
  <c r="H24" i="7"/>
  <c r="S24" i="7" s="1"/>
  <c r="H23" i="7"/>
  <c r="S23" i="7" s="1"/>
  <c r="H22" i="7"/>
  <c r="H21" i="7"/>
  <c r="H20" i="7"/>
  <c r="H19" i="7"/>
  <c r="H18" i="7"/>
  <c r="S18" i="7" s="1"/>
  <c r="H17" i="7"/>
  <c r="S17" i="7" s="1"/>
  <c r="H16" i="7"/>
  <c r="S16" i="7" s="1"/>
  <c r="H14" i="7"/>
  <c r="H13" i="7"/>
  <c r="H12" i="7"/>
  <c r="H11" i="7"/>
  <c r="H10" i="7"/>
  <c r="H9" i="7"/>
  <c r="S9" i="7" s="1"/>
  <c r="H8" i="7"/>
  <c r="S8" i="7" s="1"/>
  <c r="H7" i="7"/>
  <c r="S7" i="7" s="1"/>
  <c r="H6" i="7"/>
  <c r="H5" i="7"/>
  <c r="H4" i="7"/>
  <c r="H158" i="7"/>
  <c r="H157" i="7"/>
  <c r="H156" i="7"/>
  <c r="H155" i="7"/>
  <c r="H154" i="7"/>
  <c r="H153" i="7"/>
  <c r="H152" i="7"/>
  <c r="H151" i="7"/>
  <c r="H150" i="7"/>
  <c r="H149" i="7"/>
  <c r="H148" i="7"/>
  <c r="H146" i="7"/>
  <c r="H145" i="7"/>
  <c r="H144" i="7"/>
  <c r="H143" i="7"/>
  <c r="H142" i="7"/>
  <c r="H141" i="7"/>
  <c r="H140" i="7"/>
  <c r="H139" i="7"/>
  <c r="H138" i="7"/>
  <c r="H137" i="7"/>
  <c r="H136" i="7"/>
  <c r="H134" i="7"/>
  <c r="H133" i="7"/>
  <c r="H132" i="7"/>
  <c r="H131" i="7"/>
  <c r="H130" i="7"/>
  <c r="H129" i="7"/>
  <c r="H128" i="7"/>
  <c r="H127" i="7"/>
  <c r="H126" i="7"/>
  <c r="H125" i="7"/>
  <c r="H124" i="7"/>
  <c r="H122" i="7"/>
  <c r="H121" i="7"/>
  <c r="H120" i="7"/>
  <c r="H119" i="7"/>
  <c r="H118" i="7"/>
  <c r="H117" i="7"/>
  <c r="H116" i="7"/>
  <c r="H115" i="7"/>
  <c r="H114" i="7"/>
  <c r="H113" i="7"/>
  <c r="H112" i="7"/>
  <c r="H147" i="7"/>
  <c r="H135" i="7"/>
  <c r="H123" i="7"/>
  <c r="H111" i="7"/>
  <c r="H99" i="7"/>
  <c r="H87" i="7"/>
  <c r="H75" i="7"/>
  <c r="H63" i="7"/>
  <c r="S63" i="7" s="1"/>
  <c r="H51" i="7"/>
  <c r="H39" i="7"/>
  <c r="H27" i="7"/>
  <c r="S27" i="7" s="1"/>
  <c r="H15" i="7"/>
  <c r="S15" i="7" s="1"/>
  <c r="H3" i="7"/>
  <c r="S60" i="7"/>
  <c r="C73" i="40" l="1"/>
  <c r="E73" i="40" s="1"/>
  <c r="C73" i="7"/>
  <c r="R72" i="40"/>
  <c r="F72" i="40"/>
  <c r="D177" i="7"/>
  <c r="H185" i="7"/>
  <c r="H189" i="7"/>
  <c r="H186" i="7"/>
  <c r="H187" i="7"/>
  <c r="H191" i="7"/>
  <c r="H183" i="7"/>
  <c r="H190" i="7"/>
  <c r="H184" i="7"/>
  <c r="H188" i="7"/>
  <c r="H192" i="7"/>
  <c r="S42" i="7"/>
  <c r="S50" i="7"/>
  <c r="S71" i="7"/>
  <c r="S33" i="7"/>
  <c r="S41" i="7"/>
  <c r="S49" i="7"/>
  <c r="S19" i="7"/>
  <c r="S28" i="7"/>
  <c r="S36" i="7"/>
  <c r="S39" i="7"/>
  <c r="S10" i="7"/>
  <c r="S45" i="7"/>
  <c r="S66" i="7"/>
  <c r="S11" i="7"/>
  <c r="S51" i="7"/>
  <c r="S20" i="7"/>
  <c r="S68" i="7"/>
  <c r="S65" i="7"/>
  <c r="S67" i="7"/>
  <c r="S72" i="7"/>
  <c r="S4" i="7"/>
  <c r="S5" i="7"/>
  <c r="S13" i="7"/>
  <c r="S21" i="7"/>
  <c r="S29" i="7"/>
  <c r="S37" i="7"/>
  <c r="S69" i="7"/>
  <c r="S64" i="7"/>
  <c r="S12" i="7"/>
  <c r="S6" i="7"/>
  <c r="S14" i="7"/>
  <c r="S22" i="7"/>
  <c r="S30" i="7"/>
  <c r="S38" i="7"/>
  <c r="S46" i="7"/>
  <c r="C41" i="38"/>
  <c r="H56" i="36"/>
  <c r="S73" i="7"/>
  <c r="T3" i="7"/>
  <c r="H169" i="7"/>
  <c r="H193" i="7" s="1"/>
  <c r="H170" i="7"/>
  <c r="H194" i="7" s="1"/>
  <c r="V41" i="32"/>
  <c r="V21" i="32"/>
  <c r="C74" i="40" l="1"/>
  <c r="C74" i="7"/>
  <c r="C205" i="7" s="1"/>
  <c r="R73" i="40"/>
  <c r="F73" i="40"/>
  <c r="D178" i="7"/>
  <c r="S74" i="7"/>
  <c r="J56" i="36"/>
  <c r="H7" i="36" s="1"/>
  <c r="I7" i="36" s="1"/>
  <c r="H57" i="36" s="1"/>
  <c r="I56" i="36"/>
  <c r="K6" i="36" s="1"/>
  <c r="L6" i="36" s="1"/>
  <c r="C75" i="40" l="1"/>
  <c r="C75" i="7"/>
  <c r="E74" i="40"/>
  <c r="C205" i="40"/>
  <c r="D179" i="7"/>
  <c r="S75" i="7"/>
  <c r="H58" i="36"/>
  <c r="F74" i="40" l="1"/>
  <c r="F205" i="40" s="1"/>
  <c r="R74" i="40"/>
  <c r="R205" i="40" s="1"/>
  <c r="E205" i="40"/>
  <c r="C76" i="40"/>
  <c r="E76" i="40" s="1"/>
  <c r="C76" i="7"/>
  <c r="E75" i="40"/>
  <c r="D180" i="7"/>
  <c r="H59" i="36"/>
  <c r="S76" i="7"/>
  <c r="R75" i="40" l="1"/>
  <c r="F75" i="40"/>
  <c r="S205" i="40"/>
  <c r="C77" i="40"/>
  <c r="C77" i="7"/>
  <c r="F76" i="40"/>
  <c r="R76" i="40"/>
  <c r="D181" i="7"/>
  <c r="H60" i="36"/>
  <c r="S77" i="7"/>
  <c r="E77" i="40" l="1"/>
  <c r="C78" i="40"/>
  <c r="E78" i="40" s="1"/>
  <c r="C78" i="7"/>
  <c r="W205" i="7"/>
  <c r="E177" i="38" s="1"/>
  <c r="T205" i="40"/>
  <c r="U205" i="40" s="1"/>
  <c r="V205" i="40" s="1"/>
  <c r="X205" i="40"/>
  <c r="D182" i="7"/>
  <c r="H61" i="36"/>
  <c r="S78" i="7"/>
  <c r="R78" i="40" l="1"/>
  <c r="F78" i="40"/>
  <c r="F77" i="40"/>
  <c r="R77" i="40"/>
  <c r="C79" i="40"/>
  <c r="E79" i="40" s="1"/>
  <c r="C79" i="7"/>
  <c r="H62" i="36"/>
  <c r="S79" i="7"/>
  <c r="R79" i="40" l="1"/>
  <c r="F79" i="40"/>
  <c r="C80" i="40"/>
  <c r="E80" i="40" s="1"/>
  <c r="C80" i="7"/>
  <c r="H63" i="36"/>
  <c r="S80" i="7"/>
  <c r="C81" i="40" l="1"/>
  <c r="C81" i="7"/>
  <c r="R80" i="40"/>
  <c r="F80" i="40"/>
  <c r="H64" i="36"/>
  <c r="S81" i="7"/>
  <c r="C82" i="40" l="1"/>
  <c r="E82" i="40" s="1"/>
  <c r="C82" i="7"/>
  <c r="E81" i="40"/>
  <c r="H65" i="36"/>
  <c r="S82" i="7"/>
  <c r="B24" i="18"/>
  <c r="R81" i="40" l="1"/>
  <c r="F81" i="40"/>
  <c r="C83" i="40"/>
  <c r="E83" i="40" s="1"/>
  <c r="C83" i="7"/>
  <c r="R82" i="40"/>
  <c r="F82" i="40"/>
  <c r="B334" i="38"/>
  <c r="H66" i="36"/>
  <c r="S83" i="7"/>
  <c r="F83" i="40" l="1"/>
  <c r="R83" i="40"/>
  <c r="C84" i="40"/>
  <c r="E84" i="40" s="1"/>
  <c r="C84" i="7"/>
  <c r="H67" i="36"/>
  <c r="S84" i="7"/>
  <c r="F84" i="40" l="1"/>
  <c r="R84" i="40"/>
  <c r="C85" i="40"/>
  <c r="E85" i="40" s="1"/>
  <c r="C85" i="7"/>
  <c r="H68" i="36"/>
  <c r="S85" i="7"/>
  <c r="F85" i="40" l="1"/>
  <c r="R85" i="40"/>
  <c r="C86" i="40"/>
  <c r="C86" i="7"/>
  <c r="C206" i="7" s="1"/>
  <c r="S86" i="7"/>
  <c r="J68" i="36"/>
  <c r="H8" i="36" s="1"/>
  <c r="I8" i="36" s="1"/>
  <c r="H69" i="36" s="1"/>
  <c r="I68" i="36"/>
  <c r="K7" i="36" s="1"/>
  <c r="L7" i="36" s="1"/>
  <c r="C87" i="40" l="1"/>
  <c r="C87" i="7"/>
  <c r="E86" i="40"/>
  <c r="C206" i="40"/>
  <c r="S87" i="7"/>
  <c r="H70" i="36"/>
  <c r="D29" i="34"/>
  <c r="F86" i="40" l="1"/>
  <c r="F206" i="40" s="1"/>
  <c r="R86" i="40"/>
  <c r="R206" i="40" s="1"/>
  <c r="E206" i="40"/>
  <c r="C88" i="40"/>
  <c r="E88" i="40" s="1"/>
  <c r="C88" i="7"/>
  <c r="E87" i="40"/>
  <c r="H71" i="36"/>
  <c r="S88" i="7"/>
  <c r="R87" i="40" l="1"/>
  <c r="F87" i="40"/>
  <c r="S206" i="40"/>
  <c r="C89" i="40"/>
  <c r="C89" i="7"/>
  <c r="R88" i="40"/>
  <c r="F88" i="40"/>
  <c r="H72" i="36"/>
  <c r="S89" i="7"/>
  <c r="W206" i="7" l="1"/>
  <c r="E178" i="38" s="1"/>
  <c r="T206" i="40"/>
  <c r="U206" i="40" s="1"/>
  <c r="V206" i="40" s="1"/>
  <c r="X206" i="40"/>
  <c r="C90" i="40"/>
  <c r="E90" i="40" s="1"/>
  <c r="C90" i="7"/>
  <c r="E89" i="40"/>
  <c r="H73" i="36"/>
  <c r="S90" i="7"/>
  <c r="M38" i="11"/>
  <c r="L38" i="11"/>
  <c r="K38" i="11"/>
  <c r="G57" i="38" s="1"/>
  <c r="J38" i="11"/>
  <c r="G56" i="38" s="1"/>
  <c r="I38" i="11"/>
  <c r="G55" i="38" s="1"/>
  <c r="H38" i="11"/>
  <c r="G54" i="38" s="1"/>
  <c r="G38" i="11"/>
  <c r="G53" i="38" s="1"/>
  <c r="F38" i="11"/>
  <c r="G52" i="38" s="1"/>
  <c r="E38" i="11"/>
  <c r="G51" i="38" s="1"/>
  <c r="D38" i="11"/>
  <c r="G50" i="38" s="1"/>
  <c r="C38" i="11"/>
  <c r="G49" i="38" s="1"/>
  <c r="B38" i="11"/>
  <c r="G48" i="38" s="1"/>
  <c r="G23" i="9"/>
  <c r="M46" i="11" s="1"/>
  <c r="G21" i="9"/>
  <c r="K46" i="11" s="1"/>
  <c r="G19" i="9"/>
  <c r="G18" i="9"/>
  <c r="G16" i="9"/>
  <c r="G13" i="9"/>
  <c r="G12" i="9"/>
  <c r="H15" i="17"/>
  <c r="H14" i="17"/>
  <c r="H13" i="17"/>
  <c r="H12" i="17"/>
  <c r="H11" i="17"/>
  <c r="H10" i="17"/>
  <c r="H9" i="17"/>
  <c r="H8" i="17"/>
  <c r="H7" i="17"/>
  <c r="H6" i="17"/>
  <c r="H5" i="17"/>
  <c r="H4" i="17"/>
  <c r="C91" i="40" l="1"/>
  <c r="E91" i="40" s="1"/>
  <c r="C91" i="7"/>
  <c r="R90" i="40"/>
  <c r="F90" i="40"/>
  <c r="F89" i="40"/>
  <c r="R89" i="40"/>
  <c r="M504" i="38"/>
  <c r="G58" i="38"/>
  <c r="N504" i="38"/>
  <c r="G59" i="38"/>
  <c r="H74" i="36"/>
  <c r="S91" i="7"/>
  <c r="B213" i="7"/>
  <c r="B185" i="38" s="1"/>
  <c r="C92" i="40" l="1"/>
  <c r="C92" i="7"/>
  <c r="F91" i="40"/>
  <c r="R91" i="40"/>
  <c r="X520" i="38"/>
  <c r="W539" i="38"/>
  <c r="X539" i="38"/>
  <c r="W558" i="38"/>
  <c r="H75" i="36"/>
  <c r="S92" i="7"/>
  <c r="B25" i="9"/>
  <c r="F25" i="9" s="1"/>
  <c r="D159" i="7" s="1"/>
  <c r="O4" i="11"/>
  <c r="P469" i="38" s="1"/>
  <c r="C93" i="40" l="1"/>
  <c r="E93" i="40" s="1"/>
  <c r="C93" i="7"/>
  <c r="E92" i="40"/>
  <c r="D160" i="7"/>
  <c r="W566" i="38"/>
  <c r="W547" i="38"/>
  <c r="W528" i="38"/>
  <c r="H76" i="36"/>
  <c r="S93" i="7"/>
  <c r="R93" i="40" l="1"/>
  <c r="F93" i="40"/>
  <c r="C94" i="40"/>
  <c r="E94" i="40" s="1"/>
  <c r="C94" i="7"/>
  <c r="F92" i="40"/>
  <c r="R92" i="40"/>
  <c r="D161" i="7"/>
  <c r="H77" i="36"/>
  <c r="S94" i="7"/>
  <c r="G2" i="17"/>
  <c r="C95" i="40" l="1"/>
  <c r="E95" i="40" s="1"/>
  <c r="C95" i="7"/>
  <c r="F94" i="40"/>
  <c r="R94" i="40"/>
  <c r="D162" i="7"/>
  <c r="H78" i="36"/>
  <c r="S95" i="7"/>
  <c r="N4" i="11"/>
  <c r="O469" i="38" s="1"/>
  <c r="B200" i="7"/>
  <c r="C96" i="40" l="1"/>
  <c r="E96" i="40" s="1"/>
  <c r="C96" i="7"/>
  <c r="R95" i="40"/>
  <c r="F95" i="40"/>
  <c r="D163" i="7"/>
  <c r="B172" i="38"/>
  <c r="H79" i="36"/>
  <c r="S96" i="7"/>
  <c r="C97" i="40" l="1"/>
  <c r="E97" i="40" s="1"/>
  <c r="C97" i="7"/>
  <c r="R96" i="40"/>
  <c r="F96" i="40"/>
  <c r="D164" i="7"/>
  <c r="H80" i="36"/>
  <c r="S97" i="7"/>
  <c r="C98" i="40" l="1"/>
  <c r="C98" i="7"/>
  <c r="C207" i="7" s="1"/>
  <c r="R97" i="40"/>
  <c r="F97" i="40"/>
  <c r="D165" i="7"/>
  <c r="S98" i="7"/>
  <c r="J80" i="36"/>
  <c r="H9" i="36" s="1"/>
  <c r="I9" i="36" s="1"/>
  <c r="H81" i="36" s="1"/>
  <c r="I80" i="36"/>
  <c r="K8" i="36" s="1"/>
  <c r="L8" i="36" s="1"/>
  <c r="A12" i="9"/>
  <c r="A36" i="9" s="1"/>
  <c r="A53" i="9" s="1"/>
  <c r="A13" i="9"/>
  <c r="A37" i="9" s="1"/>
  <c r="A54" i="9" s="1"/>
  <c r="A14" i="9"/>
  <c r="A38" i="9" s="1"/>
  <c r="A55" i="9" s="1"/>
  <c r="A15" i="9"/>
  <c r="A39" i="9" s="1"/>
  <c r="A56" i="9" s="1"/>
  <c r="A16" i="9"/>
  <c r="A40" i="9" s="1"/>
  <c r="A57" i="9" s="1"/>
  <c r="A17" i="9"/>
  <c r="A41" i="9" s="1"/>
  <c r="A58" i="9" s="1"/>
  <c r="A18" i="9"/>
  <c r="A42" i="9" s="1"/>
  <c r="A59" i="9" s="1"/>
  <c r="A19" i="9"/>
  <c r="A43" i="9" s="1"/>
  <c r="A60" i="9" s="1"/>
  <c r="A20" i="9"/>
  <c r="A44" i="9" s="1"/>
  <c r="A61" i="9" s="1"/>
  <c r="A21" i="9"/>
  <c r="A45" i="9" s="1"/>
  <c r="A62" i="9" s="1"/>
  <c r="A22" i="9"/>
  <c r="A46" i="9" s="1"/>
  <c r="A63" i="9" s="1"/>
  <c r="A23" i="9"/>
  <c r="A47" i="9" s="1"/>
  <c r="A64" i="9" s="1"/>
  <c r="A24" i="9"/>
  <c r="A48" i="9" s="1"/>
  <c r="A25" i="9"/>
  <c r="A49" i="9" s="1"/>
  <c r="C99" i="40" l="1"/>
  <c r="C99" i="7"/>
  <c r="E98" i="40"/>
  <c r="C207" i="40"/>
  <c r="D166" i="7"/>
  <c r="S99" i="7"/>
  <c r="H82" i="36"/>
  <c r="D71" i="34"/>
  <c r="D70" i="34"/>
  <c r="D68" i="34"/>
  <c r="D67" i="34"/>
  <c r="D66" i="34"/>
  <c r="D51" i="34"/>
  <c r="D48" i="34"/>
  <c r="D47" i="34"/>
  <c r="D46" i="34"/>
  <c r="D31" i="34"/>
  <c r="D30" i="34"/>
  <c r="D28" i="34"/>
  <c r="D27" i="34"/>
  <c r="D26" i="34"/>
  <c r="B21" i="34"/>
  <c r="B31" i="34" s="1"/>
  <c r="B41" i="34" s="1"/>
  <c r="B51" i="34" s="1"/>
  <c r="B61" i="34" s="1"/>
  <c r="B71" i="34" s="1"/>
  <c r="B81" i="34" s="1"/>
  <c r="B20" i="34"/>
  <c r="B30" i="34" s="1"/>
  <c r="B18" i="34"/>
  <c r="B28" i="34" s="1"/>
  <c r="B17" i="34"/>
  <c r="B27" i="34" s="1"/>
  <c r="B37" i="34" s="1"/>
  <c r="B47" i="34" s="1"/>
  <c r="B57" i="34" s="1"/>
  <c r="B67" i="34" s="1"/>
  <c r="B77" i="34" s="1"/>
  <c r="B16" i="34"/>
  <c r="B26" i="34" s="1"/>
  <c r="B36" i="34" s="1"/>
  <c r="B46" i="34" s="1"/>
  <c r="B56" i="34" s="1"/>
  <c r="B66" i="34" s="1"/>
  <c r="B76" i="34" s="1"/>
  <c r="C100" i="40" l="1"/>
  <c r="E100" i="40" s="1"/>
  <c r="C100" i="7"/>
  <c r="F98" i="40"/>
  <c r="F207" i="40" s="1"/>
  <c r="R98" i="40"/>
  <c r="R207" i="40" s="1"/>
  <c r="E207" i="40"/>
  <c r="E99" i="40"/>
  <c r="D167" i="7"/>
  <c r="B38" i="34"/>
  <c r="B48" i="34" s="1"/>
  <c r="B58" i="34" s="1"/>
  <c r="B68" i="34" s="1"/>
  <c r="B78" i="34" s="1"/>
  <c r="H83" i="36"/>
  <c r="S100" i="7"/>
  <c r="B40" i="34"/>
  <c r="B50" i="34" s="1"/>
  <c r="B60" i="34" s="1"/>
  <c r="B70" i="34" s="1"/>
  <c r="B80" i="34" s="1"/>
  <c r="F100" i="40" l="1"/>
  <c r="R100" i="40"/>
  <c r="C101" i="40"/>
  <c r="C101" i="7"/>
  <c r="F99" i="40"/>
  <c r="R99" i="40"/>
  <c r="S207" i="40"/>
  <c r="D168" i="7"/>
  <c r="H84" i="36"/>
  <c r="S101" i="7"/>
  <c r="R41" i="32"/>
  <c r="R21" i="32"/>
  <c r="Q41" i="32"/>
  <c r="Q21" i="32"/>
  <c r="P41" i="32"/>
  <c r="P21" i="32"/>
  <c r="O41" i="32"/>
  <c r="O21" i="32"/>
  <c r="N41" i="32"/>
  <c r="N21" i="32"/>
  <c r="M41" i="32"/>
  <c r="M21" i="32"/>
  <c r="L21" i="32"/>
  <c r="J41" i="32"/>
  <c r="I41" i="32"/>
  <c r="I21" i="32"/>
  <c r="H21" i="32"/>
  <c r="G41" i="32"/>
  <c r="G21" i="32"/>
  <c r="F21" i="32"/>
  <c r="E41" i="32"/>
  <c r="E21" i="32"/>
  <c r="D21" i="32"/>
  <c r="C41" i="32"/>
  <c r="B21" i="32"/>
  <c r="F41" i="32"/>
  <c r="D41" i="32"/>
  <c r="K21" i="32"/>
  <c r="J21" i="32"/>
  <c r="C21" i="32"/>
  <c r="E101" i="40" l="1"/>
  <c r="C102" i="40"/>
  <c r="E102" i="40" s="1"/>
  <c r="C102" i="7"/>
  <c r="W207" i="7"/>
  <c r="E179" i="38" s="1"/>
  <c r="X207" i="40"/>
  <c r="T207" i="40"/>
  <c r="U207" i="40" s="1"/>
  <c r="V207" i="40" s="1"/>
  <c r="D169" i="7"/>
  <c r="H85" i="36"/>
  <c r="S102" i="7"/>
  <c r="L41" i="32"/>
  <c r="K41" i="32"/>
  <c r="H41" i="32"/>
  <c r="B41" i="32"/>
  <c r="C103" i="40" l="1"/>
  <c r="E103" i="40" s="1"/>
  <c r="C103" i="7"/>
  <c r="F102" i="40"/>
  <c r="R102" i="40"/>
  <c r="R101" i="40"/>
  <c r="F101" i="40"/>
  <c r="D170" i="7"/>
  <c r="H86" i="36"/>
  <c r="S103" i="7"/>
  <c r="B211" i="7"/>
  <c r="B183" i="38" s="1"/>
  <c r="G30" i="17"/>
  <c r="B37" i="11"/>
  <c r="G84" i="38" s="1"/>
  <c r="G105" i="38" s="1"/>
  <c r="C37" i="11"/>
  <c r="G85" i="38" s="1"/>
  <c r="G106" i="38" s="1"/>
  <c r="D37" i="11"/>
  <c r="G86" i="38" s="1"/>
  <c r="G107" i="38" s="1"/>
  <c r="E37" i="11"/>
  <c r="G87" i="38" s="1"/>
  <c r="G108" i="38" s="1"/>
  <c r="F37" i="11"/>
  <c r="G88" i="38" s="1"/>
  <c r="G109" i="38" s="1"/>
  <c r="G37" i="11"/>
  <c r="G89" i="38" s="1"/>
  <c r="G110" i="38" s="1"/>
  <c r="H37" i="11"/>
  <c r="G90" i="38" s="1"/>
  <c r="G111" i="38" s="1"/>
  <c r="I37" i="11"/>
  <c r="G91" i="38" s="1"/>
  <c r="G112" i="38" s="1"/>
  <c r="J37" i="11"/>
  <c r="G92" i="38" s="1"/>
  <c r="G113" i="38" s="1"/>
  <c r="K37" i="11"/>
  <c r="G93" i="38" s="1"/>
  <c r="G114" i="38" s="1"/>
  <c r="L37" i="11"/>
  <c r="M37" i="11"/>
  <c r="A36" i="11"/>
  <c r="G31" i="17"/>
  <c r="G32" i="17"/>
  <c r="G33" i="17"/>
  <c r="G34" i="17"/>
  <c r="G35" i="17"/>
  <c r="M47" i="9"/>
  <c r="M65" i="9" s="1"/>
  <c r="M46" i="9"/>
  <c r="M45" i="9"/>
  <c r="M41" i="9"/>
  <c r="M58" i="9" s="1"/>
  <c r="C104" i="40" l="1"/>
  <c r="C104" i="7"/>
  <c r="R103" i="40"/>
  <c r="F103" i="40"/>
  <c r="G40" i="17"/>
  <c r="M503" i="38"/>
  <c r="G94" i="38"/>
  <c r="G115" i="38" s="1"/>
  <c r="N503" i="38"/>
  <c r="G96" i="38"/>
  <c r="G116" i="38" s="1"/>
  <c r="H87" i="36"/>
  <c r="S104" i="7"/>
  <c r="M64" i="9"/>
  <c r="M44" i="9"/>
  <c r="M62" i="9" s="1"/>
  <c r="M42" i="9"/>
  <c r="M59" i="9" s="1"/>
  <c r="M63" i="9"/>
  <c r="M43" i="9"/>
  <c r="U3" i="7"/>
  <c r="V3" i="7" s="1"/>
  <c r="T4" i="7"/>
  <c r="U4" i="7" s="1"/>
  <c r="V4" i="7" s="1"/>
  <c r="T5" i="7"/>
  <c r="U5" i="7" s="1"/>
  <c r="V5" i="7" s="1"/>
  <c r="T6" i="7"/>
  <c r="U6" i="7" s="1"/>
  <c r="V6" i="7" s="1"/>
  <c r="T7" i="7"/>
  <c r="U7" i="7" s="1"/>
  <c r="V7" i="7" s="1"/>
  <c r="T8" i="7"/>
  <c r="U8" i="7" s="1"/>
  <c r="V8" i="7" s="1"/>
  <c r="T9" i="7"/>
  <c r="U9" i="7" s="1"/>
  <c r="V9" i="7" s="1"/>
  <c r="T10" i="7"/>
  <c r="U10" i="7" s="1"/>
  <c r="V10" i="7" s="1"/>
  <c r="T11" i="7"/>
  <c r="U11" i="7" s="1"/>
  <c r="V11" i="7" s="1"/>
  <c r="T12" i="7"/>
  <c r="U12" i="7" s="1"/>
  <c r="V12" i="7" s="1"/>
  <c r="T13" i="7"/>
  <c r="U13" i="7" s="1"/>
  <c r="V13" i="7" s="1"/>
  <c r="T14" i="7"/>
  <c r="U14" i="7" s="1"/>
  <c r="V14" i="7" s="1"/>
  <c r="T15" i="7"/>
  <c r="U15" i="7" s="1"/>
  <c r="V15" i="7" s="1"/>
  <c r="T16" i="7"/>
  <c r="U16" i="7" s="1"/>
  <c r="V16" i="7" s="1"/>
  <c r="T18" i="7"/>
  <c r="U18" i="7" s="1"/>
  <c r="V18" i="7" s="1"/>
  <c r="T20" i="7"/>
  <c r="U20" i="7" s="1"/>
  <c r="V20" i="7" s="1"/>
  <c r="T21" i="7"/>
  <c r="U21" i="7" s="1"/>
  <c r="V21" i="7" s="1"/>
  <c r="T22" i="7"/>
  <c r="U22" i="7" s="1"/>
  <c r="V22" i="7" s="1"/>
  <c r="T23" i="7"/>
  <c r="U23" i="7" s="1"/>
  <c r="V23" i="7" s="1"/>
  <c r="T24" i="7"/>
  <c r="U24" i="7" s="1"/>
  <c r="V24" i="7" s="1"/>
  <c r="T25" i="7"/>
  <c r="U25" i="7" s="1"/>
  <c r="V25" i="7" s="1"/>
  <c r="T27" i="7"/>
  <c r="U27" i="7" s="1"/>
  <c r="V27" i="7" s="1"/>
  <c r="T28" i="7"/>
  <c r="U28" i="7" s="1"/>
  <c r="V28" i="7" s="1"/>
  <c r="T29" i="7"/>
  <c r="U29" i="7" s="1"/>
  <c r="V29" i="7" s="1"/>
  <c r="T30" i="7"/>
  <c r="U30" i="7" s="1"/>
  <c r="V30" i="7" s="1"/>
  <c r="T31" i="7"/>
  <c r="U31" i="7" s="1"/>
  <c r="V31" i="7" s="1"/>
  <c r="T32" i="7"/>
  <c r="U32" i="7" s="1"/>
  <c r="V32" i="7" s="1"/>
  <c r="T33" i="7"/>
  <c r="U33" i="7" s="1"/>
  <c r="V33" i="7" s="1"/>
  <c r="T34" i="7"/>
  <c r="U34" i="7" s="1"/>
  <c r="V34" i="7" s="1"/>
  <c r="T35" i="7"/>
  <c r="U35" i="7" s="1"/>
  <c r="V35" i="7" s="1"/>
  <c r="T36" i="7"/>
  <c r="U36" i="7" s="1"/>
  <c r="V36" i="7" s="1"/>
  <c r="T37" i="7"/>
  <c r="U37" i="7" s="1"/>
  <c r="V37" i="7" s="1"/>
  <c r="T38" i="7"/>
  <c r="U38" i="7" s="1"/>
  <c r="V38" i="7" s="1"/>
  <c r="T17" i="7"/>
  <c r="U17" i="7" s="1"/>
  <c r="V17" i="7" s="1"/>
  <c r="T19" i="7"/>
  <c r="U19" i="7" s="1"/>
  <c r="V19" i="7" s="1"/>
  <c r="T26" i="7"/>
  <c r="U26" i="7" s="1"/>
  <c r="V26" i="7" s="1"/>
  <c r="C105" i="40" l="1"/>
  <c r="E105" i="40" s="1"/>
  <c r="C105" i="7"/>
  <c r="E104" i="40"/>
  <c r="T558" i="38"/>
  <c r="AA558" i="38" s="1"/>
  <c r="U539" i="38"/>
  <c r="U520" i="38"/>
  <c r="T539" i="38"/>
  <c r="AA539" i="38" s="1"/>
  <c r="H88" i="36"/>
  <c r="S105" i="7"/>
  <c r="G44" i="17"/>
  <c r="M61" i="9"/>
  <c r="M60" i="9"/>
  <c r="F104" i="40" l="1"/>
  <c r="R104" i="40"/>
  <c r="C106" i="40"/>
  <c r="C106" i="7"/>
  <c r="R105" i="40"/>
  <c r="F105" i="40"/>
  <c r="T528" i="38"/>
  <c r="AB520" i="38"/>
  <c r="AA528" i="38" s="1"/>
  <c r="T547" i="38"/>
  <c r="AB539" i="38"/>
  <c r="AA547" i="38" s="1"/>
  <c r="G226" i="38"/>
  <c r="G19" i="17"/>
  <c r="H89" i="36"/>
  <c r="S106" i="7"/>
  <c r="C107" i="40" l="1"/>
  <c r="E107" i="40" s="1"/>
  <c r="C107" i="7"/>
  <c r="E106" i="40"/>
  <c r="M50" i="9"/>
  <c r="G231" i="38"/>
  <c r="Q37" i="11"/>
  <c r="R503" i="38" s="1"/>
  <c r="U615" i="38" s="1"/>
  <c r="G232" i="38"/>
  <c r="P37" i="11"/>
  <c r="Q503" i="38" s="1"/>
  <c r="H90" i="36"/>
  <c r="S107" i="7"/>
  <c r="N37" i="11"/>
  <c r="O224" i="7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R106" i="40" l="1"/>
  <c r="F106" i="40"/>
  <c r="C108" i="40"/>
  <c r="E108" i="40" s="1"/>
  <c r="C108" i="7"/>
  <c r="R107" i="40"/>
  <c r="F107" i="40"/>
  <c r="G99" i="38"/>
  <c r="G100" i="38"/>
  <c r="S37" i="11"/>
  <c r="O503" i="38"/>
  <c r="G97" i="38"/>
  <c r="G117" i="38" s="1"/>
  <c r="U596" i="38"/>
  <c r="T615" i="38"/>
  <c r="T623" i="38" s="1"/>
  <c r="H91" i="36"/>
  <c r="S108" i="7"/>
  <c r="O37" i="11"/>
  <c r="M28" i="11"/>
  <c r="L23" i="11"/>
  <c r="J15" i="11"/>
  <c r="B56" i="38" s="1"/>
  <c r="K28" i="11"/>
  <c r="E57" i="38" s="1"/>
  <c r="J23" i="11"/>
  <c r="D56" i="38" s="1"/>
  <c r="D24" i="18"/>
  <c r="D25" i="18"/>
  <c r="D335" i="38" s="1"/>
  <c r="D26" i="18"/>
  <c r="D336" i="38" s="1"/>
  <c r="M32" i="11"/>
  <c r="M14" i="11"/>
  <c r="F32" i="17"/>
  <c r="E32" i="17"/>
  <c r="B32" i="17"/>
  <c r="I10" i="11"/>
  <c r="B35" i="38" s="1"/>
  <c r="B24" i="9"/>
  <c r="F24" i="9" s="1"/>
  <c r="D147" i="7" s="1"/>
  <c r="B210" i="7"/>
  <c r="B182" i="38" s="1"/>
  <c r="B209" i="7"/>
  <c r="B181" i="38" s="1"/>
  <c r="B208" i="7"/>
  <c r="B180" i="38" s="1"/>
  <c r="E10" i="11"/>
  <c r="B31" i="38" s="1"/>
  <c r="I41" i="9"/>
  <c r="J43" i="9"/>
  <c r="K43" i="9"/>
  <c r="B207" i="7"/>
  <c r="B179" i="38" s="1"/>
  <c r="H43" i="9"/>
  <c r="H37" i="9"/>
  <c r="H36" i="9"/>
  <c r="H38" i="9"/>
  <c r="B28" i="17"/>
  <c r="H40" i="9"/>
  <c r="H41" i="9"/>
  <c r="B26" i="17"/>
  <c r="B30" i="17"/>
  <c r="B31" i="17"/>
  <c r="I43" i="9"/>
  <c r="I37" i="9"/>
  <c r="C25" i="17"/>
  <c r="C27" i="17"/>
  <c r="I39" i="9"/>
  <c r="I40" i="9"/>
  <c r="C29" i="17"/>
  <c r="C28" i="17"/>
  <c r="J36" i="9"/>
  <c r="J38" i="9"/>
  <c r="J39" i="9"/>
  <c r="D28" i="17"/>
  <c r="J42" i="9"/>
  <c r="D26" i="17"/>
  <c r="D27" i="17"/>
  <c r="D30" i="17"/>
  <c r="D31" i="17"/>
  <c r="K36" i="9"/>
  <c r="K38" i="9"/>
  <c r="K39" i="9"/>
  <c r="K40" i="9"/>
  <c r="K41" i="9"/>
  <c r="K42" i="9"/>
  <c r="L37" i="9"/>
  <c r="L36" i="9"/>
  <c r="L38" i="9"/>
  <c r="L39" i="9"/>
  <c r="L40" i="9"/>
  <c r="L41" i="9"/>
  <c r="L42" i="9"/>
  <c r="B4" i="11"/>
  <c r="B201" i="7"/>
  <c r="B202" i="7"/>
  <c r="B203" i="7"/>
  <c r="B175" i="38" s="1"/>
  <c r="B204" i="7"/>
  <c r="B205" i="7"/>
  <c r="B177" i="38" s="1"/>
  <c r="B206" i="7"/>
  <c r="B178" i="38" s="1"/>
  <c r="B10" i="11"/>
  <c r="B28" i="38" s="1"/>
  <c r="C10" i="11"/>
  <c r="B29" i="38" s="1"/>
  <c r="D10" i="11"/>
  <c r="B30" i="38" s="1"/>
  <c r="I33" i="11"/>
  <c r="F55" i="38" s="1"/>
  <c r="H33" i="11"/>
  <c r="F54" i="38" s="1"/>
  <c r="G33" i="11"/>
  <c r="F53" i="38" s="1"/>
  <c r="I28" i="11"/>
  <c r="E55" i="38" s="1"/>
  <c r="H28" i="11"/>
  <c r="E54" i="38" s="1"/>
  <c r="G28" i="11"/>
  <c r="E53" i="38" s="1"/>
  <c r="I23" i="11"/>
  <c r="D55" i="38" s="1"/>
  <c r="H23" i="11"/>
  <c r="D54" i="38" s="1"/>
  <c r="G23" i="11"/>
  <c r="D53" i="38" s="1"/>
  <c r="I19" i="11"/>
  <c r="C55" i="38" s="1"/>
  <c r="H19" i="11"/>
  <c r="C54" i="38" s="1"/>
  <c r="G19" i="11"/>
  <c r="C53" i="38" s="1"/>
  <c r="I32" i="11"/>
  <c r="F91" i="38" s="1"/>
  <c r="H32" i="11"/>
  <c r="F90" i="38" s="1"/>
  <c r="G32" i="11"/>
  <c r="F89" i="38" s="1"/>
  <c r="I27" i="11"/>
  <c r="E91" i="38" s="1"/>
  <c r="H27" i="11"/>
  <c r="E90" i="38" s="1"/>
  <c r="G27" i="11"/>
  <c r="E89" i="38" s="1"/>
  <c r="I22" i="11"/>
  <c r="D91" i="38" s="1"/>
  <c r="H22" i="11"/>
  <c r="D90" i="38" s="1"/>
  <c r="G22" i="11"/>
  <c r="D89" i="38" s="1"/>
  <c r="I18" i="11"/>
  <c r="C91" i="38" s="1"/>
  <c r="H18" i="11"/>
  <c r="C90" i="38" s="1"/>
  <c r="G18" i="11"/>
  <c r="C89" i="38" s="1"/>
  <c r="I14" i="11"/>
  <c r="B91" i="38" s="1"/>
  <c r="H14" i="11"/>
  <c r="B90" i="38" s="1"/>
  <c r="G14" i="11"/>
  <c r="B89" i="38" s="1"/>
  <c r="I15" i="11"/>
  <c r="B55" i="38" s="1"/>
  <c r="H15" i="11"/>
  <c r="B54" i="38" s="1"/>
  <c r="G15" i="11"/>
  <c r="B53" i="38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C45" i="11"/>
  <c r="E45" i="11"/>
  <c r="B45" i="11"/>
  <c r="D45" i="11"/>
  <c r="F45" i="11"/>
  <c r="E25" i="17"/>
  <c r="E26" i="17"/>
  <c r="E27" i="17"/>
  <c r="E28" i="17"/>
  <c r="E29" i="17"/>
  <c r="E30" i="17"/>
  <c r="E31" i="17"/>
  <c r="F25" i="17"/>
  <c r="F26" i="17"/>
  <c r="F27" i="17"/>
  <c r="F28" i="17"/>
  <c r="F29" i="17"/>
  <c r="F30" i="17"/>
  <c r="F31" i="17"/>
  <c r="J14" i="11"/>
  <c r="B92" i="38" s="1"/>
  <c r="J27" i="11"/>
  <c r="E92" i="38" s="1"/>
  <c r="J32" i="11"/>
  <c r="F92" i="38" s="1"/>
  <c r="B25" i="18"/>
  <c r="C31" i="18"/>
  <c r="C341" i="38" s="1"/>
  <c r="D29" i="18"/>
  <c r="D339" i="38" s="1"/>
  <c r="D28" i="18"/>
  <c r="D338" i="38" s="1"/>
  <c r="E29" i="11"/>
  <c r="D27" i="18"/>
  <c r="D337" i="38" s="1"/>
  <c r="C24" i="18"/>
  <c r="C25" i="18"/>
  <c r="C335" i="38" s="1"/>
  <c r="C2" i="17"/>
  <c r="D2" i="17"/>
  <c r="B1" i="18" s="1"/>
  <c r="E2" i="17"/>
  <c r="C1" i="18" s="1"/>
  <c r="F2" i="17"/>
  <c r="D1" i="18" s="1"/>
  <c r="B2" i="17"/>
  <c r="E4" i="18"/>
  <c r="B47" i="11" s="1"/>
  <c r="E5" i="18"/>
  <c r="C47" i="11" s="1"/>
  <c r="E3" i="18"/>
  <c r="A31" i="11"/>
  <c r="A26" i="11"/>
  <c r="A21" i="11"/>
  <c r="A17" i="11"/>
  <c r="A13" i="11"/>
  <c r="B14" i="11"/>
  <c r="B84" i="38" s="1"/>
  <c r="B18" i="11"/>
  <c r="C84" i="38" s="1"/>
  <c r="B22" i="11"/>
  <c r="D84" i="38" s="1"/>
  <c r="B27" i="11"/>
  <c r="E84" i="38" s="1"/>
  <c r="B32" i="11"/>
  <c r="F84" i="38" s="1"/>
  <c r="C14" i="11"/>
  <c r="B85" i="38" s="1"/>
  <c r="C18" i="11"/>
  <c r="C85" i="38" s="1"/>
  <c r="C22" i="11"/>
  <c r="D85" i="38" s="1"/>
  <c r="C27" i="11"/>
  <c r="E85" i="38" s="1"/>
  <c r="C32" i="11"/>
  <c r="F85" i="38" s="1"/>
  <c r="D14" i="11"/>
  <c r="B86" i="38" s="1"/>
  <c r="D18" i="11"/>
  <c r="C86" i="38" s="1"/>
  <c r="D22" i="11"/>
  <c r="D86" i="38" s="1"/>
  <c r="D27" i="11"/>
  <c r="E86" i="38" s="1"/>
  <c r="D32" i="11"/>
  <c r="F86" i="38" s="1"/>
  <c r="E14" i="11"/>
  <c r="B87" i="38" s="1"/>
  <c r="E18" i="11"/>
  <c r="C87" i="38" s="1"/>
  <c r="E22" i="11"/>
  <c r="D87" i="38" s="1"/>
  <c r="E27" i="11"/>
  <c r="E87" i="38" s="1"/>
  <c r="E32" i="11"/>
  <c r="F87" i="38" s="1"/>
  <c r="F14" i="11"/>
  <c r="B88" i="38" s="1"/>
  <c r="F18" i="11"/>
  <c r="C88" i="38" s="1"/>
  <c r="F22" i="11"/>
  <c r="D88" i="38" s="1"/>
  <c r="F27" i="11"/>
  <c r="E88" i="38" s="1"/>
  <c r="F32" i="11"/>
  <c r="F88" i="38" s="1"/>
  <c r="B15" i="11"/>
  <c r="B48" i="38" s="1"/>
  <c r="B19" i="11"/>
  <c r="C48" i="38" s="1"/>
  <c r="B23" i="11"/>
  <c r="D48" i="38" s="1"/>
  <c r="B28" i="11"/>
  <c r="E48" i="38" s="1"/>
  <c r="B33" i="11"/>
  <c r="F48" i="38" s="1"/>
  <c r="C15" i="11"/>
  <c r="B49" i="38" s="1"/>
  <c r="C19" i="11"/>
  <c r="C49" i="38" s="1"/>
  <c r="C23" i="11"/>
  <c r="D49" i="38" s="1"/>
  <c r="C28" i="11"/>
  <c r="E49" i="38" s="1"/>
  <c r="C33" i="11"/>
  <c r="F49" i="38" s="1"/>
  <c r="D15" i="11"/>
  <c r="B50" i="38" s="1"/>
  <c r="D19" i="11"/>
  <c r="C50" i="38" s="1"/>
  <c r="D23" i="11"/>
  <c r="D50" i="38" s="1"/>
  <c r="D28" i="11"/>
  <c r="E50" i="38" s="1"/>
  <c r="D33" i="11"/>
  <c r="F50" i="38" s="1"/>
  <c r="E15" i="11"/>
  <c r="B51" i="38" s="1"/>
  <c r="E19" i="11"/>
  <c r="C51" i="38" s="1"/>
  <c r="E23" i="11"/>
  <c r="D51" i="38" s="1"/>
  <c r="E28" i="11"/>
  <c r="E51" i="38" s="1"/>
  <c r="E33" i="11"/>
  <c r="F51" i="38" s="1"/>
  <c r="F15" i="11"/>
  <c r="B52" i="38" s="1"/>
  <c r="F19" i="11"/>
  <c r="C52" i="38" s="1"/>
  <c r="F23" i="11"/>
  <c r="D52" i="38" s="1"/>
  <c r="F28" i="11"/>
  <c r="E52" i="38" s="1"/>
  <c r="F33" i="11"/>
  <c r="F52" i="38" s="1"/>
  <c r="B24" i="11"/>
  <c r="B29" i="11"/>
  <c r="B34" i="11"/>
  <c r="C24" i="11"/>
  <c r="C29" i="11"/>
  <c r="C34" i="11"/>
  <c r="D29" i="11"/>
  <c r="D34" i="11"/>
  <c r="E34" i="11"/>
  <c r="F34" i="11"/>
  <c r="G29" i="11"/>
  <c r="H29" i="11"/>
  <c r="I29" i="11"/>
  <c r="C27" i="18"/>
  <c r="C337" i="38" s="1"/>
  <c r="G34" i="11"/>
  <c r="B29" i="18"/>
  <c r="B339" i="38" s="1"/>
  <c r="G24" i="11"/>
  <c r="J18" i="11"/>
  <c r="C92" i="38" s="1"/>
  <c r="D29" i="17"/>
  <c r="J41" i="9"/>
  <c r="H39" i="9"/>
  <c r="B27" i="17"/>
  <c r="L43" i="9"/>
  <c r="J40" i="9"/>
  <c r="K37" i="9"/>
  <c r="J37" i="9"/>
  <c r="D25" i="17"/>
  <c r="I38" i="9"/>
  <c r="C26" i="17"/>
  <c r="C30" i="17"/>
  <c r="I42" i="9"/>
  <c r="H42" i="9"/>
  <c r="I36" i="9"/>
  <c r="C31" i="17"/>
  <c r="B29" i="17"/>
  <c r="B25" i="17"/>
  <c r="H45" i="11"/>
  <c r="M18" i="11"/>
  <c r="K33" i="11"/>
  <c r="F57" i="38" s="1"/>
  <c r="J45" i="9"/>
  <c r="I45" i="9"/>
  <c r="K15" i="11"/>
  <c r="B57" i="38" s="1"/>
  <c r="K34" i="11"/>
  <c r="F35" i="17"/>
  <c r="K22" i="11"/>
  <c r="D93" i="38" s="1"/>
  <c r="M23" i="11"/>
  <c r="M15" i="11"/>
  <c r="M19" i="11"/>
  <c r="K32" i="11"/>
  <c r="F93" i="38" s="1"/>
  <c r="C34" i="17"/>
  <c r="B33" i="17"/>
  <c r="C26" i="18"/>
  <c r="C336" i="38" s="1"/>
  <c r="C29" i="18"/>
  <c r="C339" i="38" s="1"/>
  <c r="K27" i="11"/>
  <c r="E93" i="38" s="1"/>
  <c r="B27" i="18"/>
  <c r="B337" i="38" s="1"/>
  <c r="E7" i="18"/>
  <c r="E47" i="11" s="1"/>
  <c r="B35" i="17"/>
  <c r="L15" i="11"/>
  <c r="L33" i="11"/>
  <c r="L28" i="11"/>
  <c r="L19" i="11"/>
  <c r="T200" i="7"/>
  <c r="T202" i="7"/>
  <c r="T201" i="7"/>
  <c r="M27" i="11"/>
  <c r="D35" i="17"/>
  <c r="L22" i="11"/>
  <c r="K14" i="11"/>
  <c r="B93" i="38" s="1"/>
  <c r="L14" i="11"/>
  <c r="B34" i="17"/>
  <c r="L32" i="11"/>
  <c r="C35" i="17"/>
  <c r="L18" i="11"/>
  <c r="K45" i="9"/>
  <c r="C33" i="17"/>
  <c r="K18" i="11"/>
  <c r="C93" i="38" s="1"/>
  <c r="J28" i="11"/>
  <c r="E56" i="38" s="1"/>
  <c r="C109" i="40" l="1"/>
  <c r="E109" i="40" s="1"/>
  <c r="C109" i="7"/>
  <c r="F108" i="40"/>
  <c r="R108" i="40"/>
  <c r="D148" i="7"/>
  <c r="B173" i="38"/>
  <c r="B217" i="7"/>
  <c r="D108" i="38"/>
  <c r="F106" i="38"/>
  <c r="C105" i="38"/>
  <c r="E109" i="38"/>
  <c r="E113" i="38"/>
  <c r="F108" i="38"/>
  <c r="C107" i="38"/>
  <c r="C30" i="38"/>
  <c r="B40" i="17"/>
  <c r="D106" i="38"/>
  <c r="E105" i="38"/>
  <c r="B335" i="38"/>
  <c r="E110" i="38"/>
  <c r="F109" i="38"/>
  <c r="C108" i="38"/>
  <c r="D107" i="38"/>
  <c r="E106" i="38"/>
  <c r="F105" i="38"/>
  <c r="H85" i="38"/>
  <c r="H91" i="38"/>
  <c r="D110" i="38"/>
  <c r="F112" i="38"/>
  <c r="D334" i="38"/>
  <c r="C334" i="38"/>
  <c r="D111" i="38"/>
  <c r="D109" i="38"/>
  <c r="E108" i="38"/>
  <c r="F107" i="38"/>
  <c r="C106" i="38"/>
  <c r="D105" i="38"/>
  <c r="D112" i="38"/>
  <c r="C29" i="38"/>
  <c r="P503" i="38"/>
  <c r="G98" i="38"/>
  <c r="G118" i="38" s="1"/>
  <c r="H93" i="38"/>
  <c r="M499" i="38"/>
  <c r="F58" i="38"/>
  <c r="N494" i="38"/>
  <c r="E59" i="38"/>
  <c r="M481" i="38"/>
  <c r="B58" i="38"/>
  <c r="N493" i="38"/>
  <c r="E96" i="38"/>
  <c r="B110" i="38"/>
  <c r="H53" i="38"/>
  <c r="H54" i="38"/>
  <c r="B111" i="38"/>
  <c r="M498" i="38"/>
  <c r="F94" i="38"/>
  <c r="N481" i="38"/>
  <c r="B59" i="38"/>
  <c r="F114" i="38"/>
  <c r="H51" i="38"/>
  <c r="B108" i="38"/>
  <c r="H84" i="38"/>
  <c r="B112" i="38"/>
  <c r="H55" i="38"/>
  <c r="C110" i="38"/>
  <c r="E112" i="38"/>
  <c r="U558" i="38"/>
  <c r="T577" i="38"/>
  <c r="AA577" i="38" s="1"/>
  <c r="B109" i="38"/>
  <c r="H52" i="38"/>
  <c r="N480" i="38"/>
  <c r="B96" i="38"/>
  <c r="M488" i="38"/>
  <c r="D94" i="38"/>
  <c r="H88" i="38"/>
  <c r="B114" i="38"/>
  <c r="H50" i="38"/>
  <c r="B107" i="38"/>
  <c r="H86" i="38"/>
  <c r="B105" i="38"/>
  <c r="H48" i="38"/>
  <c r="E111" i="38"/>
  <c r="N489" i="38"/>
  <c r="D59" i="38"/>
  <c r="N484" i="38"/>
  <c r="C96" i="38"/>
  <c r="H87" i="38"/>
  <c r="H89" i="38"/>
  <c r="C111" i="38"/>
  <c r="F110" i="38"/>
  <c r="E114" i="38"/>
  <c r="M494" i="38"/>
  <c r="E58" i="38"/>
  <c r="M489" i="38"/>
  <c r="D58" i="38"/>
  <c r="N498" i="38"/>
  <c r="F96" i="38"/>
  <c r="M484" i="38"/>
  <c r="C94" i="38"/>
  <c r="N485" i="38"/>
  <c r="C59" i="38"/>
  <c r="M480" i="38"/>
  <c r="B94" i="38"/>
  <c r="M485" i="38"/>
  <c r="C58" i="38"/>
  <c r="C109" i="38"/>
  <c r="E107" i="38"/>
  <c r="H49" i="38"/>
  <c r="B106" i="38"/>
  <c r="H90" i="38"/>
  <c r="C112" i="38"/>
  <c r="F111" i="38"/>
  <c r="C31" i="38"/>
  <c r="B113" i="38"/>
  <c r="F4" i="11"/>
  <c r="B176" i="38"/>
  <c r="X202" i="7"/>
  <c r="C174" i="38"/>
  <c r="X200" i="7"/>
  <c r="C172" i="38"/>
  <c r="X201" i="7"/>
  <c r="C173" i="38"/>
  <c r="B14" i="9"/>
  <c r="F14" i="9" s="1"/>
  <c r="B174" i="38"/>
  <c r="H92" i="36"/>
  <c r="S109" i="7"/>
  <c r="M66" i="9"/>
  <c r="M70" i="9" s="1"/>
  <c r="G43" i="11"/>
  <c r="H42" i="11"/>
  <c r="D42" i="11"/>
  <c r="G42" i="11"/>
  <c r="E42" i="11"/>
  <c r="E41" i="11"/>
  <c r="F31" i="38" s="1"/>
  <c r="G41" i="11"/>
  <c r="F33" i="38" s="1"/>
  <c r="B43" i="11"/>
  <c r="B52" i="11" s="1"/>
  <c r="D41" i="11"/>
  <c r="F30" i="38" s="1"/>
  <c r="B41" i="11"/>
  <c r="F28" i="38" s="1"/>
  <c r="I42" i="11"/>
  <c r="C42" i="11"/>
  <c r="H41" i="11"/>
  <c r="F34" i="38" s="1"/>
  <c r="C43" i="11"/>
  <c r="C52" i="11" s="1"/>
  <c r="F42" i="11"/>
  <c r="C41" i="11"/>
  <c r="F29" i="38" s="1"/>
  <c r="I41" i="11"/>
  <c r="F35" i="38" s="1"/>
  <c r="L42" i="11"/>
  <c r="B42" i="11"/>
  <c r="K41" i="11"/>
  <c r="F37" i="38" s="1"/>
  <c r="F41" i="11"/>
  <c r="F32" i="38" s="1"/>
  <c r="I58" i="9"/>
  <c r="D46" i="11"/>
  <c r="C46" i="11"/>
  <c r="T39" i="7"/>
  <c r="U39" i="7" s="1"/>
  <c r="V39" i="7" s="1"/>
  <c r="E46" i="11"/>
  <c r="F46" i="11"/>
  <c r="F10" i="11"/>
  <c r="B32" i="38" s="1"/>
  <c r="C32" i="38" s="1"/>
  <c r="L56" i="9"/>
  <c r="K56" i="9"/>
  <c r="L24" i="11"/>
  <c r="M490" i="38" s="1"/>
  <c r="J34" i="11"/>
  <c r="J24" i="11"/>
  <c r="L29" i="11"/>
  <c r="M495" i="38" s="1"/>
  <c r="M34" i="11"/>
  <c r="N500" i="38" s="1"/>
  <c r="S21" i="32"/>
  <c r="T21" i="32"/>
  <c r="U21" i="32"/>
  <c r="K24" i="11"/>
  <c r="H226" i="7"/>
  <c r="H228" i="7"/>
  <c r="H230" i="7"/>
  <c r="H232" i="7"/>
  <c r="H234" i="7"/>
  <c r="T41" i="32"/>
  <c r="U41" i="32"/>
  <c r="H225" i="7"/>
  <c r="H227" i="7"/>
  <c r="H229" i="7"/>
  <c r="H231" i="7"/>
  <c r="H233" i="7"/>
  <c r="H235" i="7"/>
  <c r="H4" i="11"/>
  <c r="B22" i="9"/>
  <c r="L4" i="11"/>
  <c r="M469" i="38" s="1"/>
  <c r="B16" i="9"/>
  <c r="B20" i="9"/>
  <c r="J4" i="11"/>
  <c r="E4" i="11"/>
  <c r="K4" i="11"/>
  <c r="I4" i="11"/>
  <c r="G10" i="11"/>
  <c r="B33" i="38" s="1"/>
  <c r="H10" i="11"/>
  <c r="B34" i="38" s="1"/>
  <c r="C35" i="38" s="1"/>
  <c r="K57" i="9"/>
  <c r="J56" i="9"/>
  <c r="H54" i="9"/>
  <c r="I59" i="9"/>
  <c r="D35" i="18"/>
  <c r="D345" i="38" s="1"/>
  <c r="I45" i="11"/>
  <c r="H44" i="9"/>
  <c r="K60" i="9"/>
  <c r="I56" i="9"/>
  <c r="K59" i="9"/>
  <c r="H60" i="9"/>
  <c r="J59" i="9"/>
  <c r="B33" i="18"/>
  <c r="B343" i="38" s="1"/>
  <c r="L47" i="9"/>
  <c r="L65" i="9" s="1"/>
  <c r="K47" i="9"/>
  <c r="K65" i="9" s="1"/>
  <c r="E15" i="18"/>
  <c r="H45" i="9"/>
  <c r="I46" i="9"/>
  <c r="I63" i="9" s="1"/>
  <c r="J57" i="9"/>
  <c r="D33" i="18"/>
  <c r="D343" i="38" s="1"/>
  <c r="M33" i="11"/>
  <c r="L46" i="9"/>
  <c r="K23" i="11"/>
  <c r="D57" i="38" s="1"/>
  <c r="D114" i="38" s="1"/>
  <c r="H46" i="9"/>
  <c r="I55" i="9"/>
  <c r="G46" i="11"/>
  <c r="C34" i="18"/>
  <c r="C344" i="38" s="1"/>
  <c r="H47" i="9"/>
  <c r="I47" i="9"/>
  <c r="I65" i="9" s="1"/>
  <c r="H56" i="9"/>
  <c r="I60" i="9"/>
  <c r="L55" i="9"/>
  <c r="H59" i="9"/>
  <c r="H55" i="9"/>
  <c r="J54" i="9"/>
  <c r="J60" i="9"/>
  <c r="G4" i="11"/>
  <c r="B17" i="9"/>
  <c r="B21" i="9"/>
  <c r="C14" i="9"/>
  <c r="U201" i="7"/>
  <c r="B15" i="9"/>
  <c r="C5" i="11"/>
  <c r="C13" i="9"/>
  <c r="B19" i="9"/>
  <c r="D4" i="11"/>
  <c r="K54" i="9"/>
  <c r="J58" i="9"/>
  <c r="K29" i="11"/>
  <c r="E13" i="18"/>
  <c r="C33" i="18"/>
  <c r="C343" i="38" s="1"/>
  <c r="J33" i="11"/>
  <c r="F56" i="38" s="1"/>
  <c r="F113" i="38" s="1"/>
  <c r="D32" i="18"/>
  <c r="D342" i="38" s="1"/>
  <c r="J29" i="11"/>
  <c r="E10" i="18"/>
  <c r="H24" i="11"/>
  <c r="B30" i="18"/>
  <c r="B340" i="38" s="1"/>
  <c r="G45" i="11"/>
  <c r="L44" i="9"/>
  <c r="D5" i="11"/>
  <c r="U202" i="7"/>
  <c r="B32" i="18"/>
  <c r="B342" i="38" s="1"/>
  <c r="E12" i="18"/>
  <c r="B12" i="9"/>
  <c r="L57" i="9"/>
  <c r="K55" i="9"/>
  <c r="H57" i="9"/>
  <c r="H58" i="9"/>
  <c r="E11" i="18"/>
  <c r="I24" i="11"/>
  <c r="B31" i="18"/>
  <c r="B341" i="38" s="1"/>
  <c r="D32" i="17"/>
  <c r="J44" i="9"/>
  <c r="J62" i="9" s="1"/>
  <c r="J22" i="11"/>
  <c r="D92" i="38" s="1"/>
  <c r="D113" i="38" s="1"/>
  <c r="T40" i="7"/>
  <c r="U40" i="7" s="1"/>
  <c r="V40" i="7" s="1"/>
  <c r="C12" i="9"/>
  <c r="B5" i="11"/>
  <c r="B6" i="11" s="1"/>
  <c r="E24" i="11"/>
  <c r="E43" i="11" s="1"/>
  <c r="I34" i="11"/>
  <c r="D31" i="18"/>
  <c r="D341" i="38" s="1"/>
  <c r="H46" i="11"/>
  <c r="L60" i="9"/>
  <c r="C28" i="18"/>
  <c r="C338" i="38" s="1"/>
  <c r="F29" i="11"/>
  <c r="C30" i="18"/>
  <c r="C340" i="38" s="1"/>
  <c r="B18" i="9"/>
  <c r="L45" i="9"/>
  <c r="F33" i="17"/>
  <c r="F34" i="17"/>
  <c r="D24" i="11"/>
  <c r="D43" i="11" s="1"/>
  <c r="E9" i="18"/>
  <c r="D30" i="18"/>
  <c r="D340" i="38" s="1"/>
  <c r="H34" i="11"/>
  <c r="B46" i="11"/>
  <c r="L58" i="9"/>
  <c r="L59" i="9"/>
  <c r="K58" i="9"/>
  <c r="I54" i="9"/>
  <c r="E6" i="18"/>
  <c r="D47" i="11" s="1"/>
  <c r="I46" i="11"/>
  <c r="B26" i="18"/>
  <c r="B336" i="38" s="1"/>
  <c r="C32" i="17"/>
  <c r="I57" i="9"/>
  <c r="L54" i="9"/>
  <c r="J55" i="9"/>
  <c r="M4" i="11"/>
  <c r="N469" i="38" s="1"/>
  <c r="B23" i="9"/>
  <c r="C4" i="11"/>
  <c r="B13" i="9"/>
  <c r="K44" i="9"/>
  <c r="C32" i="18"/>
  <c r="C342" i="38" s="1"/>
  <c r="M24" i="11"/>
  <c r="N490" i="38" s="1"/>
  <c r="B35" i="18"/>
  <c r="B345" i="38" s="1"/>
  <c r="D33" i="17"/>
  <c r="D34" i="17"/>
  <c r="M29" i="11"/>
  <c r="N495" i="38" s="1"/>
  <c r="C35" i="18"/>
  <c r="C345" i="38" s="1"/>
  <c r="L27" i="11"/>
  <c r="E34" i="17"/>
  <c r="E35" i="17"/>
  <c r="K46" i="9"/>
  <c r="L45" i="11"/>
  <c r="L34" i="11"/>
  <c r="M500" i="38" s="1"/>
  <c r="D34" i="18"/>
  <c r="D344" i="38" s="1"/>
  <c r="M10" i="11"/>
  <c r="J47" i="9"/>
  <c r="J65" i="9" s="1"/>
  <c r="E14" i="18"/>
  <c r="E33" i="17"/>
  <c r="K19" i="11"/>
  <c r="C57" i="38" s="1"/>
  <c r="C114" i="38" s="1"/>
  <c r="K10" i="11"/>
  <c r="B37" i="38" s="1"/>
  <c r="M22" i="11"/>
  <c r="M45" i="11"/>
  <c r="I44" i="9"/>
  <c r="J19" i="11"/>
  <c r="C56" i="38" s="1"/>
  <c r="C113" i="38" s="1"/>
  <c r="J10" i="11"/>
  <c r="B36" i="38" s="1"/>
  <c r="C36" i="38" s="1"/>
  <c r="J46" i="9"/>
  <c r="J63" i="9" s="1"/>
  <c r="B34" i="18"/>
  <c r="B344" i="38" s="1"/>
  <c r="L10" i="11"/>
  <c r="C110" i="40" l="1"/>
  <c r="C110" i="7"/>
  <c r="C208" i="7" s="1"/>
  <c r="R109" i="40"/>
  <c r="F109" i="40"/>
  <c r="D149" i="7"/>
  <c r="G29" i="38"/>
  <c r="G35" i="38"/>
  <c r="C116" i="38"/>
  <c r="G34" i="38"/>
  <c r="C348" i="38"/>
  <c r="C349" i="38" s="1"/>
  <c r="C33" i="38"/>
  <c r="G30" i="38"/>
  <c r="D348" i="38"/>
  <c r="D115" i="38"/>
  <c r="X535" i="38"/>
  <c r="W554" i="38"/>
  <c r="B116" i="38"/>
  <c r="F115" i="38"/>
  <c r="N476" i="38"/>
  <c r="B39" i="38"/>
  <c r="N499" i="38"/>
  <c r="N508" i="38" s="1"/>
  <c r="F59" i="38"/>
  <c r="F116" i="38" s="1"/>
  <c r="W536" i="38"/>
  <c r="X517" i="38"/>
  <c r="M509" i="38"/>
  <c r="G33" i="38"/>
  <c r="U535" i="38"/>
  <c r="T554" i="38"/>
  <c r="T553" i="38"/>
  <c r="U534" i="38"/>
  <c r="X534" i="38"/>
  <c r="W553" i="38"/>
  <c r="U517" i="38"/>
  <c r="T525" i="38" s="1"/>
  <c r="T536" i="38"/>
  <c r="U516" i="38"/>
  <c r="T524" i="38" s="1"/>
  <c r="T535" i="38"/>
  <c r="M476" i="38"/>
  <c r="B38" i="38"/>
  <c r="C38" i="38" s="1"/>
  <c r="C37" i="38"/>
  <c r="B226" i="38"/>
  <c r="X516" i="38"/>
  <c r="W535" i="38"/>
  <c r="H57" i="38"/>
  <c r="H58" i="38"/>
  <c r="B115" i="38"/>
  <c r="T596" i="38"/>
  <c r="U577" i="38"/>
  <c r="W556" i="38"/>
  <c r="X537" i="38"/>
  <c r="H56" i="38"/>
  <c r="N488" i="38"/>
  <c r="N507" i="38" s="1"/>
  <c r="D96" i="38"/>
  <c r="H96" i="38" s="1"/>
  <c r="G32" i="38"/>
  <c r="C115" i="38"/>
  <c r="U537" i="38"/>
  <c r="T556" i="38"/>
  <c r="X538" i="38"/>
  <c r="W557" i="38"/>
  <c r="T557" i="38"/>
  <c r="U538" i="38"/>
  <c r="T566" i="38"/>
  <c r="AB558" i="38"/>
  <c r="AA566" i="38" s="1"/>
  <c r="W534" i="38"/>
  <c r="M508" i="38"/>
  <c r="X515" i="38"/>
  <c r="M493" i="38"/>
  <c r="M507" i="38" s="1"/>
  <c r="E94" i="38"/>
  <c r="E115" i="38" s="1"/>
  <c r="G31" i="38"/>
  <c r="W538" i="38"/>
  <c r="X519" i="38"/>
  <c r="U519" i="38"/>
  <c r="T527" i="38" s="1"/>
  <c r="T538" i="38"/>
  <c r="X536" i="38"/>
  <c r="W555" i="38"/>
  <c r="N509" i="38"/>
  <c r="C34" i="38"/>
  <c r="X518" i="38"/>
  <c r="W537" i="38"/>
  <c r="U515" i="38"/>
  <c r="T534" i="38"/>
  <c r="H92" i="38"/>
  <c r="E116" i="38"/>
  <c r="D172" i="38"/>
  <c r="F172" i="38"/>
  <c r="D173" i="38"/>
  <c r="F173" i="38"/>
  <c r="D174" i="38"/>
  <c r="F174" i="38"/>
  <c r="F40" i="17"/>
  <c r="F226" i="38" s="1"/>
  <c r="J41" i="11"/>
  <c r="F36" i="38" s="1"/>
  <c r="G36" i="38" s="1"/>
  <c r="S110" i="7"/>
  <c r="J92" i="36"/>
  <c r="H10" i="36" s="1"/>
  <c r="I10" i="36" s="1"/>
  <c r="H93" i="36" s="1"/>
  <c r="I92" i="36"/>
  <c r="K9" i="36" s="1"/>
  <c r="L9" i="36" s="1"/>
  <c r="G249" i="38"/>
  <c r="G300" i="38" s="1"/>
  <c r="U200" i="7"/>
  <c r="V200" i="7" s="1"/>
  <c r="H43" i="11"/>
  <c r="F15" i="9"/>
  <c r="D39" i="7" s="1"/>
  <c r="J42" i="11"/>
  <c r="D51" i="11"/>
  <c r="C44" i="17"/>
  <c r="K43" i="11"/>
  <c r="J43" i="11"/>
  <c r="L41" i="11"/>
  <c r="F38" i="38" s="1"/>
  <c r="G38" i="38" s="1"/>
  <c r="K42" i="11"/>
  <c r="M41" i="11"/>
  <c r="F39" i="38" s="1"/>
  <c r="I43" i="11"/>
  <c r="L43" i="11"/>
  <c r="M43" i="11"/>
  <c r="M42" i="11"/>
  <c r="F16" i="9"/>
  <c r="D51" i="7" s="1"/>
  <c r="D14" i="9"/>
  <c r="E14" i="9" s="1"/>
  <c r="C51" i="11"/>
  <c r="K23" i="32"/>
  <c r="E51" i="11"/>
  <c r="F51" i="11"/>
  <c r="I51" i="11"/>
  <c r="H224" i="7"/>
  <c r="M47" i="11"/>
  <c r="S41" i="32"/>
  <c r="L47" i="11"/>
  <c r="V202" i="7"/>
  <c r="V201" i="7"/>
  <c r="H50" i="11"/>
  <c r="F20" i="9"/>
  <c r="D99" i="7" s="1"/>
  <c r="F22" i="9"/>
  <c r="D123" i="7" s="1"/>
  <c r="F50" i="11"/>
  <c r="D50" i="11"/>
  <c r="B50" i="11"/>
  <c r="C50" i="11"/>
  <c r="E50" i="11"/>
  <c r="I50" i="11"/>
  <c r="E52" i="11"/>
  <c r="H51" i="11"/>
  <c r="G51" i="11"/>
  <c r="H61" i="9"/>
  <c r="L63" i="9"/>
  <c r="B51" i="11"/>
  <c r="D52" i="11"/>
  <c r="H62" i="9"/>
  <c r="G50" i="11"/>
  <c r="L64" i="9"/>
  <c r="H64" i="9"/>
  <c r="H63" i="9"/>
  <c r="I64" i="9"/>
  <c r="J47" i="11"/>
  <c r="L62" i="9"/>
  <c r="F23" i="9"/>
  <c r="D135" i="7" s="1"/>
  <c r="F17" i="9"/>
  <c r="D63" i="7" s="1"/>
  <c r="F21" i="9"/>
  <c r="D111" i="7" s="1"/>
  <c r="B44" i="17"/>
  <c r="C6" i="11"/>
  <c r="D12" i="9"/>
  <c r="E12" i="9" s="1"/>
  <c r="F12" i="9"/>
  <c r="D6" i="11"/>
  <c r="F19" i="9"/>
  <c r="D87" i="7" s="1"/>
  <c r="C40" i="17"/>
  <c r="C226" i="38" s="1"/>
  <c r="J45" i="11"/>
  <c r="G47" i="11"/>
  <c r="G52" i="11" s="1"/>
  <c r="F18" i="9"/>
  <c r="D75" i="7" s="1"/>
  <c r="I47" i="11"/>
  <c r="H47" i="11"/>
  <c r="K47" i="11"/>
  <c r="J61" i="9"/>
  <c r="E8" i="18"/>
  <c r="F47" i="11" s="1"/>
  <c r="B28" i="18"/>
  <c r="B338" i="38" s="1"/>
  <c r="F24" i="11"/>
  <c r="F43" i="11" s="1"/>
  <c r="L61" i="9"/>
  <c r="F13" i="9"/>
  <c r="D13" i="9"/>
  <c r="E13" i="9" s="1"/>
  <c r="I61" i="9"/>
  <c r="I62" i="9"/>
  <c r="K62" i="9"/>
  <c r="K61" i="9"/>
  <c r="K63" i="9"/>
  <c r="K64" i="9"/>
  <c r="K45" i="11"/>
  <c r="J64" i="9"/>
  <c r="C111" i="40" l="1"/>
  <c r="C111" i="7"/>
  <c r="E110" i="40"/>
  <c r="C208" i="40"/>
  <c r="D124" i="7"/>
  <c r="D100" i="7"/>
  <c r="E99" i="7"/>
  <c r="R99" i="7" s="1"/>
  <c r="D88" i="7"/>
  <c r="E87" i="7"/>
  <c r="R87" i="7" s="1"/>
  <c r="D112" i="7"/>
  <c r="E111" i="7"/>
  <c r="R111" i="7" s="1"/>
  <c r="E39" i="7"/>
  <c r="R39" i="7" s="1"/>
  <c r="D40" i="7"/>
  <c r="D64" i="7"/>
  <c r="E63" i="7"/>
  <c r="R63" i="7" s="1"/>
  <c r="E75" i="7"/>
  <c r="R75" i="7" s="1"/>
  <c r="D76" i="7"/>
  <c r="D136" i="7"/>
  <c r="D52" i="7"/>
  <c r="E51" i="7"/>
  <c r="R51" i="7" s="1"/>
  <c r="D150" i="7"/>
  <c r="F29" i="9"/>
  <c r="D183" i="7" s="1"/>
  <c r="P14" i="11"/>
  <c r="Q480" i="38" s="1"/>
  <c r="H50" i="9"/>
  <c r="B19" i="17"/>
  <c r="C76" i="34" s="1"/>
  <c r="D116" i="38"/>
  <c r="AA535" i="38"/>
  <c r="AA536" i="38"/>
  <c r="T546" i="38"/>
  <c r="AA538" i="38"/>
  <c r="AA557" i="38"/>
  <c r="G37" i="38"/>
  <c r="B348" i="38"/>
  <c r="B349" i="38" s="1"/>
  <c r="D293" i="38" s="1"/>
  <c r="H94" i="38"/>
  <c r="T542" i="38"/>
  <c r="B231" i="38"/>
  <c r="W544" i="38"/>
  <c r="AA553" i="38"/>
  <c r="W561" i="38"/>
  <c r="H59" i="38"/>
  <c r="G39" i="38"/>
  <c r="W542" i="38"/>
  <c r="AB534" i="38"/>
  <c r="AB517" i="38"/>
  <c r="AA525" i="38" s="1"/>
  <c r="W525" i="38"/>
  <c r="W526" i="38"/>
  <c r="AB538" i="38"/>
  <c r="W546" i="38"/>
  <c r="AB537" i="38"/>
  <c r="W545" i="38"/>
  <c r="W524" i="38"/>
  <c r="AB516" i="38"/>
  <c r="AA524" i="38" s="1"/>
  <c r="AA554" i="38"/>
  <c r="W562" i="38"/>
  <c r="AA596" i="38"/>
  <c r="T604" i="38"/>
  <c r="AB515" i="38"/>
  <c r="AA523" i="38" s="1"/>
  <c r="W523" i="38"/>
  <c r="W527" i="38"/>
  <c r="AB519" i="38"/>
  <c r="AA527" i="38" s="1"/>
  <c r="AA534" i="38"/>
  <c r="AA556" i="38"/>
  <c r="C39" i="38"/>
  <c r="C40" i="38"/>
  <c r="W543" i="38"/>
  <c r="AB535" i="38"/>
  <c r="T523" i="38"/>
  <c r="U518" i="38"/>
  <c r="T526" i="38" s="1"/>
  <c r="T537" i="38"/>
  <c r="AA537" i="38" s="1"/>
  <c r="U536" i="38"/>
  <c r="AB536" i="38" s="1"/>
  <c r="T555" i="38"/>
  <c r="T559" i="38" s="1"/>
  <c r="T585" i="38"/>
  <c r="AB577" i="38"/>
  <c r="AA585" i="38" s="1"/>
  <c r="T543" i="38"/>
  <c r="H317" i="38"/>
  <c r="F317" i="38"/>
  <c r="G317" i="38"/>
  <c r="F318" i="38"/>
  <c r="H318" i="38"/>
  <c r="G318" i="38"/>
  <c r="F316" i="38"/>
  <c r="H316" i="38"/>
  <c r="G316" i="38"/>
  <c r="C64" i="38"/>
  <c r="C121" i="38" s="1"/>
  <c r="E64" i="38"/>
  <c r="E121" i="38" s="1"/>
  <c r="D64" i="38"/>
  <c r="D121" i="38" s="1"/>
  <c r="B64" i="38"/>
  <c r="F64" i="38"/>
  <c r="F121" i="38" s="1"/>
  <c r="G64" i="38"/>
  <c r="G121" i="38" s="1"/>
  <c r="D29" i="38"/>
  <c r="G173" i="38"/>
  <c r="D65" i="38"/>
  <c r="D122" i="38" s="1"/>
  <c r="F65" i="38"/>
  <c r="F122" i="38" s="1"/>
  <c r="E65" i="38"/>
  <c r="E122" i="38" s="1"/>
  <c r="B65" i="38"/>
  <c r="G65" i="38"/>
  <c r="G122" i="38" s="1"/>
  <c r="C65" i="38"/>
  <c r="C122" i="38" s="1"/>
  <c r="D30" i="38"/>
  <c r="G174" i="38"/>
  <c r="G172" i="38"/>
  <c r="E63" i="38"/>
  <c r="E120" i="38" s="1"/>
  <c r="D63" i="38"/>
  <c r="D120" i="38" s="1"/>
  <c r="G63" i="38"/>
  <c r="G120" i="38" s="1"/>
  <c r="B63" i="38"/>
  <c r="F63" i="38"/>
  <c r="F120" i="38" s="1"/>
  <c r="C63" i="38"/>
  <c r="C120" i="38" s="1"/>
  <c r="D28" i="38"/>
  <c r="W42" i="32"/>
  <c r="V42" i="32"/>
  <c r="S111" i="7"/>
  <c r="H94" i="36"/>
  <c r="M51" i="9"/>
  <c r="N14" i="11"/>
  <c r="U42" i="32"/>
  <c r="L43" i="32"/>
  <c r="T41" i="7"/>
  <c r="U41" i="7" s="1"/>
  <c r="V41" i="7" s="1"/>
  <c r="L52" i="11"/>
  <c r="M52" i="11"/>
  <c r="D40" i="17"/>
  <c r="E44" i="17"/>
  <c r="J51" i="11"/>
  <c r="M51" i="11"/>
  <c r="M50" i="11"/>
  <c r="K51" i="11"/>
  <c r="L51" i="11"/>
  <c r="L50" i="11"/>
  <c r="K52" i="11"/>
  <c r="J50" i="11"/>
  <c r="F52" i="11"/>
  <c r="J52" i="11"/>
  <c r="I52" i="11"/>
  <c r="H52" i="11"/>
  <c r="K50" i="11"/>
  <c r="D44" i="17"/>
  <c r="E40" i="17"/>
  <c r="N18" i="11"/>
  <c r="T42" i="7"/>
  <c r="U42" i="7" s="1"/>
  <c r="V42" i="7" s="1"/>
  <c r="F44" i="17"/>
  <c r="R110" i="40" l="1"/>
  <c r="R208" i="40" s="1"/>
  <c r="S208" i="40" s="1"/>
  <c r="F110" i="40"/>
  <c r="F208" i="40" s="1"/>
  <c r="E208" i="40"/>
  <c r="C112" i="40"/>
  <c r="E112" i="40" s="1"/>
  <c r="C112" i="7"/>
  <c r="E112" i="7" s="1"/>
  <c r="E111" i="40"/>
  <c r="F51" i="7"/>
  <c r="D184" i="7"/>
  <c r="F75" i="7"/>
  <c r="F39" i="7"/>
  <c r="F87" i="7"/>
  <c r="F63" i="7"/>
  <c r="F111" i="7"/>
  <c r="F99" i="7"/>
  <c r="D151" i="7"/>
  <c r="D65" i="7"/>
  <c r="E64" i="7"/>
  <c r="D113" i="7"/>
  <c r="D101" i="7"/>
  <c r="E100" i="7"/>
  <c r="D77" i="7"/>
  <c r="E76" i="7"/>
  <c r="D41" i="7"/>
  <c r="E40" i="7"/>
  <c r="D137" i="7"/>
  <c r="D53" i="7"/>
  <c r="E52" i="7"/>
  <c r="D89" i="7"/>
  <c r="E88" i="7"/>
  <c r="D125" i="7"/>
  <c r="B99" i="38"/>
  <c r="Q14" i="11"/>
  <c r="R480" i="38" s="1"/>
  <c r="B232" i="38"/>
  <c r="C231" i="38"/>
  <c r="I50" i="9"/>
  <c r="M73" i="9"/>
  <c r="G250" i="38" s="1"/>
  <c r="G301" i="38" s="1"/>
  <c r="AA543" i="38"/>
  <c r="AA544" i="38"/>
  <c r="E293" i="38"/>
  <c r="D294" i="38"/>
  <c r="E294" i="38" s="1"/>
  <c r="T540" i="38"/>
  <c r="AA546" i="38"/>
  <c r="Q473" i="38"/>
  <c r="R473" i="38" s="1"/>
  <c r="O480" i="38"/>
  <c r="B97" i="38"/>
  <c r="U540" i="38"/>
  <c r="T544" i="38"/>
  <c r="AA545" i="38"/>
  <c r="AA542" i="38"/>
  <c r="U521" i="38"/>
  <c r="O484" i="38"/>
  <c r="C97" i="38"/>
  <c r="C117" i="38" s="1"/>
  <c r="E226" i="38"/>
  <c r="D226" i="38"/>
  <c r="T545" i="38"/>
  <c r="AB518" i="38"/>
  <c r="AA526" i="38" s="1"/>
  <c r="T610" i="38"/>
  <c r="U591" i="38"/>
  <c r="AA555" i="38"/>
  <c r="I318" i="38"/>
  <c r="I316" i="38"/>
  <c r="I317" i="38"/>
  <c r="E29" i="38"/>
  <c r="E30" i="38"/>
  <c r="B121" i="38"/>
  <c r="H64" i="38"/>
  <c r="B120" i="38"/>
  <c r="H63" i="38"/>
  <c r="B122" i="38"/>
  <c r="H65" i="38"/>
  <c r="Q32" i="11"/>
  <c r="P32" i="11"/>
  <c r="P18" i="11"/>
  <c r="H95" i="36"/>
  <c r="S112" i="7"/>
  <c r="Q7" i="11"/>
  <c r="C19" i="17"/>
  <c r="N22" i="11"/>
  <c r="O18" i="11"/>
  <c r="O14" i="11"/>
  <c r="H16" i="17"/>
  <c r="N45" i="11" s="1"/>
  <c r="O32" i="11"/>
  <c r="N32" i="11"/>
  <c r="F112" i="7" l="1"/>
  <c r="R112" i="7"/>
  <c r="C113" i="40"/>
  <c r="C113" i="7"/>
  <c r="E113" i="7" s="1"/>
  <c r="F52" i="7"/>
  <c r="R52" i="7"/>
  <c r="F40" i="7"/>
  <c r="R40" i="7"/>
  <c r="F100" i="7"/>
  <c r="R100" i="7"/>
  <c r="F64" i="7"/>
  <c r="R64" i="7"/>
  <c r="R111" i="40"/>
  <c r="F111" i="40"/>
  <c r="F112" i="40"/>
  <c r="R112" i="40"/>
  <c r="W208" i="7"/>
  <c r="E180" i="38" s="1"/>
  <c r="T208" i="40"/>
  <c r="U208" i="40" s="1"/>
  <c r="V208" i="40" s="1"/>
  <c r="X208" i="40"/>
  <c r="F88" i="7"/>
  <c r="R88" i="7"/>
  <c r="F76" i="7"/>
  <c r="R76" i="7"/>
  <c r="D185" i="7"/>
  <c r="D126" i="7"/>
  <c r="E41" i="7"/>
  <c r="D42" i="7"/>
  <c r="D66" i="7"/>
  <c r="E65" i="7"/>
  <c r="D54" i="7"/>
  <c r="E53" i="7"/>
  <c r="D102" i="7"/>
  <c r="E101" i="7"/>
  <c r="D90" i="7"/>
  <c r="E89" i="7"/>
  <c r="D138" i="7"/>
  <c r="D78" i="7"/>
  <c r="E77" i="7"/>
  <c r="D114" i="7"/>
  <c r="D152" i="7"/>
  <c r="M79" i="9"/>
  <c r="S14" i="11"/>
  <c r="B100" i="38"/>
  <c r="E231" i="38"/>
  <c r="K50" i="9"/>
  <c r="D231" i="38"/>
  <c r="J50" i="9"/>
  <c r="I18" i="17"/>
  <c r="J18" i="17" s="1"/>
  <c r="D19" i="17"/>
  <c r="I19" i="17" s="1"/>
  <c r="C232" i="38"/>
  <c r="P498" i="38"/>
  <c r="F98" i="38"/>
  <c r="F118" i="38" s="1"/>
  <c r="P22" i="11"/>
  <c r="P484" i="38"/>
  <c r="C98" i="38"/>
  <c r="C118" i="38" s="1"/>
  <c r="E19" i="17"/>
  <c r="U554" i="38"/>
  <c r="T573" i="38"/>
  <c r="AA573" i="38" s="1"/>
  <c r="Q484" i="38"/>
  <c r="C99" i="38"/>
  <c r="O488" i="38"/>
  <c r="D97" i="38"/>
  <c r="D117" i="38" s="1"/>
  <c r="Q498" i="38"/>
  <c r="F99" i="38"/>
  <c r="B117" i="38"/>
  <c r="P480" i="38"/>
  <c r="B98" i="38"/>
  <c r="P27" i="11"/>
  <c r="O498" i="38"/>
  <c r="F97" i="38"/>
  <c r="F117" i="38" s="1"/>
  <c r="H18" i="17"/>
  <c r="S32" i="11"/>
  <c r="R498" i="38"/>
  <c r="U614" i="38" s="1"/>
  <c r="F100" i="38"/>
  <c r="U610" i="38"/>
  <c r="T572" i="38"/>
  <c r="AA572" i="38" s="1"/>
  <c r="U553" i="38"/>
  <c r="C77" i="34"/>
  <c r="Q18" i="11"/>
  <c r="H96" i="36"/>
  <c r="S113" i="7"/>
  <c r="O22" i="11"/>
  <c r="N27" i="11"/>
  <c r="T43" i="7"/>
  <c r="U43" i="7" s="1"/>
  <c r="V43" i="7" s="1"/>
  <c r="O45" i="11"/>
  <c r="K66" i="9"/>
  <c r="K70" i="9" s="1"/>
  <c r="F113" i="7" l="1"/>
  <c r="R113" i="7"/>
  <c r="F77" i="7"/>
  <c r="R77" i="7"/>
  <c r="F53" i="7"/>
  <c r="R53" i="7"/>
  <c r="E113" i="40"/>
  <c r="F41" i="7"/>
  <c r="R41" i="7"/>
  <c r="C114" i="40"/>
  <c r="E114" i="40" s="1"/>
  <c r="C114" i="7"/>
  <c r="F89" i="7"/>
  <c r="R89" i="7"/>
  <c r="F101" i="7"/>
  <c r="R101" i="7"/>
  <c r="F65" i="7"/>
  <c r="R65" i="7"/>
  <c r="D186" i="7"/>
  <c r="E42" i="7"/>
  <c r="R42" i="7" s="1"/>
  <c r="D43" i="7"/>
  <c r="D153" i="7"/>
  <c r="D55" i="7"/>
  <c r="E54" i="7"/>
  <c r="D79" i="7"/>
  <c r="E78" i="7"/>
  <c r="D91" i="7"/>
  <c r="E90" i="7"/>
  <c r="D115" i="7"/>
  <c r="D139" i="7"/>
  <c r="D103" i="7"/>
  <c r="E102" i="7"/>
  <c r="D67" i="7"/>
  <c r="E66" i="7"/>
  <c r="R66" i="7" s="1"/>
  <c r="D127" i="7"/>
  <c r="J19" i="17"/>
  <c r="H231" i="38"/>
  <c r="H19" i="17"/>
  <c r="Q45" i="11" s="1"/>
  <c r="D232" i="38"/>
  <c r="Q22" i="11"/>
  <c r="R488" i="38" s="1"/>
  <c r="U612" i="38" s="1"/>
  <c r="L193" i="7"/>
  <c r="L234" i="7" s="1"/>
  <c r="L187" i="7"/>
  <c r="L228" i="7" s="1"/>
  <c r="L189" i="7"/>
  <c r="L230" i="7" s="1"/>
  <c r="L191" i="7"/>
  <c r="L232" i="7" s="1"/>
  <c r="L185" i="7"/>
  <c r="L226" i="7" s="1"/>
  <c r="L186" i="7"/>
  <c r="L227" i="7" s="1"/>
  <c r="L184" i="7"/>
  <c r="L225" i="7" s="1"/>
  <c r="L192" i="7"/>
  <c r="L233" i="7" s="1"/>
  <c r="L183" i="7"/>
  <c r="L224" i="7" s="1"/>
  <c r="P45" i="11"/>
  <c r="Q493" i="38"/>
  <c r="E99" i="38"/>
  <c r="AB554" i="38"/>
  <c r="AA562" i="38" s="1"/>
  <c r="T562" i="38"/>
  <c r="U592" i="38"/>
  <c r="T611" i="38"/>
  <c r="T576" i="38"/>
  <c r="U557" i="38"/>
  <c r="T565" i="38" s="1"/>
  <c r="Q488" i="38"/>
  <c r="D99" i="38"/>
  <c r="H99" i="38" s="1"/>
  <c r="O493" i="38"/>
  <c r="E97" i="38"/>
  <c r="E117" i="38" s="1"/>
  <c r="T574" i="38"/>
  <c r="U555" i="38"/>
  <c r="T563" i="38" s="1"/>
  <c r="T592" i="38"/>
  <c r="AA592" i="38" s="1"/>
  <c r="U573" i="38"/>
  <c r="T618" i="38"/>
  <c r="U595" i="38"/>
  <c r="T614" i="38"/>
  <c r="T622" i="38" s="1"/>
  <c r="U572" i="38"/>
  <c r="T591" i="38"/>
  <c r="P488" i="38"/>
  <c r="D98" i="38"/>
  <c r="D118" i="38" s="1"/>
  <c r="R484" i="38"/>
  <c r="C100" i="38"/>
  <c r="B118" i="38"/>
  <c r="Q27" i="11"/>
  <c r="E232" i="38"/>
  <c r="P41" i="11"/>
  <c r="P50" i="11" s="1"/>
  <c r="T561" i="38"/>
  <c r="AB553" i="38"/>
  <c r="AA561" i="38" s="1"/>
  <c r="U576" i="38"/>
  <c r="T595" i="38"/>
  <c r="S18" i="11"/>
  <c r="H97" i="36"/>
  <c r="S114" i="7"/>
  <c r="J66" i="9"/>
  <c r="J70" i="9" s="1"/>
  <c r="I66" i="9"/>
  <c r="I70" i="9" s="1"/>
  <c r="N41" i="11"/>
  <c r="F40" i="38" s="1"/>
  <c r="G40" i="38" s="1"/>
  <c r="O27" i="11"/>
  <c r="T44" i="7"/>
  <c r="U44" i="7" s="1"/>
  <c r="V44" i="7" s="1"/>
  <c r="T45" i="7"/>
  <c r="U45" i="7" s="1"/>
  <c r="V45" i="7" s="1"/>
  <c r="C115" i="40" l="1"/>
  <c r="E115" i="40" s="1"/>
  <c r="C115" i="7"/>
  <c r="F90" i="7"/>
  <c r="R90" i="7"/>
  <c r="R114" i="40"/>
  <c r="F114" i="40"/>
  <c r="F54" i="7"/>
  <c r="R54" i="7"/>
  <c r="F102" i="7"/>
  <c r="R102" i="7"/>
  <c r="E114" i="7"/>
  <c r="R114" i="7" s="1"/>
  <c r="F78" i="7"/>
  <c r="R78" i="7"/>
  <c r="F113" i="40"/>
  <c r="R113" i="40"/>
  <c r="F66" i="7"/>
  <c r="F42" i="7"/>
  <c r="D187" i="7"/>
  <c r="E79" i="7"/>
  <c r="D80" i="7"/>
  <c r="D44" i="7"/>
  <c r="E43" i="7"/>
  <c r="D128" i="7"/>
  <c r="D104" i="7"/>
  <c r="E103" i="7"/>
  <c r="D116" i="7"/>
  <c r="E115" i="7"/>
  <c r="D154" i="7"/>
  <c r="D68" i="7"/>
  <c r="E67" i="7"/>
  <c r="D140" i="7"/>
  <c r="D92" i="7"/>
  <c r="E91" i="7"/>
  <c r="D56" i="7"/>
  <c r="E55" i="7"/>
  <c r="R55" i="7" s="1"/>
  <c r="L194" i="7"/>
  <c r="L235" i="7" s="1"/>
  <c r="L190" i="7"/>
  <c r="L231" i="7" s="1"/>
  <c r="L188" i="7"/>
  <c r="L229" i="7" s="1"/>
  <c r="S22" i="11"/>
  <c r="D100" i="38"/>
  <c r="T584" i="38"/>
  <c r="Q507" i="38"/>
  <c r="H97" i="38"/>
  <c r="T603" i="38"/>
  <c r="F42" i="38"/>
  <c r="U574" i="38"/>
  <c r="T582" i="38" s="1"/>
  <c r="T593" i="38"/>
  <c r="T580" i="38"/>
  <c r="AB572" i="38"/>
  <c r="AA580" i="38" s="1"/>
  <c r="AA591" i="38"/>
  <c r="T599" i="38"/>
  <c r="T575" i="38"/>
  <c r="T578" i="38" s="1"/>
  <c r="U556" i="38"/>
  <c r="T564" i="38" s="1"/>
  <c r="O507" i="38"/>
  <c r="T581" i="38"/>
  <c r="AB573" i="38"/>
  <c r="AA581" i="38" s="1"/>
  <c r="U593" i="38"/>
  <c r="T612" i="38"/>
  <c r="S27" i="11"/>
  <c r="R493" i="38"/>
  <c r="U613" i="38" s="1"/>
  <c r="E100" i="38"/>
  <c r="Q41" i="11"/>
  <c r="F43" i="38" s="1"/>
  <c r="T600" i="38"/>
  <c r="P493" i="38"/>
  <c r="E98" i="38"/>
  <c r="E118" i="38" s="1"/>
  <c r="U611" i="38"/>
  <c r="H232" i="38"/>
  <c r="T613" i="38"/>
  <c r="U594" i="38"/>
  <c r="H98" i="36"/>
  <c r="S115" i="7"/>
  <c r="K51" i="9"/>
  <c r="K73" i="9" s="1"/>
  <c r="E250" i="38" s="1"/>
  <c r="E249" i="38"/>
  <c r="E300" i="38" s="1"/>
  <c r="N50" i="11"/>
  <c r="O41" i="11"/>
  <c r="F41" i="38" s="1"/>
  <c r="G41" i="38" s="1"/>
  <c r="P224" i="7"/>
  <c r="P225" i="7" s="1"/>
  <c r="P226" i="7" s="1"/>
  <c r="P227" i="7" s="1"/>
  <c r="P228" i="7" s="1"/>
  <c r="P229" i="7" s="1"/>
  <c r="P230" i="7" s="1"/>
  <c r="P231" i="7" s="1"/>
  <c r="P232" i="7" s="1"/>
  <c r="P233" i="7" s="1"/>
  <c r="P234" i="7" s="1"/>
  <c r="P235" i="7" s="1"/>
  <c r="T46" i="7"/>
  <c r="U46" i="7" s="1"/>
  <c r="V46" i="7" s="1"/>
  <c r="F103" i="7" l="1"/>
  <c r="R103" i="7"/>
  <c r="C116" i="40"/>
  <c r="C116" i="7"/>
  <c r="E116" i="7" s="1"/>
  <c r="F91" i="7"/>
  <c r="R91" i="7"/>
  <c r="F67" i="7"/>
  <c r="R67" i="7"/>
  <c r="F115" i="7"/>
  <c r="R115" i="7"/>
  <c r="F114" i="7"/>
  <c r="F43" i="7"/>
  <c r="R43" i="7"/>
  <c r="F79" i="7"/>
  <c r="R79" i="7"/>
  <c r="F115" i="40"/>
  <c r="R115" i="40"/>
  <c r="F55" i="7"/>
  <c r="D188" i="7"/>
  <c r="D141" i="7"/>
  <c r="D57" i="7"/>
  <c r="E56" i="7"/>
  <c r="D155" i="7"/>
  <c r="D105" i="7"/>
  <c r="E104" i="7"/>
  <c r="D45" i="7"/>
  <c r="E44" i="7"/>
  <c r="E80" i="7"/>
  <c r="R80" i="7" s="1"/>
  <c r="D81" i="7"/>
  <c r="D93" i="7"/>
  <c r="E92" i="7"/>
  <c r="D69" i="7"/>
  <c r="E68" i="7"/>
  <c r="D117" i="7"/>
  <c r="D129" i="7"/>
  <c r="H100" i="38"/>
  <c r="T601" i="38"/>
  <c r="G43" i="38"/>
  <c r="T621" i="38"/>
  <c r="Q50" i="11"/>
  <c r="G42" i="38"/>
  <c r="U575" i="38"/>
  <c r="T594" i="38"/>
  <c r="T602" i="38" s="1"/>
  <c r="P507" i="38"/>
  <c r="T616" i="38"/>
  <c r="U597" i="38"/>
  <c r="U559" i="38"/>
  <c r="H98" i="38"/>
  <c r="T619" i="38"/>
  <c r="U616" i="38"/>
  <c r="E301" i="38"/>
  <c r="T620" i="38"/>
  <c r="R507" i="38"/>
  <c r="H99" i="36"/>
  <c r="S116" i="7"/>
  <c r="D249" i="38"/>
  <c r="D300" i="38" s="1"/>
  <c r="J51" i="9"/>
  <c r="J73" i="9" s="1"/>
  <c r="D250" i="38" s="1"/>
  <c r="D301" i="38" s="1"/>
  <c r="C249" i="38"/>
  <c r="C300" i="38" s="1"/>
  <c r="I51" i="9"/>
  <c r="K79" i="9"/>
  <c r="O50" i="11"/>
  <c r="T47" i="7"/>
  <c r="U47" i="7" s="1"/>
  <c r="V47" i="7" s="1"/>
  <c r="F92" i="7" l="1"/>
  <c r="R92" i="7"/>
  <c r="F44" i="7"/>
  <c r="R44" i="7"/>
  <c r="E116" i="40"/>
  <c r="F68" i="7"/>
  <c r="R68" i="7"/>
  <c r="F104" i="7"/>
  <c r="R104" i="7"/>
  <c r="F56" i="7"/>
  <c r="R56" i="7"/>
  <c r="F116" i="7"/>
  <c r="R116" i="7"/>
  <c r="C117" i="40"/>
  <c r="E117" i="40" s="1"/>
  <c r="C117" i="7"/>
  <c r="E117" i="7" s="1"/>
  <c r="D189" i="7"/>
  <c r="F80" i="7"/>
  <c r="E81" i="7"/>
  <c r="D82" i="7"/>
  <c r="D130" i="7"/>
  <c r="D70" i="7"/>
  <c r="E69" i="7"/>
  <c r="D106" i="7"/>
  <c r="E105" i="7"/>
  <c r="D58" i="7"/>
  <c r="E57" i="7"/>
  <c r="D118" i="7"/>
  <c r="D94" i="7"/>
  <c r="E93" i="7"/>
  <c r="D46" i="7"/>
  <c r="E45" i="7"/>
  <c r="D156" i="7"/>
  <c r="D142" i="7"/>
  <c r="I73" i="9"/>
  <c r="C250" i="38" s="1"/>
  <c r="C301" i="38" s="1"/>
  <c r="T597" i="38"/>
  <c r="T583" i="38"/>
  <c r="U578" i="38"/>
  <c r="H100" i="36"/>
  <c r="S117" i="7"/>
  <c r="J79" i="9"/>
  <c r="T48" i="7"/>
  <c r="U48" i="7" s="1"/>
  <c r="V48" i="7" s="1"/>
  <c r="F93" i="7" l="1"/>
  <c r="R93" i="7"/>
  <c r="F57" i="7"/>
  <c r="R57" i="7"/>
  <c r="F69" i="7"/>
  <c r="R69" i="7"/>
  <c r="F116" i="40"/>
  <c r="R116" i="40"/>
  <c r="C118" i="40"/>
  <c r="C118" i="7"/>
  <c r="E118" i="7" s="1"/>
  <c r="F81" i="7"/>
  <c r="R81" i="7"/>
  <c r="F45" i="7"/>
  <c r="R45" i="7"/>
  <c r="F117" i="7"/>
  <c r="R117" i="7"/>
  <c r="F105" i="7"/>
  <c r="R105" i="7"/>
  <c r="R117" i="40"/>
  <c r="F117" i="40"/>
  <c r="D190" i="7"/>
  <c r="D143" i="7"/>
  <c r="D47" i="7"/>
  <c r="E46" i="7"/>
  <c r="D119" i="7"/>
  <c r="D107" i="7"/>
  <c r="E106" i="7"/>
  <c r="D131" i="7"/>
  <c r="E82" i="7"/>
  <c r="D83" i="7"/>
  <c r="D157" i="7"/>
  <c r="D95" i="7"/>
  <c r="E94" i="7"/>
  <c r="D59" i="7"/>
  <c r="E58" i="7"/>
  <c r="D71" i="7"/>
  <c r="E70" i="7"/>
  <c r="I79" i="9"/>
  <c r="H101" i="36"/>
  <c r="S118" i="7"/>
  <c r="T49" i="7"/>
  <c r="U49" i="7" s="1"/>
  <c r="V49" i="7" s="1"/>
  <c r="F118" i="7" l="1"/>
  <c r="R118" i="7"/>
  <c r="F94" i="7"/>
  <c r="R94" i="7"/>
  <c r="F82" i="7"/>
  <c r="R82" i="7"/>
  <c r="C119" i="40"/>
  <c r="E119" i="40" s="1"/>
  <c r="C119" i="7"/>
  <c r="E119" i="7" s="1"/>
  <c r="F58" i="7"/>
  <c r="R58" i="7"/>
  <c r="F70" i="7"/>
  <c r="R70" i="7"/>
  <c r="F106" i="7"/>
  <c r="R106" i="7"/>
  <c r="F46" i="7"/>
  <c r="R46" i="7"/>
  <c r="E118" i="40"/>
  <c r="D191" i="7"/>
  <c r="E83" i="7"/>
  <c r="D84" i="7"/>
  <c r="D72" i="7"/>
  <c r="E71" i="7"/>
  <c r="D96" i="7"/>
  <c r="E95" i="7"/>
  <c r="D108" i="7"/>
  <c r="E107" i="7"/>
  <c r="D48" i="7"/>
  <c r="E47" i="7"/>
  <c r="D60" i="7"/>
  <c r="E59" i="7"/>
  <c r="D158" i="7"/>
  <c r="D132" i="7"/>
  <c r="D120" i="7"/>
  <c r="D144" i="7"/>
  <c r="H102" i="36"/>
  <c r="S119" i="7"/>
  <c r="T50" i="7"/>
  <c r="U50" i="7" s="1"/>
  <c r="V50" i="7" s="1"/>
  <c r="F119" i="7" l="1"/>
  <c r="R119" i="7"/>
  <c r="F47" i="7"/>
  <c r="R47" i="7"/>
  <c r="F95" i="7"/>
  <c r="R95" i="7"/>
  <c r="F119" i="40"/>
  <c r="R119" i="40"/>
  <c r="C120" i="40"/>
  <c r="E120" i="40" s="1"/>
  <c r="C120" i="7"/>
  <c r="E120" i="7" s="1"/>
  <c r="F59" i="7"/>
  <c r="R59" i="7"/>
  <c r="F107" i="7"/>
  <c r="R107" i="7"/>
  <c r="F71" i="7"/>
  <c r="R71" i="7"/>
  <c r="F118" i="40"/>
  <c r="R118" i="40"/>
  <c r="F83" i="7"/>
  <c r="R83" i="7"/>
  <c r="D192" i="7"/>
  <c r="D145" i="7"/>
  <c r="D133" i="7"/>
  <c r="D61" i="7"/>
  <c r="E60" i="7"/>
  <c r="D109" i="7"/>
  <c r="E108" i="7"/>
  <c r="D73" i="7"/>
  <c r="E72" i="7"/>
  <c r="E84" i="7"/>
  <c r="D85" i="7"/>
  <c r="D121" i="7"/>
  <c r="D49" i="7"/>
  <c r="E48" i="7"/>
  <c r="D97" i="7"/>
  <c r="E96" i="7"/>
  <c r="H103" i="36"/>
  <c r="S120" i="7"/>
  <c r="F120" i="7" l="1"/>
  <c r="R120" i="7"/>
  <c r="F60" i="7"/>
  <c r="R60" i="7"/>
  <c r="C121" i="40"/>
  <c r="E121" i="40" s="1"/>
  <c r="C121" i="7"/>
  <c r="F48" i="7"/>
  <c r="R48" i="7"/>
  <c r="F108" i="7"/>
  <c r="R108" i="7"/>
  <c r="F96" i="7"/>
  <c r="R96" i="7"/>
  <c r="F72" i="7"/>
  <c r="R72" i="7"/>
  <c r="F84" i="7"/>
  <c r="R84" i="7"/>
  <c r="R120" i="40"/>
  <c r="F120" i="40"/>
  <c r="D193" i="7"/>
  <c r="E85" i="7"/>
  <c r="D86" i="7"/>
  <c r="E86" i="7" s="1"/>
  <c r="R86" i="7" s="1"/>
  <c r="E49" i="7"/>
  <c r="D50" i="7"/>
  <c r="E50" i="7" s="1"/>
  <c r="R50" i="7" s="1"/>
  <c r="D110" i="7"/>
  <c r="E110" i="7" s="1"/>
  <c r="R110" i="7" s="1"/>
  <c r="E109" i="7"/>
  <c r="D134" i="7"/>
  <c r="D98" i="7"/>
  <c r="E98" i="7" s="1"/>
  <c r="R98" i="7" s="1"/>
  <c r="E97" i="7"/>
  <c r="D122" i="7"/>
  <c r="E121" i="7"/>
  <c r="D74" i="7"/>
  <c r="E74" i="7" s="1"/>
  <c r="R74" i="7" s="1"/>
  <c r="E73" i="7"/>
  <c r="D62" i="7"/>
  <c r="E62" i="7" s="1"/>
  <c r="R62" i="7" s="1"/>
  <c r="E61" i="7"/>
  <c r="D146" i="7"/>
  <c r="H104" i="36"/>
  <c r="S121" i="7"/>
  <c r="T51" i="7"/>
  <c r="U51" i="7" s="1"/>
  <c r="V51" i="7" s="1"/>
  <c r="T52" i="7"/>
  <c r="U52" i="7" s="1"/>
  <c r="V52" i="7" s="1"/>
  <c r="C122" i="40" l="1"/>
  <c r="C122" i="7"/>
  <c r="C209" i="7" s="1"/>
  <c r="F85" i="7"/>
  <c r="R85" i="7"/>
  <c r="R206" i="7" s="1"/>
  <c r="S206" i="7" s="1"/>
  <c r="F49" i="7"/>
  <c r="R49" i="7"/>
  <c r="R203" i="7" s="1"/>
  <c r="F73" i="7"/>
  <c r="R73" i="7"/>
  <c r="R205" i="7" s="1"/>
  <c r="S205" i="7" s="1"/>
  <c r="F97" i="7"/>
  <c r="R97" i="7"/>
  <c r="R207" i="7" s="1"/>
  <c r="S207" i="7" s="1"/>
  <c r="F109" i="7"/>
  <c r="R109" i="7"/>
  <c r="R208" i="7" s="1"/>
  <c r="S208" i="7" s="1"/>
  <c r="F61" i="7"/>
  <c r="R61" i="7"/>
  <c r="R204" i="7" s="1"/>
  <c r="S204" i="7" s="1"/>
  <c r="F121" i="7"/>
  <c r="R121" i="7"/>
  <c r="F121" i="40"/>
  <c r="R121" i="40"/>
  <c r="F86" i="7"/>
  <c r="E206" i="7"/>
  <c r="F98" i="7"/>
  <c r="F207" i="7" s="1"/>
  <c r="E207" i="7"/>
  <c r="F74" i="7"/>
  <c r="F205" i="7" s="1"/>
  <c r="E205" i="7"/>
  <c r="F110" i="7"/>
  <c r="E208" i="7"/>
  <c r="F50" i="7"/>
  <c r="E203" i="7"/>
  <c r="F62" i="7"/>
  <c r="F204" i="7" s="1"/>
  <c r="E204" i="7"/>
  <c r="D194" i="7"/>
  <c r="S122" i="7"/>
  <c r="J104" i="36"/>
  <c r="H11" i="36" s="1"/>
  <c r="I11" i="36" s="1"/>
  <c r="H105" i="36" s="1"/>
  <c r="I104" i="36"/>
  <c r="K10" i="36" s="1"/>
  <c r="L10" i="36" s="1"/>
  <c r="T54" i="7"/>
  <c r="U54" i="7" s="1"/>
  <c r="V54" i="7" s="1"/>
  <c r="T55" i="7"/>
  <c r="U55" i="7" s="1"/>
  <c r="V55" i="7" s="1"/>
  <c r="E122" i="7" l="1"/>
  <c r="F203" i="7"/>
  <c r="S203" i="7"/>
  <c r="E122" i="40"/>
  <c r="C209" i="40"/>
  <c r="F122" i="7"/>
  <c r="F209" i="7" s="1"/>
  <c r="C123" i="40"/>
  <c r="C123" i="7"/>
  <c r="F208" i="7"/>
  <c r="F206" i="7"/>
  <c r="T203" i="7"/>
  <c r="U203" i="7" s="1"/>
  <c r="V203" i="7" s="1"/>
  <c r="S123" i="7"/>
  <c r="H106" i="36"/>
  <c r="T53" i="7"/>
  <c r="U53" i="7" s="1"/>
  <c r="V53" i="7" s="1"/>
  <c r="T56" i="7"/>
  <c r="U56" i="7" s="1"/>
  <c r="V56" i="7" s="1"/>
  <c r="R122" i="7" l="1"/>
  <c r="R209" i="7" s="1"/>
  <c r="S209" i="7" s="1"/>
  <c r="E209" i="7"/>
  <c r="R122" i="40"/>
  <c r="R209" i="40" s="1"/>
  <c r="S209" i="40" s="1"/>
  <c r="F122" i="40"/>
  <c r="F209" i="40" s="1"/>
  <c r="E209" i="40"/>
  <c r="E123" i="40"/>
  <c r="C124" i="40"/>
  <c r="E124" i="40" s="1"/>
  <c r="C124" i="7"/>
  <c r="E124" i="7" s="1"/>
  <c r="X203" i="7"/>
  <c r="E5" i="11"/>
  <c r="E6" i="11" s="1"/>
  <c r="C175" i="38"/>
  <c r="C15" i="9"/>
  <c r="D15" i="9" s="1"/>
  <c r="E15" i="9" s="1"/>
  <c r="E123" i="7"/>
  <c r="H107" i="36"/>
  <c r="S124" i="7"/>
  <c r="T57" i="7"/>
  <c r="U57" i="7" s="1"/>
  <c r="V57" i="7" s="1"/>
  <c r="F124" i="7" l="1"/>
  <c r="R124" i="7"/>
  <c r="R123" i="7"/>
  <c r="F123" i="7"/>
  <c r="F124" i="40"/>
  <c r="R124" i="40"/>
  <c r="F175" i="38"/>
  <c r="D175" i="38"/>
  <c r="W209" i="7"/>
  <c r="E181" i="38" s="1"/>
  <c r="T209" i="40"/>
  <c r="U209" i="40" s="1"/>
  <c r="V209" i="40" s="1"/>
  <c r="X209" i="40"/>
  <c r="C125" i="40"/>
  <c r="E125" i="40" s="1"/>
  <c r="C125" i="7"/>
  <c r="E125" i="7" s="1"/>
  <c r="F123" i="40"/>
  <c r="R123" i="40"/>
  <c r="H108" i="36"/>
  <c r="S125" i="7"/>
  <c r="T58" i="7"/>
  <c r="U58" i="7" s="1"/>
  <c r="V58" i="7" s="1"/>
  <c r="C126" i="40" l="1"/>
  <c r="E126" i="40" s="1"/>
  <c r="C126" i="7"/>
  <c r="E126" i="7" s="1"/>
  <c r="F125" i="40"/>
  <c r="R125" i="40"/>
  <c r="F125" i="7"/>
  <c r="R125" i="7"/>
  <c r="G66" i="38"/>
  <c r="G123" i="38" s="1"/>
  <c r="B66" i="38"/>
  <c r="F66" i="38"/>
  <c r="F123" i="38" s="1"/>
  <c r="E66" i="38"/>
  <c r="E123" i="38" s="1"/>
  <c r="C66" i="38"/>
  <c r="C123" i="38" s="1"/>
  <c r="D66" i="38"/>
  <c r="D123" i="38" s="1"/>
  <c r="H319" i="38"/>
  <c r="G319" i="38"/>
  <c r="D31" i="38"/>
  <c r="E31" i="38" s="1"/>
  <c r="F319" i="38"/>
  <c r="G175" i="38"/>
  <c r="H109" i="36"/>
  <c r="S126" i="7"/>
  <c r="T59" i="7"/>
  <c r="U59" i="7" s="1"/>
  <c r="V59" i="7" s="1"/>
  <c r="H66" i="38" l="1"/>
  <c r="B123" i="38"/>
  <c r="F126" i="7"/>
  <c r="R126" i="7"/>
  <c r="I319" i="38"/>
  <c r="C127" i="40"/>
  <c r="C127" i="7"/>
  <c r="F126" i="40"/>
  <c r="R126" i="40"/>
  <c r="H110" i="36"/>
  <c r="S127" i="7"/>
  <c r="T60" i="7"/>
  <c r="U60" i="7" s="1"/>
  <c r="V60" i="7" s="1"/>
  <c r="C128" i="40" l="1"/>
  <c r="E128" i="40" s="1"/>
  <c r="C128" i="7"/>
  <c r="E128" i="7" s="1"/>
  <c r="E127" i="40"/>
  <c r="E127" i="7"/>
  <c r="H111" i="36"/>
  <c r="S128" i="7"/>
  <c r="T61" i="7"/>
  <c r="U61" i="7" s="1"/>
  <c r="V61" i="7" s="1"/>
  <c r="R127" i="7" l="1"/>
  <c r="F127" i="7"/>
  <c r="F128" i="7"/>
  <c r="R128" i="7"/>
  <c r="F128" i="40"/>
  <c r="R128" i="40"/>
  <c r="C129" i="40"/>
  <c r="E129" i="40" s="1"/>
  <c r="C129" i="7"/>
  <c r="E129" i="7" s="1"/>
  <c r="R127" i="40"/>
  <c r="F127" i="40"/>
  <c r="H112" i="36"/>
  <c r="S129" i="7"/>
  <c r="T62" i="7"/>
  <c r="U62" i="7" s="1"/>
  <c r="V62" i="7" s="1"/>
  <c r="T204" i="7"/>
  <c r="R129" i="40" l="1"/>
  <c r="F129" i="40"/>
  <c r="C130" i="40"/>
  <c r="E130" i="40" s="1"/>
  <c r="C130" i="7"/>
  <c r="E130" i="7" s="1"/>
  <c r="F129" i="7"/>
  <c r="R129" i="7"/>
  <c r="X204" i="7"/>
  <c r="C176" i="38"/>
  <c r="H113" i="36"/>
  <c r="S130" i="7"/>
  <c r="C16" i="9"/>
  <c r="F5" i="11"/>
  <c r="F6" i="11" s="1"/>
  <c r="F130" i="40" l="1"/>
  <c r="R130" i="40"/>
  <c r="C131" i="40"/>
  <c r="E131" i="40" s="1"/>
  <c r="C131" i="7"/>
  <c r="E131" i="7" s="1"/>
  <c r="F130" i="7"/>
  <c r="R130" i="7"/>
  <c r="D176" i="38"/>
  <c r="F176" i="38"/>
  <c r="H114" i="36"/>
  <c r="S131" i="7"/>
  <c r="U204" i="7"/>
  <c r="V204" i="7" s="1"/>
  <c r="D16" i="9"/>
  <c r="E16" i="9" s="1"/>
  <c r="T63" i="7"/>
  <c r="U63" i="7" s="1"/>
  <c r="V63" i="7" s="1"/>
  <c r="T64" i="7"/>
  <c r="U64" i="7" s="1"/>
  <c r="V64" i="7" s="1"/>
  <c r="F131" i="7" l="1"/>
  <c r="R131" i="7"/>
  <c r="C132" i="40"/>
  <c r="E132" i="40" s="1"/>
  <c r="C132" i="7"/>
  <c r="E132" i="7" s="1"/>
  <c r="R131" i="40"/>
  <c r="F131" i="40"/>
  <c r="H320" i="38"/>
  <c r="G320" i="38"/>
  <c r="F320" i="38"/>
  <c r="B67" i="38"/>
  <c r="G67" i="38"/>
  <c r="G124" i="38" s="1"/>
  <c r="F67" i="38"/>
  <c r="F124" i="38" s="1"/>
  <c r="D67" i="38"/>
  <c r="D124" i="38" s="1"/>
  <c r="C67" i="38"/>
  <c r="C124" i="38" s="1"/>
  <c r="E67" i="38"/>
  <c r="E124" i="38" s="1"/>
  <c r="D32" i="38"/>
  <c r="E32" i="38" s="1"/>
  <c r="G176" i="38"/>
  <c r="H115" i="36"/>
  <c r="S132" i="7"/>
  <c r="T65" i="7"/>
  <c r="U65" i="7" s="1"/>
  <c r="V65" i="7" s="1"/>
  <c r="T66" i="7"/>
  <c r="U66" i="7" s="1"/>
  <c r="V66" i="7" s="1"/>
  <c r="F132" i="7" l="1"/>
  <c r="R132" i="7"/>
  <c r="C133" i="40"/>
  <c r="E133" i="40" s="1"/>
  <c r="C133" i="7"/>
  <c r="E133" i="7" s="1"/>
  <c r="R132" i="40"/>
  <c r="F132" i="40"/>
  <c r="I320" i="38"/>
  <c r="B124" i="38"/>
  <c r="H67" i="38"/>
  <c r="H116" i="36"/>
  <c r="S133" i="7"/>
  <c r="T67" i="7"/>
  <c r="U67" i="7" s="1"/>
  <c r="V67" i="7" s="1"/>
  <c r="F133" i="40" l="1"/>
  <c r="R133" i="40"/>
  <c r="C134" i="40"/>
  <c r="C134" i="7"/>
  <c r="F133" i="7"/>
  <c r="R133" i="7"/>
  <c r="S134" i="7"/>
  <c r="J116" i="36"/>
  <c r="H12" i="36" s="1"/>
  <c r="I12" i="36" s="1"/>
  <c r="H117" i="36" s="1"/>
  <c r="I116" i="36"/>
  <c r="K11" i="36" s="1"/>
  <c r="L11" i="36" s="1"/>
  <c r="T68" i="7"/>
  <c r="U68" i="7" s="1"/>
  <c r="V68" i="7" s="1"/>
  <c r="E134" i="7" l="1"/>
  <c r="C210" i="7"/>
  <c r="E134" i="40"/>
  <c r="C210" i="40"/>
  <c r="C135" i="40"/>
  <c r="C135" i="7"/>
  <c r="S135" i="7"/>
  <c r="H118" i="36"/>
  <c r="T69" i="7"/>
  <c r="U69" i="7" s="1"/>
  <c r="V69" i="7" s="1"/>
  <c r="C136" i="40" l="1"/>
  <c r="E136" i="40" s="1"/>
  <c r="C136" i="7"/>
  <c r="E136" i="7" s="1"/>
  <c r="R134" i="40"/>
  <c r="R210" i="40" s="1"/>
  <c r="S210" i="40" s="1"/>
  <c r="F134" i="40"/>
  <c r="F210" i="40" s="1"/>
  <c r="E210" i="40"/>
  <c r="E135" i="7"/>
  <c r="E135" i="40"/>
  <c r="R134" i="7"/>
  <c r="R210" i="7" s="1"/>
  <c r="F134" i="7"/>
  <c r="F210" i="7" s="1"/>
  <c r="E210" i="7"/>
  <c r="H119" i="36"/>
  <c r="S136" i="7"/>
  <c r="T70" i="7"/>
  <c r="U70" i="7" s="1"/>
  <c r="V70" i="7" s="1"/>
  <c r="F135" i="40" l="1"/>
  <c r="R135" i="40"/>
  <c r="R135" i="7"/>
  <c r="F135" i="7"/>
  <c r="W210" i="7"/>
  <c r="E182" i="38" s="1"/>
  <c r="X210" i="40"/>
  <c r="T210" i="40"/>
  <c r="U210" i="40" s="1"/>
  <c r="V210" i="40" s="1"/>
  <c r="S210" i="7"/>
  <c r="F136" i="7"/>
  <c r="R136" i="7"/>
  <c r="C137" i="40"/>
  <c r="C137" i="7"/>
  <c r="R136" i="40"/>
  <c r="F136" i="40"/>
  <c r="H120" i="36"/>
  <c r="S137" i="7"/>
  <c r="T71" i="7"/>
  <c r="U71" i="7" s="1"/>
  <c r="V71" i="7" s="1"/>
  <c r="E137" i="7" l="1"/>
  <c r="C138" i="40"/>
  <c r="E138" i="40" s="1"/>
  <c r="C138" i="7"/>
  <c r="E138" i="7" s="1"/>
  <c r="E137" i="40"/>
  <c r="H121" i="36"/>
  <c r="S138" i="7"/>
  <c r="T72" i="7"/>
  <c r="U72" i="7" s="1"/>
  <c r="V72" i="7" s="1"/>
  <c r="R138" i="7" l="1"/>
  <c r="F138" i="7"/>
  <c r="R138" i="40"/>
  <c r="F138" i="40"/>
  <c r="C139" i="40"/>
  <c r="C139" i="7"/>
  <c r="E139" i="7" s="1"/>
  <c r="F137" i="40"/>
  <c r="R137" i="40"/>
  <c r="F137" i="7"/>
  <c r="R137" i="7"/>
  <c r="H122" i="36"/>
  <c r="S139" i="7"/>
  <c r="T73" i="7"/>
  <c r="U73" i="7" s="1"/>
  <c r="V73" i="7" s="1"/>
  <c r="C140" i="40" l="1"/>
  <c r="E140" i="40" s="1"/>
  <c r="C140" i="7"/>
  <c r="F139" i="7"/>
  <c r="R139" i="7"/>
  <c r="E139" i="40"/>
  <c r="H123" i="36"/>
  <c r="S140" i="7"/>
  <c r="T74" i="7"/>
  <c r="U74" i="7" s="1"/>
  <c r="V74" i="7" s="1"/>
  <c r="T205" i="7"/>
  <c r="F139" i="40" l="1"/>
  <c r="R139" i="40"/>
  <c r="E140" i="7"/>
  <c r="C141" i="40"/>
  <c r="E141" i="40" s="1"/>
  <c r="C141" i="7"/>
  <c r="E141" i="7" s="1"/>
  <c r="R140" i="40"/>
  <c r="F140" i="40"/>
  <c r="X205" i="7"/>
  <c r="C177" i="38"/>
  <c r="H124" i="36"/>
  <c r="S141" i="7"/>
  <c r="G5" i="11"/>
  <c r="G6" i="11" s="1"/>
  <c r="C17" i="9"/>
  <c r="F141" i="7" l="1"/>
  <c r="R141" i="7"/>
  <c r="C142" i="40"/>
  <c r="E142" i="40" s="1"/>
  <c r="C142" i="7"/>
  <c r="E142" i="7" s="1"/>
  <c r="F141" i="40"/>
  <c r="R141" i="40"/>
  <c r="F140" i="7"/>
  <c r="R140" i="7"/>
  <c r="D177" i="38"/>
  <c r="F177" i="38"/>
  <c r="H125" i="36"/>
  <c r="S142" i="7"/>
  <c r="U205" i="7"/>
  <c r="V205" i="7" s="1"/>
  <c r="D17" i="9"/>
  <c r="E17" i="9" s="1"/>
  <c r="T75" i="7"/>
  <c r="U75" i="7" s="1"/>
  <c r="V75" i="7" s="1"/>
  <c r="C143" i="40" l="1"/>
  <c r="E143" i="40" s="1"/>
  <c r="C143" i="7"/>
  <c r="E143" i="7" s="1"/>
  <c r="F142" i="7"/>
  <c r="R142" i="7"/>
  <c r="R142" i="40"/>
  <c r="F142" i="40"/>
  <c r="H321" i="38"/>
  <c r="G321" i="38"/>
  <c r="F321" i="38"/>
  <c r="G68" i="38"/>
  <c r="G125" i="38" s="1"/>
  <c r="D68" i="38"/>
  <c r="D125" i="38" s="1"/>
  <c r="E68" i="38"/>
  <c r="E125" i="38" s="1"/>
  <c r="F68" i="38"/>
  <c r="F125" i="38" s="1"/>
  <c r="C68" i="38"/>
  <c r="C125" i="38" s="1"/>
  <c r="D33" i="38"/>
  <c r="E33" i="38" s="1"/>
  <c r="B68" i="38"/>
  <c r="G177" i="38"/>
  <c r="H126" i="36"/>
  <c r="S143" i="7"/>
  <c r="T77" i="7"/>
  <c r="U77" i="7" s="1"/>
  <c r="V77" i="7" s="1"/>
  <c r="T78" i="7"/>
  <c r="U78" i="7" s="1"/>
  <c r="V78" i="7" s="1"/>
  <c r="C144" i="40" l="1"/>
  <c r="E144" i="40" s="1"/>
  <c r="C144" i="7"/>
  <c r="E144" i="7" s="1"/>
  <c r="F143" i="7"/>
  <c r="R143" i="7"/>
  <c r="R143" i="40"/>
  <c r="F143" i="40"/>
  <c r="I321" i="38"/>
  <c r="B125" i="38"/>
  <c r="H68" i="38"/>
  <c r="H127" i="36"/>
  <c r="S144" i="7"/>
  <c r="T76" i="7"/>
  <c r="U76" i="7" s="1"/>
  <c r="V76" i="7" s="1"/>
  <c r="T79" i="7"/>
  <c r="U79" i="7" s="1"/>
  <c r="V79" i="7" s="1"/>
  <c r="C145" i="40" l="1"/>
  <c r="E145" i="40" s="1"/>
  <c r="C145" i="7"/>
  <c r="E145" i="7" s="1"/>
  <c r="F144" i="7"/>
  <c r="R144" i="7"/>
  <c r="R144" i="40"/>
  <c r="F144" i="40"/>
  <c r="H128" i="36"/>
  <c r="S145" i="7"/>
  <c r="T80" i="7"/>
  <c r="U80" i="7" s="1"/>
  <c r="V80" i="7" s="1"/>
  <c r="C146" i="40" l="1"/>
  <c r="C146" i="7"/>
  <c r="F145" i="7"/>
  <c r="R145" i="7"/>
  <c r="F145" i="40"/>
  <c r="R145" i="40"/>
  <c r="S146" i="7"/>
  <c r="J128" i="36"/>
  <c r="H13" i="36" s="1"/>
  <c r="I13" i="36" s="1"/>
  <c r="H129" i="36" s="1"/>
  <c r="I128" i="36"/>
  <c r="K12" i="36" s="1"/>
  <c r="L12" i="36" s="1"/>
  <c r="T81" i="7"/>
  <c r="U81" i="7" s="1"/>
  <c r="V81" i="7" s="1"/>
  <c r="E146" i="7" l="1"/>
  <c r="C211" i="7"/>
  <c r="C147" i="40"/>
  <c r="C147" i="7"/>
  <c r="E146" i="40"/>
  <c r="C211" i="40"/>
  <c r="T146" i="7"/>
  <c r="U146" i="7" s="1"/>
  <c r="V146" i="7" s="1"/>
  <c r="S147" i="7"/>
  <c r="H130" i="36"/>
  <c r="T82" i="7"/>
  <c r="U82" i="7" s="1"/>
  <c r="V82" i="7" s="1"/>
  <c r="E147" i="7" l="1"/>
  <c r="E147" i="40"/>
  <c r="C148" i="40"/>
  <c r="E148" i="40" s="1"/>
  <c r="C148" i="7"/>
  <c r="E148" i="7" s="1"/>
  <c r="F146" i="40"/>
  <c r="F211" i="40" s="1"/>
  <c r="R146" i="40"/>
  <c r="R211" i="40" s="1"/>
  <c r="S211" i="40" s="1"/>
  <c r="E211" i="40"/>
  <c r="R146" i="7"/>
  <c r="R211" i="7" s="1"/>
  <c r="F146" i="7"/>
  <c r="F211" i="7" s="1"/>
  <c r="E211" i="7"/>
  <c r="T147" i="7"/>
  <c r="U147" i="7" s="1"/>
  <c r="V147" i="7" s="1"/>
  <c r="H131" i="36"/>
  <c r="S148" i="7"/>
  <c r="T83" i="7"/>
  <c r="U83" i="7" s="1"/>
  <c r="V83" i="7" s="1"/>
  <c r="W211" i="7" l="1"/>
  <c r="E183" i="38" s="1"/>
  <c r="X211" i="40"/>
  <c r="T211" i="40"/>
  <c r="U211" i="40" s="1"/>
  <c r="V211" i="40" s="1"/>
  <c r="R147" i="40"/>
  <c r="F147" i="40"/>
  <c r="C149" i="40"/>
  <c r="C149" i="7"/>
  <c r="S211" i="7"/>
  <c r="F148" i="7"/>
  <c r="R148" i="7"/>
  <c r="R147" i="7"/>
  <c r="F147" i="7"/>
  <c r="F148" i="40"/>
  <c r="R148" i="40"/>
  <c r="T148" i="7"/>
  <c r="U148" i="7" s="1"/>
  <c r="V148" i="7" s="1"/>
  <c r="H132" i="36"/>
  <c r="S149" i="7"/>
  <c r="T84" i="7"/>
  <c r="U84" i="7" s="1"/>
  <c r="V84" i="7" s="1"/>
  <c r="C150" i="40" l="1"/>
  <c r="E150" i="40" s="1"/>
  <c r="C150" i="7"/>
  <c r="E150" i="7" s="1"/>
  <c r="E149" i="40"/>
  <c r="E149" i="7"/>
  <c r="T149" i="7"/>
  <c r="U149" i="7" s="1"/>
  <c r="V149" i="7" s="1"/>
  <c r="H133" i="36"/>
  <c r="S150" i="7"/>
  <c r="T85" i="7"/>
  <c r="U85" i="7" s="1"/>
  <c r="V85" i="7" s="1"/>
  <c r="F149" i="7" l="1"/>
  <c r="R149" i="7"/>
  <c r="F150" i="7"/>
  <c r="R150" i="7"/>
  <c r="C151" i="40"/>
  <c r="C151" i="7"/>
  <c r="E151" i="7" s="1"/>
  <c r="F149" i="40"/>
  <c r="R149" i="40"/>
  <c r="F150" i="40"/>
  <c r="R150" i="40"/>
  <c r="T150" i="7"/>
  <c r="U150" i="7" s="1"/>
  <c r="V150" i="7" s="1"/>
  <c r="H134" i="36"/>
  <c r="S151" i="7"/>
  <c r="T86" i="7"/>
  <c r="U86" i="7" s="1"/>
  <c r="V86" i="7" s="1"/>
  <c r="T206" i="7"/>
  <c r="C152" i="40" l="1"/>
  <c r="E152" i="40" s="1"/>
  <c r="C152" i="7"/>
  <c r="E151" i="40"/>
  <c r="F151" i="7"/>
  <c r="R151" i="7"/>
  <c r="X206" i="7"/>
  <c r="C178" i="38"/>
  <c r="T151" i="7"/>
  <c r="U151" i="7" s="1"/>
  <c r="V151" i="7" s="1"/>
  <c r="H135" i="36"/>
  <c r="S152" i="7"/>
  <c r="C18" i="9"/>
  <c r="H5" i="11"/>
  <c r="H6" i="11" s="1"/>
  <c r="F151" i="40" l="1"/>
  <c r="R151" i="40"/>
  <c r="R152" i="40"/>
  <c r="F152" i="40"/>
  <c r="E152" i="7"/>
  <c r="C153" i="40"/>
  <c r="E153" i="40" s="1"/>
  <c r="C153" i="7"/>
  <c r="E153" i="7" s="1"/>
  <c r="D178" i="38"/>
  <c r="F178" i="38"/>
  <c r="T152" i="7"/>
  <c r="U152" i="7" s="1"/>
  <c r="V152" i="7" s="1"/>
  <c r="H136" i="36"/>
  <c r="S153" i="7"/>
  <c r="U206" i="7"/>
  <c r="V206" i="7" s="1"/>
  <c r="D18" i="9"/>
  <c r="E18" i="9" s="1"/>
  <c r="T87" i="7"/>
  <c r="U87" i="7" s="1"/>
  <c r="V87" i="7" s="1"/>
  <c r="T88" i="7"/>
  <c r="U88" i="7" s="1"/>
  <c r="V88" i="7" s="1"/>
  <c r="R153" i="40" l="1"/>
  <c r="F153" i="40"/>
  <c r="C154" i="40"/>
  <c r="E154" i="40" s="1"/>
  <c r="C154" i="7"/>
  <c r="F152" i="7"/>
  <c r="R152" i="7"/>
  <c r="F153" i="7"/>
  <c r="R153" i="7"/>
  <c r="H322" i="38"/>
  <c r="G322" i="38"/>
  <c r="F322" i="38"/>
  <c r="G69" i="38"/>
  <c r="G126" i="38" s="1"/>
  <c r="E69" i="38"/>
  <c r="E126" i="38" s="1"/>
  <c r="C69" i="38"/>
  <c r="C126" i="38" s="1"/>
  <c r="F69" i="38"/>
  <c r="F126" i="38" s="1"/>
  <c r="D69" i="38"/>
  <c r="D126" i="38" s="1"/>
  <c r="B69" i="38"/>
  <c r="D34" i="38"/>
  <c r="G178" i="38"/>
  <c r="T153" i="7"/>
  <c r="U153" i="7" s="1"/>
  <c r="V153" i="7" s="1"/>
  <c r="H137" i="36"/>
  <c r="S154" i="7"/>
  <c r="T89" i="7"/>
  <c r="U89" i="7" s="1"/>
  <c r="V89" i="7" s="1"/>
  <c r="T90" i="7"/>
  <c r="U90" i="7" s="1"/>
  <c r="V90" i="7" s="1"/>
  <c r="F154" i="40" l="1"/>
  <c r="R154" i="40"/>
  <c r="C155" i="40"/>
  <c r="E155" i="40" s="1"/>
  <c r="C155" i="7"/>
  <c r="E155" i="7" s="1"/>
  <c r="E154" i="7"/>
  <c r="I322" i="38"/>
  <c r="B126" i="38"/>
  <c r="H69" i="38"/>
  <c r="E34" i="38"/>
  <c r="T154" i="7"/>
  <c r="U154" i="7" s="1"/>
  <c r="V154" i="7" s="1"/>
  <c r="H138" i="36"/>
  <c r="S155" i="7"/>
  <c r="T91" i="7"/>
  <c r="U91" i="7" s="1"/>
  <c r="V91" i="7" s="1"/>
  <c r="C156" i="40" l="1"/>
  <c r="E156" i="40" s="1"/>
  <c r="C156" i="7"/>
  <c r="E156" i="7" s="1"/>
  <c r="F155" i="7"/>
  <c r="R155" i="7"/>
  <c r="F154" i="7"/>
  <c r="R154" i="7"/>
  <c r="R155" i="40"/>
  <c r="F155" i="40"/>
  <c r="T155" i="7"/>
  <c r="U155" i="7" s="1"/>
  <c r="V155" i="7" s="1"/>
  <c r="H139" i="36"/>
  <c r="S156" i="7"/>
  <c r="T92" i="7"/>
  <c r="U92" i="7" s="1"/>
  <c r="V92" i="7" s="1"/>
  <c r="C157" i="40" l="1"/>
  <c r="E157" i="40" s="1"/>
  <c r="C157" i="7"/>
  <c r="E157" i="7" s="1"/>
  <c r="F156" i="7"/>
  <c r="R156" i="7"/>
  <c r="R156" i="40"/>
  <c r="F156" i="40"/>
  <c r="T156" i="7"/>
  <c r="U156" i="7" s="1"/>
  <c r="V156" i="7" s="1"/>
  <c r="H140" i="36"/>
  <c r="S157" i="7"/>
  <c r="T93" i="7"/>
  <c r="U93" i="7" s="1"/>
  <c r="V93" i="7" s="1"/>
  <c r="C158" i="40" l="1"/>
  <c r="C158" i="7"/>
  <c r="F157" i="7"/>
  <c r="R157" i="7"/>
  <c r="R157" i="40"/>
  <c r="F157" i="40"/>
  <c r="T157" i="7"/>
  <c r="U157" i="7" s="1"/>
  <c r="V157" i="7" s="1"/>
  <c r="S158" i="7"/>
  <c r="J140" i="36"/>
  <c r="H14" i="36" s="1"/>
  <c r="I14" i="36" s="1"/>
  <c r="H141" i="36" s="1"/>
  <c r="I140" i="36"/>
  <c r="K13" i="36" s="1"/>
  <c r="L13" i="36" s="1"/>
  <c r="T94" i="7"/>
  <c r="U94" i="7" s="1"/>
  <c r="V94" i="7" s="1"/>
  <c r="E158" i="7" l="1"/>
  <c r="C212" i="7"/>
  <c r="C159" i="40"/>
  <c r="C159" i="7"/>
  <c r="E158" i="40"/>
  <c r="C212" i="40"/>
  <c r="T158" i="7"/>
  <c r="U158" i="7" s="1"/>
  <c r="V158" i="7" s="1"/>
  <c r="S159" i="7"/>
  <c r="H142" i="36"/>
  <c r="T95" i="7"/>
  <c r="U95" i="7" s="1"/>
  <c r="V95" i="7" s="1"/>
  <c r="E159" i="7" l="1"/>
  <c r="E159" i="40"/>
  <c r="C160" i="40"/>
  <c r="E160" i="40" s="1"/>
  <c r="C160" i="7"/>
  <c r="E160" i="7" s="1"/>
  <c r="R158" i="40"/>
  <c r="R212" i="40" s="1"/>
  <c r="S212" i="40" s="1"/>
  <c r="F158" i="40"/>
  <c r="F212" i="40" s="1"/>
  <c r="E212" i="40"/>
  <c r="R158" i="7"/>
  <c r="R212" i="7" s="1"/>
  <c r="F158" i="7"/>
  <c r="F212" i="7" s="1"/>
  <c r="E212" i="7"/>
  <c r="H143" i="36"/>
  <c r="S160" i="7"/>
  <c r="T159" i="7"/>
  <c r="U159" i="7" s="1"/>
  <c r="V159" i="7" s="1"/>
  <c r="T96" i="7"/>
  <c r="U96" i="7" s="1"/>
  <c r="V96" i="7" s="1"/>
  <c r="W212" i="7" l="1"/>
  <c r="E184" i="38" s="1"/>
  <c r="T212" i="40"/>
  <c r="U212" i="40" s="1"/>
  <c r="V212" i="40" s="1"/>
  <c r="X212" i="40"/>
  <c r="S212" i="7"/>
  <c r="F160" i="7"/>
  <c r="R160" i="7"/>
  <c r="R159" i="7"/>
  <c r="F159" i="7"/>
  <c r="R159" i="40"/>
  <c r="F159" i="40"/>
  <c r="C161" i="40"/>
  <c r="C161" i="7"/>
  <c r="E161" i="7" s="1"/>
  <c r="R160" i="40"/>
  <c r="F160" i="40"/>
  <c r="T160" i="7"/>
  <c r="U160" i="7" s="1"/>
  <c r="V160" i="7" s="1"/>
  <c r="H144" i="36"/>
  <c r="S161" i="7"/>
  <c r="T97" i="7"/>
  <c r="U97" i="7" s="1"/>
  <c r="V97" i="7" s="1"/>
  <c r="C162" i="40" l="1"/>
  <c r="E162" i="40" s="1"/>
  <c r="C162" i="7"/>
  <c r="E162" i="7" s="1"/>
  <c r="F161" i="7"/>
  <c r="R161" i="7"/>
  <c r="E161" i="40"/>
  <c r="T161" i="7"/>
  <c r="U161" i="7" s="1"/>
  <c r="V161" i="7" s="1"/>
  <c r="H145" i="36"/>
  <c r="S162" i="7"/>
  <c r="T98" i="7"/>
  <c r="U98" i="7" s="1"/>
  <c r="V98" i="7" s="1"/>
  <c r="T207" i="7"/>
  <c r="C163" i="40" l="1"/>
  <c r="C163" i="7"/>
  <c r="F161" i="40"/>
  <c r="R161" i="40"/>
  <c r="F162" i="7"/>
  <c r="R162" i="7"/>
  <c r="R162" i="40"/>
  <c r="F162" i="40"/>
  <c r="X207" i="7"/>
  <c r="C179" i="38"/>
  <c r="T162" i="7"/>
  <c r="U162" i="7" s="1"/>
  <c r="V162" i="7" s="1"/>
  <c r="H146" i="36"/>
  <c r="S163" i="7"/>
  <c r="I5" i="11"/>
  <c r="I6" i="11" s="1"/>
  <c r="C19" i="9"/>
  <c r="U207" i="7"/>
  <c r="V207" i="7" s="1"/>
  <c r="E163" i="7" l="1"/>
  <c r="C164" i="40"/>
  <c r="E164" i="40" s="1"/>
  <c r="C164" i="7"/>
  <c r="E164" i="7" s="1"/>
  <c r="E163" i="40"/>
  <c r="D179" i="38"/>
  <c r="F179" i="38"/>
  <c r="T163" i="7"/>
  <c r="U163" i="7" s="1"/>
  <c r="V163" i="7" s="1"/>
  <c r="H147" i="36"/>
  <c r="S164" i="7"/>
  <c r="D19" i="9"/>
  <c r="E19" i="9" s="1"/>
  <c r="T99" i="7"/>
  <c r="U99" i="7" s="1"/>
  <c r="V99" i="7" s="1"/>
  <c r="F164" i="40" l="1"/>
  <c r="R164" i="40"/>
  <c r="C165" i="40"/>
  <c r="E165" i="40" s="1"/>
  <c r="C165" i="7"/>
  <c r="F163" i="40"/>
  <c r="R163" i="40"/>
  <c r="F163" i="7"/>
  <c r="R163" i="7"/>
  <c r="F164" i="7"/>
  <c r="R164" i="7"/>
  <c r="H323" i="38"/>
  <c r="F323" i="38"/>
  <c r="G323" i="38"/>
  <c r="B70" i="38"/>
  <c r="E70" i="38"/>
  <c r="E127" i="38" s="1"/>
  <c r="F70" i="38"/>
  <c r="F127" i="38" s="1"/>
  <c r="G70" i="38"/>
  <c r="G127" i="38" s="1"/>
  <c r="C70" i="38"/>
  <c r="C127" i="38" s="1"/>
  <c r="D70" i="38"/>
  <c r="D127" i="38" s="1"/>
  <c r="D35" i="38"/>
  <c r="E35" i="38" s="1"/>
  <c r="G179" i="38"/>
  <c r="T164" i="7"/>
  <c r="U164" i="7" s="1"/>
  <c r="V164" i="7" s="1"/>
  <c r="H148" i="36"/>
  <c r="S165" i="7"/>
  <c r="T101" i="7"/>
  <c r="U101" i="7" s="1"/>
  <c r="V101" i="7" s="1"/>
  <c r="E165" i="7" l="1"/>
  <c r="C166" i="40"/>
  <c r="E166" i="40" s="1"/>
  <c r="C166" i="7"/>
  <c r="E166" i="7" s="1"/>
  <c r="F165" i="40"/>
  <c r="R165" i="40"/>
  <c r="I323" i="38"/>
  <c r="B127" i="38"/>
  <c r="H70" i="38"/>
  <c r="T165" i="7"/>
  <c r="U165" i="7" s="1"/>
  <c r="V165" i="7" s="1"/>
  <c r="H149" i="36"/>
  <c r="S166" i="7"/>
  <c r="T100" i="7"/>
  <c r="U100" i="7" s="1"/>
  <c r="V100" i="7" s="1"/>
  <c r="T102" i="7"/>
  <c r="U102" i="7" s="1"/>
  <c r="V102" i="7" s="1"/>
  <c r="F166" i="7" l="1"/>
  <c r="R166" i="7"/>
  <c r="F166" i="40"/>
  <c r="R166" i="40"/>
  <c r="C167" i="40"/>
  <c r="E167" i="40" s="1"/>
  <c r="C167" i="7"/>
  <c r="E167" i="7" s="1"/>
  <c r="F165" i="7"/>
  <c r="R165" i="7"/>
  <c r="T166" i="7"/>
  <c r="U166" i="7" s="1"/>
  <c r="V166" i="7" s="1"/>
  <c r="H150" i="36"/>
  <c r="S167" i="7"/>
  <c r="T103" i="7"/>
  <c r="U103" i="7" s="1"/>
  <c r="V103" i="7" s="1"/>
  <c r="C168" i="40" l="1"/>
  <c r="E168" i="40" s="1"/>
  <c r="C168" i="7"/>
  <c r="E168" i="7" s="1"/>
  <c r="F167" i="7"/>
  <c r="R167" i="7"/>
  <c r="R167" i="40"/>
  <c r="F167" i="40"/>
  <c r="H151" i="36"/>
  <c r="S168" i="7"/>
  <c r="T167" i="7"/>
  <c r="U167" i="7" s="1"/>
  <c r="V167" i="7" s="1"/>
  <c r="T104" i="7"/>
  <c r="U104" i="7" s="1"/>
  <c r="V104" i="7" s="1"/>
  <c r="T105" i="7"/>
  <c r="U105" i="7" s="1"/>
  <c r="V105" i="7" s="1"/>
  <c r="F168" i="7" l="1"/>
  <c r="R168" i="7"/>
  <c r="F168" i="40"/>
  <c r="R168" i="40"/>
  <c r="C169" i="40"/>
  <c r="E169" i="40" s="1"/>
  <c r="C169" i="7"/>
  <c r="E169" i="7" s="1"/>
  <c r="T168" i="7"/>
  <c r="U168" i="7" s="1"/>
  <c r="V168" i="7" s="1"/>
  <c r="H152" i="36"/>
  <c r="S169" i="7"/>
  <c r="T106" i="7"/>
  <c r="U106" i="7" s="1"/>
  <c r="V106" i="7" s="1"/>
  <c r="F169" i="7" l="1"/>
  <c r="R169" i="7"/>
  <c r="C170" i="40"/>
  <c r="C170" i="7"/>
  <c r="R169" i="40"/>
  <c r="F169" i="40"/>
  <c r="T169" i="7"/>
  <c r="U169" i="7" s="1"/>
  <c r="V169" i="7" s="1"/>
  <c r="J152" i="36"/>
  <c r="H15" i="36" s="1"/>
  <c r="I15" i="36" s="1"/>
  <c r="H153" i="36" s="1"/>
  <c r="S170" i="7"/>
  <c r="I152" i="36"/>
  <c r="K14" i="36" s="1"/>
  <c r="L14" i="36" s="1"/>
  <c r="T107" i="7"/>
  <c r="U107" i="7" s="1"/>
  <c r="V107" i="7" s="1"/>
  <c r="E170" i="7" l="1"/>
  <c r="C213" i="7"/>
  <c r="E170" i="40"/>
  <c r="C213" i="40"/>
  <c r="C171" i="40"/>
  <c r="C171" i="7"/>
  <c r="H154" i="36"/>
  <c r="S171" i="7"/>
  <c r="T171" i="7" s="1"/>
  <c r="U171" i="7" s="1"/>
  <c r="V171" i="7" s="1"/>
  <c r="T170" i="7"/>
  <c r="U170" i="7" s="1"/>
  <c r="V170" i="7" s="1"/>
  <c r="T108" i="7"/>
  <c r="U108" i="7" s="1"/>
  <c r="V108" i="7" s="1"/>
  <c r="C172" i="40" l="1"/>
  <c r="E172" i="40" s="1"/>
  <c r="C172" i="7"/>
  <c r="E172" i="7" s="1"/>
  <c r="E171" i="7"/>
  <c r="F170" i="40"/>
  <c r="F213" i="40" s="1"/>
  <c r="R170" i="40"/>
  <c r="R213" i="40" s="1"/>
  <c r="S213" i="40" s="1"/>
  <c r="E213" i="40"/>
  <c r="E171" i="40"/>
  <c r="R170" i="7"/>
  <c r="R213" i="7" s="1"/>
  <c r="S213" i="7" s="1"/>
  <c r="F170" i="7"/>
  <c r="F213" i="7" s="1"/>
  <c r="E213" i="7"/>
  <c r="S172" i="7"/>
  <c r="T172" i="7" s="1"/>
  <c r="U172" i="7" s="1"/>
  <c r="V172" i="7" s="1"/>
  <c r="H155" i="36"/>
  <c r="T109" i="7"/>
  <c r="U109" i="7" s="1"/>
  <c r="V109" i="7" s="1"/>
  <c r="R171" i="7" l="1"/>
  <c r="F171" i="7"/>
  <c r="C173" i="40"/>
  <c r="C173" i="7"/>
  <c r="W213" i="7"/>
  <c r="E185" i="38" s="1"/>
  <c r="T213" i="40"/>
  <c r="U213" i="40" s="1"/>
  <c r="V213" i="40" s="1"/>
  <c r="X213" i="40"/>
  <c r="F172" i="7"/>
  <c r="R172" i="7"/>
  <c r="R171" i="40"/>
  <c r="F171" i="40"/>
  <c r="R172" i="40"/>
  <c r="F172" i="40"/>
  <c r="H156" i="36"/>
  <c r="S173" i="7"/>
  <c r="T173" i="7" s="1"/>
  <c r="U173" i="7" s="1"/>
  <c r="V173" i="7" s="1"/>
  <c r="T110" i="7"/>
  <c r="U110" i="7" s="1"/>
  <c r="V110" i="7" s="1"/>
  <c r="T208" i="7"/>
  <c r="E173" i="40" l="1"/>
  <c r="C174" i="40"/>
  <c r="E174" i="40" s="1"/>
  <c r="C174" i="7"/>
  <c r="E174" i="7" s="1"/>
  <c r="E173" i="7"/>
  <c r="X208" i="7"/>
  <c r="C180" i="38"/>
  <c r="S174" i="7"/>
  <c r="T174" i="7" s="1"/>
  <c r="U174" i="7" s="1"/>
  <c r="V174" i="7" s="1"/>
  <c r="H157" i="36"/>
  <c r="J5" i="11"/>
  <c r="J6" i="11" s="1"/>
  <c r="C20" i="9"/>
  <c r="U208" i="7"/>
  <c r="V208" i="7" s="1"/>
  <c r="F173" i="7" l="1"/>
  <c r="R173" i="7"/>
  <c r="C175" i="40"/>
  <c r="E175" i="40" s="1"/>
  <c r="C175" i="7"/>
  <c r="F174" i="40"/>
  <c r="R174" i="40"/>
  <c r="R174" i="7"/>
  <c r="F174" i="7"/>
  <c r="R173" i="40"/>
  <c r="F173" i="40"/>
  <c r="D180" i="38"/>
  <c r="F180" i="38"/>
  <c r="H158" i="36"/>
  <c r="S175" i="7"/>
  <c r="T175" i="7" s="1"/>
  <c r="U175" i="7" s="1"/>
  <c r="V175" i="7" s="1"/>
  <c r="D20" i="9"/>
  <c r="E20" i="9" s="1"/>
  <c r="T111" i="7"/>
  <c r="U111" i="7" s="1"/>
  <c r="V111" i="7" s="1"/>
  <c r="T112" i="7"/>
  <c r="U112" i="7" s="1"/>
  <c r="V112" i="7" s="1"/>
  <c r="E175" i="7" l="1"/>
  <c r="C176" i="40"/>
  <c r="C176" i="7"/>
  <c r="E176" i="7" s="1"/>
  <c r="F175" i="40"/>
  <c r="R175" i="40"/>
  <c r="G324" i="38"/>
  <c r="H324" i="38"/>
  <c r="F324" i="38"/>
  <c r="G71" i="38"/>
  <c r="G128" i="38" s="1"/>
  <c r="C71" i="38"/>
  <c r="C128" i="38" s="1"/>
  <c r="B71" i="38"/>
  <c r="D36" i="38"/>
  <c r="E36" i="38" s="1"/>
  <c r="E71" i="38"/>
  <c r="E128" i="38" s="1"/>
  <c r="D71" i="38"/>
  <c r="D128" i="38" s="1"/>
  <c r="F71" i="38"/>
  <c r="F128" i="38" s="1"/>
  <c r="G180" i="38"/>
  <c r="H159" i="36"/>
  <c r="S176" i="7"/>
  <c r="T176" i="7" s="1"/>
  <c r="U176" i="7" s="1"/>
  <c r="V176" i="7" s="1"/>
  <c r="T113" i="7"/>
  <c r="U113" i="7" s="1"/>
  <c r="V113" i="7" s="1"/>
  <c r="C177" i="40" l="1"/>
  <c r="E177" i="40" s="1"/>
  <c r="C177" i="7"/>
  <c r="F176" i="7"/>
  <c r="R176" i="7"/>
  <c r="F175" i="7"/>
  <c r="R175" i="7"/>
  <c r="E176" i="40"/>
  <c r="I324" i="38"/>
  <c r="B128" i="38"/>
  <c r="H71" i="38"/>
  <c r="H160" i="36"/>
  <c r="S177" i="7"/>
  <c r="T177" i="7" s="1"/>
  <c r="U177" i="7" s="1"/>
  <c r="V177" i="7" s="1"/>
  <c r="T114" i="7"/>
  <c r="U114" i="7" s="1"/>
  <c r="V114" i="7" s="1"/>
  <c r="E177" i="7" l="1"/>
  <c r="C178" i="40"/>
  <c r="C178" i="7"/>
  <c r="E178" i="7" s="1"/>
  <c r="F177" i="40"/>
  <c r="R177" i="40"/>
  <c r="R176" i="40"/>
  <c r="F176" i="40"/>
  <c r="H161" i="36"/>
  <c r="S178" i="7"/>
  <c r="T178" i="7" s="1"/>
  <c r="U178" i="7" s="1"/>
  <c r="V178" i="7" s="1"/>
  <c r="T115" i="7"/>
  <c r="U115" i="7" s="1"/>
  <c r="V115" i="7" s="1"/>
  <c r="T116" i="7"/>
  <c r="U116" i="7" s="1"/>
  <c r="V116" i="7" s="1"/>
  <c r="E178" i="40" l="1"/>
  <c r="C179" i="40"/>
  <c r="E179" i="40" s="1"/>
  <c r="C179" i="7"/>
  <c r="E179" i="7" s="1"/>
  <c r="R177" i="7"/>
  <c r="F177" i="7"/>
  <c r="F178" i="7"/>
  <c r="R178" i="7"/>
  <c r="H162" i="36"/>
  <c r="S179" i="7"/>
  <c r="T179" i="7" s="1"/>
  <c r="U179" i="7" s="1"/>
  <c r="V179" i="7" s="1"/>
  <c r="T117" i="7"/>
  <c r="U117" i="7" s="1"/>
  <c r="V117" i="7" s="1"/>
  <c r="F179" i="7" l="1"/>
  <c r="R179" i="7"/>
  <c r="R179" i="40"/>
  <c r="F179" i="40"/>
  <c r="C180" i="40"/>
  <c r="E180" i="40" s="1"/>
  <c r="C180" i="7"/>
  <c r="E180" i="7" s="1"/>
  <c r="R178" i="40"/>
  <c r="F178" i="40"/>
  <c r="H163" i="36"/>
  <c r="S180" i="7"/>
  <c r="T180" i="7" s="1"/>
  <c r="U180" i="7" s="1"/>
  <c r="V180" i="7" s="1"/>
  <c r="T118" i="7"/>
  <c r="U118" i="7" s="1"/>
  <c r="V118" i="7" s="1"/>
  <c r="C181" i="40" l="1"/>
  <c r="E181" i="40" s="1"/>
  <c r="C181" i="7"/>
  <c r="E181" i="7" s="1"/>
  <c r="F180" i="7"/>
  <c r="R180" i="7"/>
  <c r="R180" i="40"/>
  <c r="F180" i="40"/>
  <c r="H164" i="36"/>
  <c r="S181" i="7"/>
  <c r="T181" i="7" s="1"/>
  <c r="U181" i="7" s="1"/>
  <c r="V181" i="7" s="1"/>
  <c r="T119" i="7"/>
  <c r="U119" i="7" s="1"/>
  <c r="V119" i="7" s="1"/>
  <c r="C182" i="40" l="1"/>
  <c r="C182" i="7"/>
  <c r="F181" i="7"/>
  <c r="R181" i="7"/>
  <c r="R181" i="40"/>
  <c r="F181" i="40"/>
  <c r="J164" i="36"/>
  <c r="H16" i="36" s="1"/>
  <c r="I16" i="36" s="1"/>
  <c r="H165" i="36" s="1"/>
  <c r="S182" i="7"/>
  <c r="T182" i="7" s="1"/>
  <c r="U182" i="7" s="1"/>
  <c r="V182" i="7" s="1"/>
  <c r="I164" i="36"/>
  <c r="K15" i="36" s="1"/>
  <c r="L15" i="36" s="1"/>
  <c r="T120" i="7"/>
  <c r="U120" i="7" s="1"/>
  <c r="V120" i="7" s="1"/>
  <c r="C183" i="40" l="1"/>
  <c r="C183" i="7"/>
  <c r="E182" i="7"/>
  <c r="C214" i="7"/>
  <c r="E182" i="40"/>
  <c r="C214" i="40"/>
  <c r="H166" i="36"/>
  <c r="T121" i="7"/>
  <c r="U121" i="7" s="1"/>
  <c r="V121" i="7" s="1"/>
  <c r="R182" i="7" l="1"/>
  <c r="R214" i="7" s="1"/>
  <c r="S214" i="7" s="1"/>
  <c r="P5" i="11" s="1"/>
  <c r="P6" i="11" s="1"/>
  <c r="F182" i="7"/>
  <c r="F214" i="7" s="1"/>
  <c r="F217" i="7" s="1"/>
  <c r="L217" i="7" s="1"/>
  <c r="E214" i="7"/>
  <c r="E183" i="7"/>
  <c r="C184" i="40"/>
  <c r="E184" i="40" s="1"/>
  <c r="R184" i="40" s="1"/>
  <c r="C184" i="7"/>
  <c r="E184" i="7" s="1"/>
  <c r="R184" i="7" s="1"/>
  <c r="F182" i="40"/>
  <c r="F214" i="40" s="1"/>
  <c r="F217" i="40" s="1"/>
  <c r="L217" i="40" s="1"/>
  <c r="R182" i="40"/>
  <c r="R214" i="40" s="1"/>
  <c r="S214" i="40" s="1"/>
  <c r="E214" i="40"/>
  <c r="E183" i="40"/>
  <c r="K224" i="7"/>
  <c r="H167" i="36"/>
  <c r="T122" i="7"/>
  <c r="U122" i="7" s="1"/>
  <c r="V122" i="7" s="1"/>
  <c r="T209" i="7"/>
  <c r="C26" i="9" l="1"/>
  <c r="D26" i="9" s="1"/>
  <c r="E26" i="9" s="1"/>
  <c r="C186" i="38"/>
  <c r="R183" i="40"/>
  <c r="C185" i="40"/>
  <c r="C185" i="7"/>
  <c r="W214" i="7"/>
  <c r="T214" i="40"/>
  <c r="U214" i="40" s="1"/>
  <c r="V214" i="40" s="1"/>
  <c r="X214" i="40"/>
  <c r="R183" i="7"/>
  <c r="T214" i="7"/>
  <c r="U214" i="7" s="1"/>
  <c r="V214" i="7" s="1"/>
  <c r="Q470" i="38"/>
  <c r="Q474" i="38" s="1"/>
  <c r="Q476" i="38" s="1"/>
  <c r="X209" i="7"/>
  <c r="C181" i="38"/>
  <c r="K225" i="7"/>
  <c r="D42" i="38"/>
  <c r="H168" i="36"/>
  <c r="K5" i="11"/>
  <c r="C21" i="9"/>
  <c r="U209" i="7"/>
  <c r="V209" i="7" s="1"/>
  <c r="E185" i="40" l="1"/>
  <c r="E186" i="38"/>
  <c r="F186" i="38" s="1"/>
  <c r="Z589" i="38" s="1"/>
  <c r="Y608" i="38" s="1"/>
  <c r="X214" i="7"/>
  <c r="C186" i="40"/>
  <c r="E186" i="40" s="1"/>
  <c r="R186" i="40" s="1"/>
  <c r="C186" i="7"/>
  <c r="E186" i="7" s="1"/>
  <c r="R186" i="7" s="1"/>
  <c r="E185" i="7"/>
  <c r="K226" i="7"/>
  <c r="D181" i="38"/>
  <c r="F181" i="38"/>
  <c r="H169" i="36"/>
  <c r="D21" i="9"/>
  <c r="E21" i="9" s="1"/>
  <c r="K6" i="11"/>
  <c r="C187" i="40" l="1"/>
  <c r="E187" i="40" s="1"/>
  <c r="R187" i="40" s="1"/>
  <c r="C187" i="7"/>
  <c r="E187" i="7" s="1"/>
  <c r="R187" i="7" s="1"/>
  <c r="R185" i="7"/>
  <c r="R185" i="40"/>
  <c r="H325" i="38"/>
  <c r="F325" i="38"/>
  <c r="G325" i="38"/>
  <c r="E72" i="38"/>
  <c r="E129" i="38" s="1"/>
  <c r="G72" i="38"/>
  <c r="G129" i="38" s="1"/>
  <c r="D37" i="38"/>
  <c r="E37" i="38" s="1"/>
  <c r="C72" i="38"/>
  <c r="C129" i="38" s="1"/>
  <c r="F72" i="38"/>
  <c r="F129" i="38" s="1"/>
  <c r="D72" i="38"/>
  <c r="D129" i="38" s="1"/>
  <c r="B72" i="38"/>
  <c r="G181" i="38"/>
  <c r="K227" i="7"/>
  <c r="H170" i="36"/>
  <c r="T123" i="7"/>
  <c r="U123" i="7" s="1"/>
  <c r="V123" i="7" s="1"/>
  <c r="C188" i="40" l="1"/>
  <c r="C188" i="7"/>
  <c r="I325" i="38"/>
  <c r="B129" i="38"/>
  <c r="H72" i="38"/>
  <c r="K228" i="7"/>
  <c r="H171" i="36"/>
  <c r="T124" i="7"/>
  <c r="U124" i="7" s="1"/>
  <c r="V124" i="7" s="1"/>
  <c r="E188" i="7" l="1"/>
  <c r="E188" i="40"/>
  <c r="C189" i="40"/>
  <c r="E189" i="40" s="1"/>
  <c r="R189" i="40" s="1"/>
  <c r="C189" i="7"/>
  <c r="E189" i="7" s="1"/>
  <c r="R189" i="7" s="1"/>
  <c r="K229" i="7"/>
  <c r="H172" i="36"/>
  <c r="T125" i="7"/>
  <c r="U125" i="7" s="1"/>
  <c r="V125" i="7" s="1"/>
  <c r="C190" i="40" l="1"/>
  <c r="C190" i="7"/>
  <c r="E190" i="7" s="1"/>
  <c r="R190" i="7" s="1"/>
  <c r="R188" i="40"/>
  <c r="R188" i="7"/>
  <c r="K230" i="7"/>
  <c r="H173" i="36"/>
  <c r="T126" i="7"/>
  <c r="U126" i="7" s="1"/>
  <c r="V126" i="7" s="1"/>
  <c r="C191" i="40" l="1"/>
  <c r="E191" i="40" s="1"/>
  <c r="R191" i="40" s="1"/>
  <c r="C191" i="7"/>
  <c r="E191" i="7" s="1"/>
  <c r="E190" i="40"/>
  <c r="K231" i="7"/>
  <c r="H174" i="36"/>
  <c r="T127" i="7"/>
  <c r="U127" i="7" s="1"/>
  <c r="V127" i="7" s="1"/>
  <c r="C192" i="40" l="1"/>
  <c r="E192" i="40" s="1"/>
  <c r="R192" i="40" s="1"/>
  <c r="C192" i="7"/>
  <c r="E192" i="7" s="1"/>
  <c r="R192" i="7" s="1"/>
  <c r="R191" i="7"/>
  <c r="R190" i="40"/>
  <c r="K232" i="7"/>
  <c r="H175" i="36"/>
  <c r="T128" i="7"/>
  <c r="U128" i="7" s="1"/>
  <c r="V128" i="7" s="1"/>
  <c r="C193" i="40" l="1"/>
  <c r="E193" i="40" s="1"/>
  <c r="C193" i="7"/>
  <c r="E193" i="7" s="1"/>
  <c r="K233" i="7"/>
  <c r="H176" i="36"/>
  <c r="T129" i="7"/>
  <c r="U129" i="7" s="1"/>
  <c r="V129" i="7" s="1"/>
  <c r="C194" i="40" l="1"/>
  <c r="C194" i="7"/>
  <c r="R193" i="7"/>
  <c r="R193" i="40"/>
  <c r="K234" i="7"/>
  <c r="J176" i="36"/>
  <c r="I176" i="36"/>
  <c r="K16" i="36" s="1"/>
  <c r="L16" i="36" s="1"/>
  <c r="T130" i="7"/>
  <c r="U130" i="7" s="1"/>
  <c r="V130" i="7" s="1"/>
  <c r="E194" i="7" l="1"/>
  <c r="C215" i="7"/>
  <c r="C217" i="7" s="1"/>
  <c r="E194" i="40"/>
  <c r="C215" i="40"/>
  <c r="C217" i="40" s="1"/>
  <c r="K235" i="7"/>
  <c r="K198" i="7"/>
  <c r="T131" i="7"/>
  <c r="U131" i="7" s="1"/>
  <c r="V131" i="7" s="1"/>
  <c r="R194" i="40" l="1"/>
  <c r="E215" i="40"/>
  <c r="E217" i="40" s="1"/>
  <c r="R194" i="7"/>
  <c r="E215" i="7"/>
  <c r="E217" i="7" s="1"/>
  <c r="T132" i="7"/>
  <c r="U132" i="7" s="1"/>
  <c r="V132" i="7" s="1"/>
  <c r="R198" i="7" l="1"/>
  <c r="S198" i="7" s="1"/>
  <c r="R215" i="7"/>
  <c r="R198" i="40"/>
  <c r="S198" i="40" s="1"/>
  <c r="R215" i="40"/>
  <c r="T133" i="7"/>
  <c r="U133" i="7" s="1"/>
  <c r="V133" i="7" s="1"/>
  <c r="S215" i="7" l="1"/>
  <c r="S219" i="7" s="1"/>
  <c r="R219" i="7"/>
  <c r="S215" i="40"/>
  <c r="R219" i="40"/>
  <c r="T134" i="7"/>
  <c r="U134" i="7" s="1"/>
  <c r="V134" i="7" s="1"/>
  <c r="T210" i="7"/>
  <c r="X215" i="40" l="1"/>
  <c r="W215" i="7"/>
  <c r="S219" i="40"/>
  <c r="C182" i="38"/>
  <c r="D182" i="38" s="1"/>
  <c r="C22" i="9"/>
  <c r="D22" i="9" s="1"/>
  <c r="E22" i="9" s="1"/>
  <c r="X210" i="7"/>
  <c r="T136" i="7"/>
  <c r="U136" i="7" s="1"/>
  <c r="V136" i="7" s="1"/>
  <c r="L5" i="11"/>
  <c r="M470" i="38" s="1"/>
  <c r="M471" i="38" s="1"/>
  <c r="U210" i="7"/>
  <c r="V210" i="7" s="1"/>
  <c r="T135" i="7"/>
  <c r="U135" i="7" s="1"/>
  <c r="V135" i="7" s="1"/>
  <c r="F182" i="38" l="1"/>
  <c r="Z513" i="38" s="1"/>
  <c r="Y532" i="38" s="1"/>
  <c r="Y535" i="38" s="1"/>
  <c r="AC535" i="38" s="1"/>
  <c r="L6" i="11"/>
  <c r="Z516" i="38" l="1"/>
  <c r="Y524" i="38" s="1"/>
  <c r="B73" i="38"/>
  <c r="B130" i="38" s="1"/>
  <c r="H326" i="38"/>
  <c r="G182" i="38"/>
  <c r="Z517" i="38"/>
  <c r="Y525" i="38" s="1"/>
  <c r="E73" i="38"/>
  <c r="E130" i="38" s="1"/>
  <c r="Z518" i="38"/>
  <c r="Y526" i="38" s="1"/>
  <c r="D73" i="38"/>
  <c r="D130" i="38" s="1"/>
  <c r="C73" i="38"/>
  <c r="C130" i="38" s="1"/>
  <c r="Z515" i="38"/>
  <c r="Y523" i="38" s="1"/>
  <c r="Y539" i="38"/>
  <c r="AC539" i="38" s="1"/>
  <c r="D38" i="38"/>
  <c r="E38" i="38" s="1"/>
  <c r="G326" i="38"/>
  <c r="Z520" i="38"/>
  <c r="Y528" i="38" s="1"/>
  <c r="Y534" i="38"/>
  <c r="AC534" i="38" s="1"/>
  <c r="Y536" i="38"/>
  <c r="AC536" i="38" s="1"/>
  <c r="F73" i="38"/>
  <c r="F130" i="38" s="1"/>
  <c r="G73" i="38"/>
  <c r="G130" i="38" s="1"/>
  <c r="F326" i="38"/>
  <c r="Z519" i="38"/>
  <c r="Y527" i="38" s="1"/>
  <c r="Y537" i="38"/>
  <c r="AC537" i="38" s="1"/>
  <c r="Y538" i="38"/>
  <c r="AC538" i="38" s="1"/>
  <c r="T137" i="7"/>
  <c r="U137" i="7" s="1"/>
  <c r="V137" i="7" s="1"/>
  <c r="T138" i="7"/>
  <c r="U138" i="7" s="1"/>
  <c r="V138" i="7" s="1"/>
  <c r="AD516" i="38" l="1"/>
  <c r="AC524" i="38" s="1"/>
  <c r="AD515" i="38"/>
  <c r="AC523" i="38" s="1"/>
  <c r="AD520" i="38"/>
  <c r="AC528" i="38" s="1"/>
  <c r="AD519" i="38"/>
  <c r="AC527" i="38" s="1"/>
  <c r="AD517" i="38"/>
  <c r="AC525" i="38" s="1"/>
  <c r="AD518" i="38"/>
  <c r="AC526" i="38" s="1"/>
  <c r="I326" i="38"/>
  <c r="H73" i="38"/>
  <c r="T139" i="7"/>
  <c r="U139" i="7" s="1"/>
  <c r="V139" i="7" s="1"/>
  <c r="T140" i="7" l="1"/>
  <c r="U140" i="7" s="1"/>
  <c r="V140" i="7" s="1"/>
  <c r="T141" i="7"/>
  <c r="U141" i="7" s="1"/>
  <c r="V141" i="7" s="1"/>
  <c r="T142" i="7" l="1"/>
  <c r="U142" i="7" s="1"/>
  <c r="V142" i="7" s="1"/>
  <c r="T143" i="7" l="1"/>
  <c r="U143" i="7" s="1"/>
  <c r="V143" i="7" s="1"/>
  <c r="T144" i="7" l="1"/>
  <c r="U144" i="7" s="1"/>
  <c r="V144" i="7" s="1"/>
  <c r="T145" i="7" l="1"/>
  <c r="U145" i="7" s="1"/>
  <c r="V145" i="7" s="1"/>
  <c r="V183" i="7" l="1"/>
  <c r="C158" i="38" s="1"/>
  <c r="T211" i="7"/>
  <c r="X211" i="7" l="1"/>
  <c r="C183" i="38"/>
  <c r="C23" i="9"/>
  <c r="U211" i="7"/>
  <c r="V211" i="7" s="1"/>
  <c r="M5" i="11"/>
  <c r="N470" i="38" s="1"/>
  <c r="N471" i="38" s="1"/>
  <c r="D183" i="38" l="1"/>
  <c r="F183" i="38"/>
  <c r="Z532" i="38" s="1"/>
  <c r="M6" i="11"/>
  <c r="D23" i="9"/>
  <c r="E23" i="9" s="1"/>
  <c r="Y551" i="38" l="1"/>
  <c r="Z538" i="38"/>
  <c r="Z536" i="38"/>
  <c r="Z534" i="38"/>
  <c r="Z539" i="38"/>
  <c r="Z537" i="38"/>
  <c r="Z535" i="38"/>
  <c r="H327" i="38"/>
  <c r="F327" i="38"/>
  <c r="G327" i="38"/>
  <c r="E75" i="38"/>
  <c r="E132" i="38" s="1"/>
  <c r="D75" i="38"/>
  <c r="D132" i="38" s="1"/>
  <c r="F75" i="38"/>
  <c r="F132" i="38" s="1"/>
  <c r="G75" i="38"/>
  <c r="G132" i="38" s="1"/>
  <c r="D39" i="38"/>
  <c r="E39" i="38" s="1"/>
  <c r="C75" i="38"/>
  <c r="C132" i="38" s="1"/>
  <c r="B75" i="38"/>
  <c r="G183" i="38"/>
  <c r="T212" i="7"/>
  <c r="Y545" i="38" l="1"/>
  <c r="AD537" i="38"/>
  <c r="AC545" i="38" s="1"/>
  <c r="Y546" i="38"/>
  <c r="AD538" i="38"/>
  <c r="AC546" i="38" s="1"/>
  <c r="AD539" i="38"/>
  <c r="AC547" i="38" s="1"/>
  <c r="Y547" i="38"/>
  <c r="Y557" i="38"/>
  <c r="AC557" i="38" s="1"/>
  <c r="Y553" i="38"/>
  <c r="AC553" i="38" s="1"/>
  <c r="Y558" i="38"/>
  <c r="AC558" i="38" s="1"/>
  <c r="Y554" i="38"/>
  <c r="AC554" i="38" s="1"/>
  <c r="Y555" i="38"/>
  <c r="AC555" i="38" s="1"/>
  <c r="Y556" i="38"/>
  <c r="AC556" i="38" s="1"/>
  <c r="AD534" i="38"/>
  <c r="AC542" i="38" s="1"/>
  <c r="Y542" i="38"/>
  <c r="Y543" i="38"/>
  <c r="AD535" i="38"/>
  <c r="AC543" i="38" s="1"/>
  <c r="AD536" i="38"/>
  <c r="AC544" i="38" s="1"/>
  <c r="Y544" i="38"/>
  <c r="I327" i="38"/>
  <c r="X212" i="7"/>
  <c r="C184" i="38"/>
  <c r="B132" i="38"/>
  <c r="H75" i="38"/>
  <c r="U212" i="7"/>
  <c r="V212" i="7" s="1"/>
  <c r="N5" i="11"/>
  <c r="C24" i="9"/>
  <c r="D24" i="9" s="1"/>
  <c r="E24" i="9" s="1"/>
  <c r="O470" i="38" l="1"/>
  <c r="O471" i="38" s="1"/>
  <c r="N6" i="11"/>
  <c r="D184" i="38"/>
  <c r="F184" i="38"/>
  <c r="Z551" i="38" s="1"/>
  <c r="N29" i="11"/>
  <c r="O495" i="38" s="1"/>
  <c r="N34" i="11"/>
  <c r="O500" i="38" s="1"/>
  <c r="N24" i="11"/>
  <c r="O490" i="38" s="1"/>
  <c r="X555" i="38" l="1"/>
  <c r="Z555" i="38" s="1"/>
  <c r="W574" i="38"/>
  <c r="AA574" i="38" s="1"/>
  <c r="O509" i="38"/>
  <c r="X557" i="38"/>
  <c r="Z557" i="38" s="1"/>
  <c r="W576" i="38"/>
  <c r="AA576" i="38" s="1"/>
  <c r="X556" i="38"/>
  <c r="W575" i="38"/>
  <c r="Y570" i="38"/>
  <c r="Z553" i="38"/>
  <c r="Z554" i="38"/>
  <c r="Z558" i="38"/>
  <c r="F328" i="38"/>
  <c r="G328" i="38"/>
  <c r="H328" i="38"/>
  <c r="F76" i="38"/>
  <c r="F133" i="38" s="1"/>
  <c r="E76" i="38"/>
  <c r="E133" i="38" s="1"/>
  <c r="B76" i="38"/>
  <c r="G76" i="38"/>
  <c r="G133" i="38" s="1"/>
  <c r="D40" i="38"/>
  <c r="E40" i="38" s="1"/>
  <c r="D76" i="38"/>
  <c r="D133" i="38" s="1"/>
  <c r="C76" i="38"/>
  <c r="C133" i="38" s="1"/>
  <c r="G184" i="38"/>
  <c r="E16" i="18"/>
  <c r="N47" i="11" s="1"/>
  <c r="N43" i="11"/>
  <c r="AA575" i="38" l="1"/>
  <c r="AB556" i="38"/>
  <c r="AA564" i="38" s="1"/>
  <c r="W564" i="38"/>
  <c r="W565" i="38"/>
  <c r="AB557" i="38"/>
  <c r="AA565" i="38" s="1"/>
  <c r="Z556" i="38"/>
  <c r="Y564" i="38" s="1"/>
  <c r="W563" i="38"/>
  <c r="AB555" i="38"/>
  <c r="AA563" i="38" s="1"/>
  <c r="AD553" i="38"/>
  <c r="AC561" i="38" s="1"/>
  <c r="Y561" i="38"/>
  <c r="AD555" i="38"/>
  <c r="AC563" i="38" s="1"/>
  <c r="Y563" i="38"/>
  <c r="Y566" i="38"/>
  <c r="AD558" i="38"/>
  <c r="AC566" i="38" s="1"/>
  <c r="Y577" i="38"/>
  <c r="AC577" i="38" s="1"/>
  <c r="Y572" i="38"/>
  <c r="AC572" i="38" s="1"/>
  <c r="Y574" i="38"/>
  <c r="AC574" i="38" s="1"/>
  <c r="Y576" i="38"/>
  <c r="AC576" i="38" s="1"/>
  <c r="Y573" i="38"/>
  <c r="AC573" i="38" s="1"/>
  <c r="Y575" i="38"/>
  <c r="AC575" i="38" s="1"/>
  <c r="Y562" i="38"/>
  <c r="AD554" i="38"/>
  <c r="AC562" i="38" s="1"/>
  <c r="AD557" i="38"/>
  <c r="AC565" i="38" s="1"/>
  <c r="Y565" i="38"/>
  <c r="I328" i="38"/>
  <c r="B133" i="38"/>
  <c r="H76" i="38"/>
  <c r="N52" i="11"/>
  <c r="AD556" i="38" l="1"/>
  <c r="AC564" i="38" s="1"/>
  <c r="T213" i="7" l="1"/>
  <c r="X213" i="7"/>
  <c r="C185" i="38"/>
  <c r="C25" i="9"/>
  <c r="D25" i="9" s="1"/>
  <c r="E25" i="9" s="1"/>
  <c r="O5" i="11"/>
  <c r="P470" i="38" l="1"/>
  <c r="P471" i="38" s="1"/>
  <c r="O6" i="11"/>
  <c r="D185" i="38"/>
  <c r="F185" i="38"/>
  <c r="Z570" i="38" s="1"/>
  <c r="U213" i="7"/>
  <c r="V213" i="7" s="1"/>
  <c r="Z572" i="38" l="1"/>
  <c r="Z577" i="38"/>
  <c r="Y589" i="38"/>
  <c r="Z573" i="38"/>
  <c r="H329" i="38"/>
  <c r="F329" i="38"/>
  <c r="G329" i="38"/>
  <c r="F77" i="38"/>
  <c r="F134" i="38" s="1"/>
  <c r="G77" i="38"/>
  <c r="G134" i="38" s="1"/>
  <c r="E77" i="38"/>
  <c r="E134" i="38" s="1"/>
  <c r="D41" i="38"/>
  <c r="C77" i="38"/>
  <c r="C134" i="38" s="1"/>
  <c r="D77" i="38"/>
  <c r="D134" i="38" s="1"/>
  <c r="B77" i="38"/>
  <c r="G185" i="38"/>
  <c r="O29" i="11"/>
  <c r="P495" i="38" s="1"/>
  <c r="O24" i="11"/>
  <c r="P490" i="38" s="1"/>
  <c r="O34" i="11"/>
  <c r="P500" i="38" s="1"/>
  <c r="X574" i="38" l="1"/>
  <c r="W593" i="38"/>
  <c r="AA593" i="38" s="1"/>
  <c r="P509" i="38"/>
  <c r="X575" i="38"/>
  <c r="W594" i="38"/>
  <c r="AA594" i="38" s="1"/>
  <c r="W595" i="38"/>
  <c r="AA595" i="38" s="1"/>
  <c r="X576" i="38"/>
  <c r="Y596" i="38"/>
  <c r="AC596" i="38" s="1"/>
  <c r="Y591" i="38"/>
  <c r="AC591" i="38" s="1"/>
  <c r="Y592" i="38"/>
  <c r="AC592" i="38" s="1"/>
  <c r="AD577" i="38"/>
  <c r="AC585" i="38" s="1"/>
  <c r="Y585" i="38"/>
  <c r="Y581" i="38"/>
  <c r="AD573" i="38"/>
  <c r="AC581" i="38" s="1"/>
  <c r="Y580" i="38"/>
  <c r="AD572" i="38"/>
  <c r="AC580" i="38" s="1"/>
  <c r="I329" i="38"/>
  <c r="B134" i="38"/>
  <c r="H77" i="38"/>
  <c r="E41" i="38"/>
  <c r="E42" i="38"/>
  <c r="E17" i="18"/>
  <c r="O47" i="11" s="1"/>
  <c r="O43" i="11"/>
  <c r="Y594" i="38" l="1"/>
  <c r="AC594" i="38" s="1"/>
  <c r="Y593" i="38"/>
  <c r="AC593" i="38" s="1"/>
  <c r="Y595" i="38"/>
  <c r="AC595" i="38" s="1"/>
  <c r="W584" i="38"/>
  <c r="AB576" i="38"/>
  <c r="AA584" i="38" s="1"/>
  <c r="Z576" i="38"/>
  <c r="AB575" i="38"/>
  <c r="AA583" i="38" s="1"/>
  <c r="W583" i="38"/>
  <c r="Z575" i="38"/>
  <c r="W582" i="38"/>
  <c r="AB574" i="38"/>
  <c r="AA582" i="38" s="1"/>
  <c r="Z574" i="38"/>
  <c r="O52" i="11"/>
  <c r="Y583" i="38" l="1"/>
  <c r="AD575" i="38"/>
  <c r="AC583" i="38" s="1"/>
  <c r="Y584" i="38"/>
  <c r="AD576" i="38"/>
  <c r="AC584" i="38" s="1"/>
  <c r="AD574" i="38"/>
  <c r="AC582" i="38" s="1"/>
  <c r="Y582" i="38"/>
  <c r="E80" i="34"/>
  <c r="H66" i="9" l="1"/>
  <c r="H65" i="9"/>
  <c r="H70" i="9" l="1"/>
  <c r="H51" i="9" l="1"/>
  <c r="H73" i="9" s="1"/>
  <c r="B250" i="38" s="1"/>
  <c r="B249" i="38" l="1"/>
  <c r="B300" i="38" s="1"/>
  <c r="H300" i="38" s="1"/>
  <c r="B301" i="38"/>
  <c r="H79" i="9"/>
  <c r="H249" i="38" l="1"/>
  <c r="N42" i="11"/>
  <c r="O42" i="11"/>
  <c r="O51" i="11" l="1"/>
  <c r="N51" i="11"/>
  <c r="E76" i="34" l="1"/>
  <c r="E81" i="34" l="1"/>
  <c r="E78" i="34"/>
  <c r="E77" i="34" l="1"/>
  <c r="C82" i="34"/>
  <c r="L66" i="9"/>
  <c r="L70" i="9" s="1"/>
  <c r="L51" i="9" l="1"/>
  <c r="L73" i="9" l="1"/>
  <c r="S73" i="9" s="1"/>
  <c r="T73" i="9" s="1"/>
  <c r="U73" i="9" s="1"/>
  <c r="W183" i="7" l="1"/>
  <c r="L79" i="9"/>
  <c r="N79" i="9" s="1"/>
  <c r="G73" i="9"/>
  <c r="F250" i="38"/>
  <c r="F301" i="38" l="1"/>
  <c r="H301" i="38" s="1"/>
  <c r="H250" i="38"/>
  <c r="W184" i="7"/>
  <c r="S183" i="7"/>
  <c r="S224" i="7"/>
  <c r="N85" i="9"/>
  <c r="W185" i="7" l="1"/>
  <c r="S184" i="7"/>
  <c r="S225" i="7"/>
  <c r="B303" i="38"/>
  <c r="B309" i="38" s="1"/>
  <c r="Q489" i="38"/>
  <c r="D303" i="38"/>
  <c r="D309" i="38" s="1"/>
  <c r="B354" i="38" s="1"/>
  <c r="Q485" i="38"/>
  <c r="C303" i="38"/>
  <c r="C309" i="38" s="1"/>
  <c r="Q499" i="38"/>
  <c r="F303" i="38"/>
  <c r="F309" i="38" s="1"/>
  <c r="E303" i="38"/>
  <c r="E309" i="38" s="1"/>
  <c r="C354" i="38" s="1"/>
  <c r="Q504" i="38"/>
  <c r="G303" i="38"/>
  <c r="G309" i="38" s="1"/>
  <c r="W186" i="7" l="1"/>
  <c r="S185" i="7"/>
  <c r="S226" i="7"/>
  <c r="W611" i="38"/>
  <c r="X592" i="38"/>
  <c r="W615" i="38"/>
  <c r="X596" i="38"/>
  <c r="Q494" i="38"/>
  <c r="H309" i="38"/>
  <c r="C78" i="38"/>
  <c r="C135" i="38" s="1"/>
  <c r="H303" i="38"/>
  <c r="P34" i="11"/>
  <c r="P24" i="11"/>
  <c r="Q490" i="38" s="1"/>
  <c r="G78" i="38"/>
  <c r="G135" i="38" s="1"/>
  <c r="E354" i="38"/>
  <c r="D78" i="38"/>
  <c r="D135" i="38" s="1"/>
  <c r="F78" i="38"/>
  <c r="F135" i="38" s="1"/>
  <c r="Q34" i="11"/>
  <c r="P29" i="11"/>
  <c r="Q481" i="38"/>
  <c r="W187" i="7" l="1"/>
  <c r="S186" i="7"/>
  <c r="S227" i="7"/>
  <c r="E78" i="38"/>
  <c r="E135" i="38" s="1"/>
  <c r="AB592" i="38"/>
  <c r="AA600" i="38" s="1"/>
  <c r="W600" i="38"/>
  <c r="Z592" i="38"/>
  <c r="W612" i="38"/>
  <c r="X593" i="38"/>
  <c r="AA611" i="38"/>
  <c r="Y611" i="38"/>
  <c r="AC611" i="38" s="1"/>
  <c r="Z596" i="38"/>
  <c r="W604" i="38"/>
  <c r="AB596" i="38"/>
  <c r="AA604" i="38" s="1"/>
  <c r="W610" i="38"/>
  <c r="X591" i="38"/>
  <c r="AA615" i="38"/>
  <c r="Y615" i="38"/>
  <c r="AC615" i="38" s="1"/>
  <c r="Q508" i="38"/>
  <c r="E18" i="18"/>
  <c r="P47" i="11" s="1"/>
  <c r="Q495" i="38"/>
  <c r="D9" i="34"/>
  <c r="E40" i="34" s="1"/>
  <c r="G40" i="34" s="1"/>
  <c r="R500" i="38"/>
  <c r="X614" i="38" s="1"/>
  <c r="Q500" i="38"/>
  <c r="B78" i="38"/>
  <c r="S34" i="11"/>
  <c r="S35" i="11" s="1"/>
  <c r="P43" i="11"/>
  <c r="W188" i="7" l="1"/>
  <c r="S187" i="7"/>
  <c r="S228" i="7"/>
  <c r="W613" i="38"/>
  <c r="X594" i="38"/>
  <c r="Y600" i="38"/>
  <c r="AD592" i="38"/>
  <c r="AC600" i="38" s="1"/>
  <c r="Z591" i="38"/>
  <c r="AB591" i="38"/>
  <c r="AA599" i="38" s="1"/>
  <c r="W599" i="38"/>
  <c r="AD596" i="38"/>
  <c r="AC604" i="38" s="1"/>
  <c r="Y604" i="38"/>
  <c r="Z593" i="38"/>
  <c r="W601" i="38"/>
  <c r="AB593" i="38"/>
  <c r="AA601" i="38" s="1"/>
  <c r="W614" i="38"/>
  <c r="W622" i="38" s="1"/>
  <c r="X595" i="38"/>
  <c r="AB614" i="38"/>
  <c r="Y610" i="38"/>
  <c r="AC610" i="38" s="1"/>
  <c r="AA610" i="38"/>
  <c r="Y612" i="38"/>
  <c r="AC612" i="38" s="1"/>
  <c r="AA612" i="38"/>
  <c r="Q509" i="38"/>
  <c r="E50" i="34"/>
  <c r="G50" i="34" s="1"/>
  <c r="B135" i="38"/>
  <c r="H78" i="38"/>
  <c r="W189" i="7" l="1"/>
  <c r="S188" i="7"/>
  <c r="S229" i="7"/>
  <c r="AD593" i="38"/>
  <c r="AC601" i="38" s="1"/>
  <c r="Y601" i="38"/>
  <c r="AB594" i="38"/>
  <c r="AA602" i="38" s="1"/>
  <c r="Z594" i="38"/>
  <c r="W602" i="38"/>
  <c r="Z595" i="38"/>
  <c r="W603" i="38"/>
  <c r="AB595" i="38"/>
  <c r="AA603" i="38" s="1"/>
  <c r="Y613" i="38"/>
  <c r="AC613" i="38" s="1"/>
  <c r="AA613" i="38"/>
  <c r="Y614" i="38"/>
  <c r="AC614" i="38" s="1"/>
  <c r="AA614" i="38"/>
  <c r="AA622" i="38" s="1"/>
  <c r="AD591" i="38"/>
  <c r="AC599" i="38" s="1"/>
  <c r="Y599" i="38"/>
  <c r="W190" i="7" l="1"/>
  <c r="S189" i="7"/>
  <c r="S230" i="7"/>
  <c r="AD595" i="38"/>
  <c r="AC603" i="38" s="1"/>
  <c r="Y603" i="38"/>
  <c r="Y602" i="38"/>
  <c r="AD594" i="38"/>
  <c r="AC602" i="38" s="1"/>
  <c r="E79" i="34"/>
  <c r="E82" i="34" s="1"/>
  <c r="C93" i="34" s="1"/>
  <c r="W191" i="7" l="1"/>
  <c r="S190" i="7"/>
  <c r="S231" i="7"/>
  <c r="W192" i="7" l="1"/>
  <c r="S191" i="7"/>
  <c r="S232" i="7"/>
  <c r="W193" i="7" l="1"/>
  <c r="S192" i="7"/>
  <c r="S233" i="7"/>
  <c r="W194" i="7" l="1"/>
  <c r="S193" i="7"/>
  <c r="S234" i="7"/>
  <c r="S194" i="7" l="1"/>
  <c r="S235" i="7"/>
  <c r="T235" i="7" s="1"/>
  <c r="C188" i="38" s="1"/>
  <c r="E188" i="38" s="1"/>
  <c r="F188" i="38" s="1"/>
  <c r="E187" i="38" l="1"/>
  <c r="C187" i="38" l="1"/>
  <c r="F187" i="38" s="1"/>
  <c r="Z608" i="38" s="1"/>
  <c r="Z614" i="38" s="1"/>
  <c r="C27" i="9"/>
  <c r="G27" i="9" s="1"/>
  <c r="Q5" i="11"/>
  <c r="X215" i="7"/>
  <c r="Q8" i="11" l="1"/>
  <c r="R470" i="38"/>
  <c r="R474" i="38" s="1"/>
  <c r="R476" i="38" s="1"/>
  <c r="Q10" i="11"/>
  <c r="D43" i="38" s="1"/>
  <c r="E43" i="38" s="1"/>
  <c r="G76" i="9"/>
  <c r="AD614" i="38"/>
  <c r="AC622" i="38" s="1"/>
  <c r="Y622" i="38"/>
  <c r="G79" i="9" l="1"/>
  <c r="H82" i="9" l="1"/>
  <c r="M82" i="9"/>
  <c r="L82" i="9"/>
  <c r="J82" i="9"/>
  <c r="K82" i="9"/>
  <c r="I82" i="9"/>
  <c r="J76" i="9" l="1"/>
  <c r="D304" i="38"/>
  <c r="D310" i="38" s="1"/>
  <c r="B355" i="38" s="1"/>
  <c r="E355" i="38" s="1"/>
  <c r="I76" i="9"/>
  <c r="Q19" i="11" s="1"/>
  <c r="C304" i="38"/>
  <c r="C310" i="38" s="1"/>
  <c r="L76" i="9"/>
  <c r="Q33" i="11" s="1"/>
  <c r="F304" i="38"/>
  <c r="F310" i="38" s="1"/>
  <c r="M76" i="9"/>
  <c r="Q38" i="11" s="1"/>
  <c r="G304" i="38"/>
  <c r="G310" i="38" s="1"/>
  <c r="K76" i="9"/>
  <c r="E304" i="38"/>
  <c r="E310" i="38" s="1"/>
  <c r="C355" i="38" s="1"/>
  <c r="B304" i="38"/>
  <c r="H76" i="9"/>
  <c r="N82" i="9"/>
  <c r="Q15" i="11" l="1"/>
  <c r="N76" i="9"/>
  <c r="B310" i="38"/>
  <c r="H310" i="38" s="1"/>
  <c r="H304" i="38"/>
  <c r="R485" i="38"/>
  <c r="X611" i="38" s="1"/>
  <c r="C6" i="34"/>
  <c r="S19" i="11"/>
  <c r="S20" i="11" s="1"/>
  <c r="C79" i="38"/>
  <c r="C136" i="38" s="1"/>
  <c r="R504" i="38"/>
  <c r="X615" i="38" s="1"/>
  <c r="S38" i="11"/>
  <c r="S39" i="11" s="1"/>
  <c r="G79" i="38"/>
  <c r="G136" i="38" s="1"/>
  <c r="C10" i="34"/>
  <c r="Q28" i="11"/>
  <c r="C19" i="18"/>
  <c r="Q29" i="11" s="1"/>
  <c r="R499" i="38"/>
  <c r="F79" i="38"/>
  <c r="F136" i="38" s="1"/>
  <c r="C9" i="34"/>
  <c r="Q23" i="11"/>
  <c r="B19" i="18"/>
  <c r="C21" i="34" l="1"/>
  <c r="E21" i="34" s="1"/>
  <c r="Q24" i="11"/>
  <c r="E19" i="18"/>
  <c r="Q47" i="11" s="1"/>
  <c r="D8" i="34"/>
  <c r="E39" i="34" s="1"/>
  <c r="R495" i="38"/>
  <c r="X613" i="38" s="1"/>
  <c r="S29" i="11"/>
  <c r="S30" i="11" s="1"/>
  <c r="C17" i="34"/>
  <c r="E17" i="34" s="1"/>
  <c r="Q46" i="11"/>
  <c r="O76" i="9"/>
  <c r="Q76" i="9" s="1"/>
  <c r="R489" i="38"/>
  <c r="D79" i="38"/>
  <c r="D136" i="38" s="1"/>
  <c r="C7" i="34"/>
  <c r="C20" i="34"/>
  <c r="E20" i="34" s="1"/>
  <c r="R494" i="38"/>
  <c r="C8" i="34"/>
  <c r="E79" i="38"/>
  <c r="E136" i="38" s="1"/>
  <c r="AB615" i="38"/>
  <c r="AA623" i="38" s="1"/>
  <c r="Z615" i="38"/>
  <c r="W623" i="38"/>
  <c r="AB611" i="38"/>
  <c r="AA619" i="38" s="1"/>
  <c r="Z611" i="38"/>
  <c r="W619" i="38"/>
  <c r="R481" i="38"/>
  <c r="S15" i="11"/>
  <c r="S16" i="11" s="1"/>
  <c r="Q42" i="11"/>
  <c r="Q54" i="11"/>
  <c r="C5" i="34"/>
  <c r="B79" i="38"/>
  <c r="Q51" i="11" l="1"/>
  <c r="C31" i="34"/>
  <c r="E31" i="34" s="1"/>
  <c r="C30" i="34"/>
  <c r="E30" i="34" s="1"/>
  <c r="G30" i="34" s="1"/>
  <c r="AD611" i="38"/>
  <c r="AC619" i="38" s="1"/>
  <c r="Y619" i="38"/>
  <c r="G17" i="34"/>
  <c r="H79" i="38"/>
  <c r="B136" i="38"/>
  <c r="G20" i="34"/>
  <c r="C11" i="34"/>
  <c r="C16" i="34"/>
  <c r="C26" i="34" s="1"/>
  <c r="R508" i="38"/>
  <c r="X610" i="38"/>
  <c r="C19" i="34"/>
  <c r="E19" i="34" s="1"/>
  <c r="C18" i="34"/>
  <c r="E18" i="34" s="1"/>
  <c r="W621" i="38"/>
  <c r="Z613" i="38"/>
  <c r="AB613" i="38"/>
  <c r="AA621" i="38" s="1"/>
  <c r="G31" i="34"/>
  <c r="E41" i="34"/>
  <c r="R490" i="38"/>
  <c r="S24" i="11"/>
  <c r="S25" i="11" s="1"/>
  <c r="S42" i="11" s="1"/>
  <c r="Q43" i="11"/>
  <c r="Q52" i="11" s="1"/>
  <c r="D7" i="34"/>
  <c r="AD615" i="38"/>
  <c r="AC623" i="38" s="1"/>
  <c r="Y623" i="38"/>
  <c r="C27" i="34"/>
  <c r="E27" i="34" s="1"/>
  <c r="G27" i="34" s="1"/>
  <c r="E49" i="34"/>
  <c r="G49" i="34" s="1"/>
  <c r="G39" i="34"/>
  <c r="G21" i="34"/>
  <c r="E61" i="34"/>
  <c r="E60" i="34" l="1"/>
  <c r="G60" i="34" s="1"/>
  <c r="E26" i="34"/>
  <c r="X612" i="38"/>
  <c r="R509" i="38"/>
  <c r="G18" i="34"/>
  <c r="E38" i="34"/>
  <c r="D11" i="34"/>
  <c r="AD613" i="38"/>
  <c r="AC621" i="38" s="1"/>
  <c r="Y621" i="38"/>
  <c r="C29" i="34"/>
  <c r="E29" i="34" s="1"/>
  <c r="G29" i="34" s="1"/>
  <c r="E57" i="34"/>
  <c r="G19" i="34"/>
  <c r="E16" i="34"/>
  <c r="C22" i="34"/>
  <c r="C28" i="34"/>
  <c r="E28" i="34" s="1"/>
  <c r="G28" i="34" s="1"/>
  <c r="Z610" i="38"/>
  <c r="W618" i="38"/>
  <c r="AB610" i="38"/>
  <c r="AA618" i="38" s="1"/>
  <c r="G61" i="34"/>
  <c r="E71" i="34"/>
  <c r="G71" i="34" s="1"/>
  <c r="E51" i="34"/>
  <c r="G51" i="34" s="1"/>
  <c r="G41" i="34"/>
  <c r="E37" i="34"/>
  <c r="E70" i="34" l="1"/>
  <c r="G70" i="34" s="1"/>
  <c r="G57" i="34"/>
  <c r="E67" i="34"/>
  <c r="G67" i="34" s="1"/>
  <c r="G37" i="34"/>
  <c r="E47" i="34"/>
  <c r="G47" i="34" s="1"/>
  <c r="G16" i="34"/>
  <c r="G22" i="34" s="1"/>
  <c r="E22" i="34"/>
  <c r="E56" i="34"/>
  <c r="Z612" i="38"/>
  <c r="AB612" i="38"/>
  <c r="AA620" i="38" s="1"/>
  <c r="W620" i="38"/>
  <c r="Y618" i="38"/>
  <c r="AD610" i="38"/>
  <c r="AC618" i="38" s="1"/>
  <c r="E59" i="34"/>
  <c r="E58" i="34"/>
  <c r="E36" i="34"/>
  <c r="G26" i="34"/>
  <c r="G32" i="34" s="1"/>
  <c r="E32" i="34"/>
  <c r="G38" i="34"/>
  <c r="E48" i="34"/>
  <c r="G48" i="34" s="1"/>
  <c r="C32" i="34"/>
  <c r="C87" i="34" l="1"/>
  <c r="AD612" i="38"/>
  <c r="AC620" i="38" s="1"/>
  <c r="Y620" i="38"/>
  <c r="E46" i="34"/>
  <c r="G46" i="34" s="1"/>
  <c r="G52" i="34" s="1"/>
  <c r="C90" i="34" s="1"/>
  <c r="G36" i="34"/>
  <c r="G42" i="34" s="1"/>
  <c r="C89" i="34" s="1"/>
  <c r="G56" i="34"/>
  <c r="E66" i="34"/>
  <c r="E62" i="34"/>
  <c r="G58" i="34"/>
  <c r="E68" i="34"/>
  <c r="G68" i="34" s="1"/>
  <c r="G59" i="34"/>
  <c r="E69" i="34"/>
  <c r="G69" i="34" s="1"/>
  <c r="G66" i="34" l="1"/>
  <c r="G72" i="34" s="1"/>
  <c r="C91" i="34" s="1"/>
  <c r="E72" i="34"/>
  <c r="G62" i="34"/>
  <c r="C88" i="34" s="1"/>
  <c r="C94" i="34" l="1"/>
</calcChain>
</file>

<file path=xl/comments1.xml><?xml version="1.0" encoding="utf-8"?>
<comments xmlns="http://schemas.openxmlformats.org/spreadsheetml/2006/main">
  <authors>
    <author>Andrew Belsito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2013 Descision and 2013 Chp 2 Appendices
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Rate Base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Rate Base</t>
        </r>
      </text>
    </comment>
  </commentList>
</comments>
</file>

<file path=xl/comments2.xml><?xml version="1.0" encoding="utf-8"?>
<comments xmlns="http://schemas.openxmlformats.org/spreadsheetml/2006/main">
  <authors>
    <author>Andrew Belsito</author>
  </authors>
  <commentList>
    <comment ref="N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Statscan - employment and unemployment table</t>
        </r>
      </text>
    </comment>
  </commentList>
</comments>
</file>

<file path=xl/comments3.xml><?xml version="1.0" encoding="utf-8"?>
<comments xmlns="http://schemas.openxmlformats.org/spreadsheetml/2006/main">
  <authors>
    <author>Andrew Belsito</author>
  </authors>
  <commentList>
    <comment ref="N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Statscan - employment and unemployment table</t>
        </r>
      </text>
    </comment>
  </commentList>
</comments>
</file>

<file path=xl/comments4.xml><?xml version="1.0" encoding="utf-8"?>
<comments xmlns="http://schemas.openxmlformats.org/spreadsheetml/2006/main">
  <authors>
    <author>Andrew Belsito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Rate Classes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Not uplifted Billed kWh or kW - read at meter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Removed Traffic Lights Consumption
</t>
        </r>
      </text>
    </comment>
    <comment ref="H7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I7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J7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</commentList>
</comments>
</file>

<file path=xl/comments5.xml><?xml version="1.0" encoding="utf-8"?>
<comments xmlns="http://schemas.openxmlformats.org/spreadsheetml/2006/main">
  <authors>
    <author>Andrew Belsito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Connections
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Yearly Average customers
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Devices from 2003-2016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Connections for 2017 &amp; 2018
</t>
        </r>
      </text>
    </comment>
  </commentList>
</comments>
</file>

<file path=xl/comments6.xml><?xml version="1.0" encoding="utf-8"?>
<comments xmlns="http://schemas.openxmlformats.org/spreadsheetml/2006/main">
  <authors>
    <author>Andrew Belsito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Converts kwh to kW's for these classes
</t>
        </r>
      </text>
    </comment>
  </commentList>
</comments>
</file>

<file path=xl/sharedStrings.xml><?xml version="1.0" encoding="utf-8"?>
<sst xmlns="http://schemas.openxmlformats.org/spreadsheetml/2006/main" count="1058" uniqueCount="346">
  <si>
    <t>Loss Factor</t>
  </si>
  <si>
    <t xml:space="preserve">Residential </t>
  </si>
  <si>
    <t xml:space="preserve">Unmetered Loads 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</si>
  <si>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</si>
  <si>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</si>
  <si>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</si>
  <si>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</si>
  <si>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</si>
  <si>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</si>
  <si>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</si>
  <si>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</si>
  <si>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</si>
  <si>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</si>
  <si>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</si>
  <si>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</si>
  <si>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</si>
  <si>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</si>
  <si>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</si>
  <si>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</si>
  <si>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>Check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</si>
  <si>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</si>
  <si>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</si>
  <si>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</si>
  <si>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</si>
  <si>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</si>
  <si>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</si>
  <si>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</si>
  <si>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</si>
  <si>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</si>
  <si>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</si>
  <si>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</si>
  <si>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</si>
  <si>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</si>
  <si>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</si>
  <si>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</si>
  <si>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</si>
  <si>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</si>
  <si>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</si>
  <si>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</si>
  <si>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</si>
  <si>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</si>
  <si>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</si>
  <si>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</si>
  <si>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</si>
  <si>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</si>
  <si>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</si>
  <si>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</si>
  <si>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</si>
  <si>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</si>
  <si>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</si>
  <si>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</si>
  <si>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</si>
  <si>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</si>
  <si>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</si>
  <si>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</si>
  <si>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</si>
  <si>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</si>
  <si>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</si>
  <si>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</si>
  <si>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</si>
  <si>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</si>
  <si>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</si>
  <si>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</si>
  <si>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</si>
  <si>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</si>
  <si>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Purchased kWh</t>
  </si>
  <si>
    <t>Street Lights</t>
  </si>
  <si>
    <t>Weather Normal</t>
  </si>
  <si>
    <t>Total Annual CDM Results</t>
  </si>
  <si>
    <t>Increase over previous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</si>
  <si>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</si>
  <si>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</si>
  <si>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</si>
  <si>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</si>
  <si>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</si>
  <si>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</si>
  <si>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</si>
  <si>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</si>
  <si>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</si>
  <si>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</si>
  <si>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</si>
  <si>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</si>
  <si>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</si>
  <si>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t>kWh</t>
  </si>
  <si>
    <t>kW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</si>
  <si>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</si>
  <si>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</si>
  <si>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</si>
  <si>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</si>
  <si>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</si>
  <si>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</si>
  <si>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</si>
  <si>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</si>
  <si>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</si>
  <si>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</si>
  <si>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</si>
  <si>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</si>
  <si>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</si>
  <si>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</si>
  <si>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</si>
  <si>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</si>
  <si>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</si>
  <si>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Number of Customers</t>
  </si>
  <si>
    <t>% Variance (Abs)</t>
  </si>
  <si>
    <t>CDM</t>
  </si>
  <si>
    <t xml:space="preserve">2008 Actual </t>
  </si>
  <si>
    <t xml:space="preserve">2010 Actual </t>
  </si>
  <si>
    <t xml:space="preserve">2011 Actual </t>
  </si>
  <si>
    <t xml:space="preserve">2009 Actual </t>
  </si>
  <si>
    <t xml:space="preserve">2012 Actual </t>
  </si>
  <si>
    <t>CDM Purchase Adjustment</t>
  </si>
  <si>
    <t>Predicted kWh Purchases after CDM</t>
  </si>
  <si>
    <t xml:space="preserve">Billed kWh </t>
  </si>
  <si>
    <t>CDM Activity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</si>
  <si>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</si>
  <si>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</si>
  <si>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</si>
  <si>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</si>
  <si>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</si>
  <si>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</si>
  <si>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</si>
  <si>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</si>
  <si>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</si>
  <si>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</si>
  <si>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</si>
  <si>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</si>
  <si>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</si>
  <si>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</si>
  <si>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</si>
  <si>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</si>
  <si>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</si>
  <si>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4751 - Smart Metering Entity charge</t>
  </si>
  <si>
    <t>General Service &lt; 50 kW</t>
  </si>
  <si>
    <t xml:space="preserve">2013 Actual </t>
  </si>
  <si>
    <t xml:space="preserve">2014 Actual </t>
  </si>
  <si>
    <t>Regional Employment (000's)</t>
  </si>
  <si>
    <t>Regional Unemployment (000's)</t>
  </si>
  <si>
    <t>Weather Normal Projection</t>
  </si>
  <si>
    <t>Residential</t>
  </si>
  <si>
    <t>USL</t>
  </si>
  <si>
    <t>Sentinel Lights</t>
  </si>
  <si>
    <t>Check totals above should be zero</t>
  </si>
  <si>
    <t>Year</t>
  </si>
  <si>
    <t>Growth 
(GWh)</t>
  </si>
  <si>
    <t>Customer/
Connection
Count</t>
  </si>
  <si>
    <t xml:space="preserve">Growth </t>
  </si>
  <si>
    <t>Billed Energy (GWh) and Customer Count / Connections</t>
  </si>
  <si>
    <t>Sentinel Lighting</t>
  </si>
  <si>
    <t xml:space="preserve">Unmetered Scattered Load </t>
  </si>
  <si>
    <t>Number of Customers/Connections</t>
  </si>
  <si>
    <t>F Test</t>
  </si>
  <si>
    <t xml:space="preserve">MAPE (Monthly) </t>
  </si>
  <si>
    <t>T-stats by Coefficient</t>
  </si>
  <si>
    <t>Constant</t>
  </si>
  <si>
    <t xml:space="preserve">Actual </t>
  </si>
  <si>
    <t xml:space="preserve">Predicted </t>
  </si>
  <si>
    <t>Purchased Energy (GWh)</t>
  </si>
  <si>
    <t>Growth Rate in Customers/Connections</t>
  </si>
  <si>
    <t>Non-normalized Weather Billed Energy Forecast (GWh)</t>
  </si>
  <si>
    <t>Weather Normalized Billed Energy Forecast (GWh)</t>
  </si>
  <si>
    <t>Billed Annual kW</t>
  </si>
  <si>
    <t>Variance</t>
  </si>
  <si>
    <t>res</t>
  </si>
  <si>
    <t>&lt;50</t>
  </si>
  <si>
    <t>&gt;50</t>
  </si>
  <si>
    <t>Sent</t>
  </si>
  <si>
    <t>SL</t>
  </si>
  <si>
    <t>Q1</t>
  </si>
  <si>
    <t>Q2</t>
  </si>
  <si>
    <t>Q3</t>
  </si>
  <si>
    <t>Q4</t>
  </si>
  <si>
    <t xml:space="preserve">From OEB RRR </t>
  </si>
  <si>
    <t>Cost of Power 2018</t>
  </si>
  <si>
    <t>2015 Actual</t>
  </si>
  <si>
    <t>2016 Actual</t>
  </si>
  <si>
    <t>2018 Test Weather Normal</t>
  </si>
  <si>
    <t>Current Rates Effective May 1, 2017</t>
  </si>
  <si>
    <t>Distribution Revenue at Current Rates</t>
  </si>
  <si>
    <t>2017  Loss Factor</t>
  </si>
  <si>
    <t>2018 Forecasted Metered kWhs</t>
  </si>
  <si>
    <t>2018 %RPP</t>
  </si>
  <si>
    <t>Smart Meter Entity Charge</t>
  </si>
  <si>
    <t>Customers</t>
  </si>
  <si>
    <t>Total IESO/OPA Annual CDM Results 2011 to 2014 programs</t>
  </si>
  <si>
    <t>PUC  Load Forecast for 2018 Rate Application</t>
  </si>
  <si>
    <t>First Year Results</t>
  </si>
  <si>
    <t>2017 Programs</t>
  </si>
  <si>
    <t>2018 Programs</t>
  </si>
  <si>
    <t>2013 Board Approved</t>
  </si>
  <si>
    <t xml:space="preserve">Transformer Ownership Allowance </t>
  </si>
  <si>
    <t>Rseidential</t>
  </si>
  <si>
    <t>GS &lt; 50 kW</t>
  </si>
  <si>
    <t>GS &gt; 50 kW</t>
  </si>
  <si>
    <t>2018 Load Forecast</t>
  </si>
  <si>
    <t>2018  Loss Factor</t>
  </si>
  <si>
    <t>Table 3-2: Summary of Load and Customer/Connection Forecast</t>
  </si>
  <si>
    <t>Billed 
Actual
(GWh)</t>
  </si>
  <si>
    <t>Billed 
Weather 
Normal
(GWh)</t>
  </si>
  <si>
    <t>2017 Bridge</t>
  </si>
  <si>
    <t>2018 Test</t>
  </si>
  <si>
    <t>Table 3-3 Billed Energy by Rate Class</t>
  </si>
  <si>
    <t>Billed Energy (GWh) - Actual</t>
  </si>
  <si>
    <t>Billed Energy (GWh) - Weather Normal</t>
  </si>
  <si>
    <t>Actual Annual Energy Usage per Customer/Connection (kWh per customer/connection)</t>
  </si>
  <si>
    <t>Normalized Annual Energy Usage per Customer/Connection (kWh per customer/connection)</t>
  </si>
  <si>
    <t>Predicted 
Weather 
Normal</t>
  </si>
  <si>
    <t>Weather 
Normal Conversion 
Factor</t>
  </si>
  <si>
    <t>Actual 
Weather 
Normal</t>
  </si>
  <si>
    <t>Total Including Persistence</t>
  </si>
  <si>
    <t>2018 Test - kWh</t>
  </si>
  <si>
    <t>2018 Test - kW Annual</t>
  </si>
  <si>
    <t>2018 Test - kW Monthly</t>
  </si>
  <si>
    <t>Weather Adjustment (GWh)</t>
  </si>
  <si>
    <t>CDM Adjustment (GWh)</t>
  </si>
  <si>
    <t>Actual</t>
  </si>
  <si>
    <t>Billing Quantiites</t>
  </si>
  <si>
    <t>Customers / 
Connections</t>
  </si>
  <si>
    <t>Units</t>
  </si>
  <si>
    <t>Annual Usage Per Customer / Connection</t>
  </si>
  <si>
    <t>Annual Usage Per Customer / Connection Weather Normal</t>
  </si>
  <si>
    <t xml:space="preserve">Weather </t>
  </si>
  <si>
    <t xml:space="preserve">Normal Conversion </t>
  </si>
  <si>
    <t>Factor</t>
  </si>
  <si>
    <t>Total Annual CDM Results  (kWh)</t>
  </si>
  <si>
    <t>OPA Annual CDM Final Results 2006 to 2010 programs (kWh)</t>
  </si>
  <si>
    <t>IESO Annual Final CDM Results 2015 programs  (kWh)</t>
  </si>
  <si>
    <t>IESO Annual Final CDM Results 2016 programs  (kWh)</t>
  </si>
  <si>
    <t>OPA/IESO Annual CDM Final Results 2011 to 2014 programs  (kWh)</t>
  </si>
  <si>
    <t>2018 - 20 year trend</t>
  </si>
  <si>
    <t>Geometric Mean</t>
  </si>
  <si>
    <t>Forecast Number of Customers/Connections</t>
  </si>
  <si>
    <t xml:space="preserve">Annual kWh Usage Per Customer/Connection </t>
  </si>
  <si>
    <t>Forecast Annual kWh Usage per Customers/Connection</t>
  </si>
  <si>
    <t>NON-normalized Weather Billed Energy Forecast (GWh)</t>
  </si>
  <si>
    <t>Weather Sensitivity</t>
  </si>
  <si>
    <t>Table 3-5: Annual Usage by Rate Class</t>
  </si>
  <si>
    <t>Table 3-6: CDM Activity Variable Supporting Data</t>
  </si>
  <si>
    <t>Table 3-7: Statistcial Results</t>
  </si>
  <si>
    <t xml:space="preserve">Table 3-8: Total System Purchases </t>
  </si>
  <si>
    <t>Table 3-9: Historical Customer/Connection Data</t>
  </si>
  <si>
    <t>Table 3-10: Growth Rate in Customer/Connections</t>
  </si>
  <si>
    <t>Table 3-11: Customer/Connection Forecast</t>
  </si>
  <si>
    <t>Table 3-12: 2016 Actual Annual Usage per Customer</t>
  </si>
  <si>
    <t>Table 3-13: Forecast Annual kWh Usage per Customer/Connection</t>
  </si>
  <si>
    <t>Table 3-14: Non-normalized Weather Billed Energy Forecast</t>
  </si>
  <si>
    <t>Table 3-15: Weather Sensitivity by Rate Class</t>
  </si>
  <si>
    <t>Table 3-16: 2017-2018 Expected Full Year Total kWh Savings</t>
  </si>
  <si>
    <t>Table 3-17: 2017-2018 Expected Full Year Residential kWh Savings</t>
  </si>
  <si>
    <t>Table 3-18: 2017-2018 Expected Full Year GS &lt; 50 KW kWh Savings</t>
  </si>
  <si>
    <t>Table 3-19: 2017-2018 Expected Full Year GS &gt; 50 KW kWh Savings</t>
  </si>
  <si>
    <t>Table 3-20: Manual CDM Adjustment by Rate Class (kWh)</t>
  </si>
  <si>
    <t>Table 3-21: 2017 Expected CDM Savings by Rate Class for LRAM Variance Account</t>
  </si>
  <si>
    <t>Table 3-4: Number of Customers/Connections</t>
  </si>
  <si>
    <t xml:space="preserve">Table 3-22: Alignment of Non-normal to Weather Normal Forecast </t>
  </si>
  <si>
    <t>Table 3-23: Historical Annual kW per Applicable Rate Class</t>
  </si>
  <si>
    <t>Ratio of kW to kWh</t>
  </si>
  <si>
    <t>Used for Forecast</t>
  </si>
  <si>
    <t>Predicted Billed kW</t>
  </si>
  <si>
    <t>Table 3-24: Historical kW/kWh Ratio per Applicable Rate Class</t>
  </si>
  <si>
    <t>Table 3-25: kW Forecast by Applicable Rate Class</t>
  </si>
  <si>
    <t>Predicted kWh Purchases before CDM adjustment</t>
  </si>
  <si>
    <t>% Difference between actual and predicted purchases</t>
  </si>
  <si>
    <t>Total Billed Before CDM Adjustments</t>
  </si>
  <si>
    <t>CDM Adjustment</t>
  </si>
  <si>
    <t>Total Billed After Adjustments</t>
  </si>
  <si>
    <t>Billing Determinants</t>
  </si>
  <si>
    <t xml:space="preserve">  kW from applicable  classes</t>
  </si>
  <si>
    <t xml:space="preserve">  Connections </t>
  </si>
  <si>
    <t>Table 3-28: Comparison 2013 Board Approved to 2013 Actual</t>
  </si>
  <si>
    <t>2013 Actual</t>
  </si>
  <si>
    <t>Volume Weather Normal</t>
  </si>
  <si>
    <t>Table 3-30: Comparison 2013 Actual to 2014 Actual</t>
  </si>
  <si>
    <t>2014 Actual</t>
  </si>
  <si>
    <t>Table 3-32: Comparison 2014 Actual to 2015 Actual</t>
  </si>
  <si>
    <t>Table 3-34: Comparison 2015 Actual to 2016 Actual</t>
  </si>
  <si>
    <t>Table 3-36: Comparison 2016 Actual to 2017 Bridge</t>
  </si>
  <si>
    <t>Table 3-38: Comparison 2017 Bridge to 2018 Test</t>
  </si>
  <si>
    <t>Street Light Adj</t>
  </si>
  <si>
    <t>Avereage Street Light Volume from 2003 to 20116</t>
  </si>
  <si>
    <t>Montly Adjustment</t>
  </si>
  <si>
    <t>Total OPA Annual CDM Results 2006 to 2010 programs</t>
  </si>
  <si>
    <t>Total IESO Annual CDM Results 2015 programs</t>
  </si>
  <si>
    <t>Total IESO Annual CDM Results 2016 programs</t>
  </si>
  <si>
    <t>Reflects 2017 actual</t>
  </si>
  <si>
    <t>Average 2003 to 2016</t>
  </si>
  <si>
    <t>Table 3-1: Summary of Operating Revenue</t>
  </si>
  <si>
    <t>2018 Test at Current Rates</t>
  </si>
  <si>
    <t>2018 Test at Proposed Rates</t>
  </si>
  <si>
    <t>General Service &lt;50 kW</t>
  </si>
  <si>
    <t>Street Lighting</t>
  </si>
  <si>
    <t>Unmetered Scattered Load</t>
  </si>
  <si>
    <t>Late Payment Charges</t>
  </si>
  <si>
    <t>Miscellaneous Service Revenue</t>
  </si>
  <si>
    <t>Other Operating Revenues</t>
  </si>
  <si>
    <t>Other Income or Deductions</t>
  </si>
  <si>
    <t>Grand Total</t>
  </si>
  <si>
    <t>Distribution Throughput Revenue</t>
  </si>
  <si>
    <t>Table 3-27: Distribution Revenue - 2013 Board Approved vs 2013 Actual</t>
  </si>
  <si>
    <t>Difference $</t>
  </si>
  <si>
    <t>Difference %</t>
  </si>
  <si>
    <t>Table 3-29: Distribution Revenue - 2013 Actual vs 2014 Actual</t>
  </si>
  <si>
    <t>Table 3-31: Distribution Revenue - 2014 Actual vs 2015 Actual</t>
  </si>
  <si>
    <t>Table 3-33: Distribution Revenue - 2015 Actual vs 2016 Actual</t>
  </si>
  <si>
    <t>Table 3-35: Distribution Revenue - 2016 Actual vs 2017 Bridge</t>
  </si>
  <si>
    <t>Table 3-37: Distribution Revenue - 2017 Bridge vs 2018 Test</t>
  </si>
  <si>
    <t>Table 3-41: Comparison 2013 Board Approved to 2013 Actual</t>
  </si>
  <si>
    <t>Other Distribution Revenue</t>
  </si>
  <si>
    <t>Specific Service Charges</t>
  </si>
  <si>
    <t>Table 3-42: Comparison 2013 Actual to 2014 Actual</t>
  </si>
  <si>
    <t>Table 3-43: Comparison 2014 Actual to 2015 Actual</t>
  </si>
  <si>
    <t>Table 3-44: Comparison 2015 Actual to 2016 Actual</t>
  </si>
  <si>
    <t>Table 3-45: Comparison 2016 Actual to 2017 Bridge</t>
  </si>
  <si>
    <t>Table 3-46: Comparison 2017 Bridge to 2018 Test</t>
  </si>
  <si>
    <t>Smart meter &amp; LRAM riders</t>
  </si>
  <si>
    <t>Total Distribution</t>
  </si>
  <si>
    <t xml:space="preserve">Table 3-26: Forecast Summary </t>
  </si>
  <si>
    <t>General Service 50 to 4,999 kW</t>
  </si>
  <si>
    <r>
      <t>General Service</t>
    </r>
    <r>
      <rPr>
        <b/>
        <sz val="10.199999999999999"/>
        <rFont val="Times New Roman"/>
        <family val="1"/>
      </rPr>
      <t xml:space="preserve"> </t>
    </r>
    <r>
      <rPr>
        <b/>
        <sz val="12"/>
        <rFont val="Times New Roman"/>
        <family val="1"/>
      </rPr>
      <t>50 to 4,999 kW</t>
    </r>
  </si>
  <si>
    <r>
      <t xml:space="preserve">General Service </t>
    </r>
    <r>
      <rPr>
        <sz val="10"/>
        <rFont val="Calibri"/>
        <family val="2"/>
      </rPr>
      <t>50 to 4,999 kW</t>
    </r>
  </si>
  <si>
    <t>Total to 2017</t>
  </si>
  <si>
    <t>2017 Actual</t>
  </si>
  <si>
    <t>PUC Distribution Inc. Weather Normal Load Forecast for 2018 Rate Application</t>
  </si>
  <si>
    <t>Total IESO Annual CDM Results 2017 programs (estimated)</t>
  </si>
  <si>
    <t>CDM Wholesale</t>
  </si>
  <si>
    <t>Purchased with CDM</t>
  </si>
  <si>
    <t>Trend</t>
  </si>
  <si>
    <t>RAPPORT DÉTAILLÉ</t>
  </si>
  <si>
    <t>Statistiques de la régression</t>
  </si>
  <si>
    <t>Coefficient de détermination multiple</t>
  </si>
  <si>
    <t>Coefficient de détermination R^2</t>
  </si>
  <si>
    <t>Erreur-type</t>
  </si>
  <si>
    <t>ANALYSE DE VARIANCE</t>
  </si>
  <si>
    <t>Régression</t>
  </si>
  <si>
    <t>Résidus</t>
  </si>
  <si>
    <t>Constante</t>
  </si>
  <si>
    <t>Degré de liberté</t>
  </si>
  <si>
    <t>Somme des carrés</t>
  </si>
  <si>
    <t>Moyenne des carrés</t>
  </si>
  <si>
    <t>Valeur critique de F</t>
  </si>
  <si>
    <t>Statistique t</t>
  </si>
  <si>
    <t>Probabilité</t>
  </si>
  <si>
    <t>Limite inférieure pour seuil de confiance = 95%</t>
  </si>
  <si>
    <t>Limite supérieure pour seuil de confiance = 95%</t>
  </si>
  <si>
    <t>Limite inférieure pour seuil de confiance =  95.0%</t>
  </si>
  <si>
    <t>Limite supérieure pour seuil de confiance =  95.0%</t>
  </si>
  <si>
    <t xml:space="preserve">Predicted Purchases Gross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</si>
</sst>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#,##0;\(#,##0\)"/>
    <numFmt numFmtId="167" formatCode="0.0000"/>
    <numFmt numFmtId="168" formatCode="#,##0.0000"/>
    <numFmt numFmtId="169" formatCode="0.0000%"/>
    <numFmt numFmtId="170" formatCode="#,##0.0000_);\(#,##0.0000\)"/>
    <numFmt numFmtId="171" formatCode="_(* #,##0_);_(* \(#,##0\);_(* &quot;-&quot;??_);_(@_)"/>
    <numFmt numFmtId="172" formatCode="_(* #,##0.0_);_(* \(#,##0.0\);_(* &quot;-&quot;??_);_(@_)"/>
    <numFmt numFmtId="173" formatCode="_(* #,##0.0000_);_(* \(#,##0.0000\);_(* &quot;-&quot;??_);_(@_)"/>
    <numFmt numFmtId="174" formatCode="_-* #,##0_-;\-* #,##0_-;_-* &quot;-&quot;??_-;_-@_-"/>
    <numFmt numFmtId="175" formatCode="&quot;$&quot;#,##0.00000_);\(&quot;$&quot;#,##0.00000\)"/>
    <numFmt numFmtId="176" formatCode="#,##0.00000_);\(#,##0.00000\)"/>
    <numFmt numFmtId="177" formatCode="&quot;$&quot;#,##0.0000_);\(&quot;$&quot;#,##0.0000\)"/>
    <numFmt numFmtId="178" formatCode="0.0%;\(0.0%\)"/>
    <numFmt numFmtId="179" formatCode="#,##0.0"/>
    <numFmt numFmtId="180" formatCode="#,##0.0;\(#,##0.0\)"/>
    <numFmt numFmtId="181" formatCode="0.0;\(0.0\)"/>
    <numFmt numFmtId="182" formatCode="&quot;£ &quot;#,##0.00;[Red]\-&quot;£ &quot;#,##0.00"/>
    <numFmt numFmtId="183" formatCode="##\-#"/>
    <numFmt numFmtId="184" formatCode="mm/dd/yyyy"/>
    <numFmt numFmtId="185" formatCode="0\-0"/>
    <numFmt numFmtId="186" formatCode="0;\(0\)"/>
    <numFmt numFmtId="187" formatCode="_(* #,##0.000_);_(* \(#,##0.000\);_(* &quot;-&quot;??_);_(@_)"/>
    <numFmt numFmtId="188" formatCode="#,000;\(#,000\)"/>
    <numFmt numFmtId="189" formatCode="0.0000%;\(0.0%\)"/>
    <numFmt numFmtId="190" formatCode="#,##0.000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rgb="FF00B0F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b/>
      <sz val="11"/>
      <color indexed="52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.199999999999999"/>
      <name val="Times New Roman"/>
      <family val="1"/>
    </font>
    <font>
      <sz val="10"/>
      <name val="Calibri"/>
      <family val="2"/>
    </font>
  </fonts>
  <fills count="6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9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7" borderId="1" applyNumberFormat="0" applyProtection="0">
      <alignment horizontal="left" vertical="center"/>
    </xf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2" fontId="7" fillId="0" borderId="0"/>
    <xf numFmtId="179" fontId="7" fillId="0" borderId="0"/>
    <xf numFmtId="184" fontId="7" fillId="0" borderId="0"/>
    <xf numFmtId="185" fontId="7" fillId="0" borderId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48" borderId="0" applyNumberFormat="0" applyBorder="0" applyAlignment="0" applyProtection="0"/>
    <xf numFmtId="0" fontId="42" fillId="49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8" borderId="0" applyNumberFormat="0" applyBorder="0" applyAlignment="0" applyProtection="0"/>
    <xf numFmtId="0" fontId="43" fillId="42" borderId="0" applyNumberFormat="0" applyBorder="0" applyAlignment="0" applyProtection="0"/>
    <xf numFmtId="0" fontId="44" fillId="59" borderId="30" applyNumberFormat="0" applyAlignment="0" applyProtection="0"/>
    <xf numFmtId="0" fontId="45" fillId="60" borderId="31" applyNumberFormat="0" applyAlignment="0" applyProtection="0"/>
    <xf numFmtId="0" fontId="46" fillId="0" borderId="0" applyNumberFormat="0" applyFill="0" applyBorder="0" applyAlignment="0" applyProtection="0"/>
    <xf numFmtId="0" fontId="47" fillId="43" borderId="0" applyNumberFormat="0" applyBorder="0" applyAlignment="0" applyProtection="0"/>
    <xf numFmtId="38" fontId="13" fillId="61" borderId="0" applyNumberFormat="0" applyBorder="0" applyAlignment="0" applyProtection="0"/>
    <xf numFmtId="0" fontId="48" fillId="0" borderId="32" applyNumberFormat="0" applyFill="0" applyAlignment="0" applyProtection="0"/>
    <xf numFmtId="0" fontId="49" fillId="0" borderId="33" applyNumberFormat="0" applyFill="0" applyAlignment="0" applyProtection="0"/>
    <xf numFmtId="0" fontId="50" fillId="0" borderId="34" applyNumberFormat="0" applyFill="0" applyAlignment="0" applyProtection="0"/>
    <xf numFmtId="0" fontId="50" fillId="0" borderId="0" applyNumberFormat="0" applyFill="0" applyBorder="0" applyAlignment="0" applyProtection="0"/>
    <xf numFmtId="0" fontId="51" fillId="46" borderId="30" applyNumberFormat="0" applyAlignment="0" applyProtection="0"/>
    <xf numFmtId="10" fontId="13" fillId="62" borderId="1" applyNumberFormat="0" applyBorder="0" applyAlignment="0" applyProtection="0"/>
    <xf numFmtId="0" fontId="52" fillId="0" borderId="35" applyNumberFormat="0" applyFill="0" applyAlignment="0" applyProtection="0"/>
    <xf numFmtId="183" fontId="7" fillId="0" borderId="0"/>
    <xf numFmtId="171" fontId="7" fillId="0" borderId="0"/>
    <xf numFmtId="0" fontId="53" fillId="63" borderId="0" applyNumberFormat="0" applyBorder="0" applyAlignment="0" applyProtection="0"/>
    <xf numFmtId="182" fontId="7" fillId="0" borderId="0"/>
    <xf numFmtId="0" fontId="7" fillId="0" borderId="0"/>
    <xf numFmtId="0" fontId="54" fillId="0" borderId="0"/>
    <xf numFmtId="0" fontId="7" fillId="64" borderId="36" applyNumberFormat="0" applyFont="0" applyAlignment="0" applyProtection="0"/>
    <xf numFmtId="0" fontId="55" fillId="59" borderId="37" applyNumberFormat="0" applyAlignment="0" applyProtection="0"/>
    <xf numFmtId="10" fontId="7" fillId="0" borderId="0" applyFont="0" applyFill="0" applyBorder="0" applyAlignment="0" applyProtection="0"/>
    <xf numFmtId="0" fontId="56" fillId="0" borderId="0" applyNumberFormat="0" applyBorder="0" applyAlignment="0"/>
    <xf numFmtId="0" fontId="61" fillId="0" borderId="0" applyNumberFormat="0" applyBorder="0" applyAlignment="0"/>
    <xf numFmtId="0" fontId="62" fillId="0" borderId="0" applyNumberFormat="0" applyBorder="0" applyAlignment="0"/>
    <xf numFmtId="0" fontId="57" fillId="0" borderId="38">
      <alignment horizontal="center" vertical="center"/>
    </xf>
    <xf numFmtId="0" fontId="58" fillId="0" borderId="0" applyNumberFormat="0" applyFill="0" applyBorder="0" applyAlignment="0" applyProtection="0"/>
    <xf numFmtId="0" fontId="59" fillId="0" borderId="39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6" fillId="0" borderId="21" applyNumberFormat="0" applyFill="0" applyAlignment="0" applyProtection="0"/>
    <xf numFmtId="0" fontId="6" fillId="0" borderId="0"/>
    <xf numFmtId="0" fontId="28" fillId="0" borderId="23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24" applyNumberFormat="0" applyAlignment="0" applyProtection="0"/>
    <xf numFmtId="0" fontId="33" fillId="14" borderId="25" applyNumberFormat="0" applyAlignment="0" applyProtection="0"/>
    <xf numFmtId="0" fontId="34" fillId="14" borderId="24" applyNumberFormat="0" applyAlignment="0" applyProtection="0"/>
    <xf numFmtId="0" fontId="35" fillId="0" borderId="26" applyNumberFormat="0" applyFill="0" applyAlignment="0" applyProtection="0"/>
    <xf numFmtId="0" fontId="36" fillId="15" borderId="27" applyNumberFormat="0" applyAlignment="0" applyProtection="0"/>
    <xf numFmtId="0" fontId="37" fillId="0" borderId="0" applyNumberFormat="0" applyFill="0" applyBorder="0" applyAlignment="0" applyProtection="0"/>
    <xf numFmtId="0" fontId="6" fillId="16" borderId="28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29" applyNumberFormat="0" applyFill="0" applyAlignment="0" applyProtection="0"/>
    <xf numFmtId="0" fontId="40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40" fillId="40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7" fillId="0" borderId="0"/>
    <xf numFmtId="172" fontId="7" fillId="0" borderId="0"/>
    <xf numFmtId="172" fontId="7" fillId="0" borderId="0"/>
    <xf numFmtId="172" fontId="7" fillId="0" borderId="0"/>
    <xf numFmtId="184" fontId="7" fillId="0" borderId="0"/>
    <xf numFmtId="38" fontId="13" fillId="61" borderId="0" applyNumberFormat="0" applyBorder="0" applyAlignment="0" applyProtection="0"/>
    <xf numFmtId="10" fontId="13" fillId="62" borderId="1" applyNumberFormat="0" applyBorder="0" applyAlignment="0" applyProtection="0"/>
    <xf numFmtId="183" fontId="7" fillId="0" borderId="0"/>
    <xf numFmtId="183" fontId="7" fillId="0" borderId="0"/>
    <xf numFmtId="183" fontId="7" fillId="0" borderId="0"/>
    <xf numFmtId="183" fontId="7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51" fillId="46" borderId="30" applyNumberFormat="0" applyAlignment="0" applyProtection="0"/>
    <xf numFmtId="0" fontId="7" fillId="0" borderId="0"/>
    <xf numFmtId="0" fontId="7" fillId="7" borderId="1" applyNumberFormat="0" applyProtection="0">
      <alignment horizontal="left" vertical="center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5" fillId="16" borderId="28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1" fillId="46" borderId="30" applyNumberFormat="0" applyAlignment="0" applyProtection="0"/>
    <xf numFmtId="3" fontId="63" fillId="0" borderId="0" applyFont="0" applyFill="0" applyBorder="0" applyAlignment="0" applyProtection="0"/>
    <xf numFmtId="5" fontId="63" fillId="0" borderId="0" applyFont="0" applyFill="0" applyBorder="0" applyAlignment="0" applyProtection="0"/>
    <xf numFmtId="14" fontId="63" fillId="0" borderId="0" applyFont="0" applyFill="0" applyBorder="0" applyAlignment="0" applyProtection="0"/>
    <xf numFmtId="2" fontId="63" fillId="0" borderId="0" applyFont="0" applyFill="0" applyBorder="0" applyAlignment="0" applyProtection="0"/>
    <xf numFmtId="0" fontId="51" fillId="46" borderId="30" applyNumberFormat="0" applyAlignment="0" applyProtection="0"/>
    <xf numFmtId="0" fontId="63" fillId="64" borderId="36" applyNumberFormat="0" applyFont="0" applyAlignment="0" applyProtection="0"/>
    <xf numFmtId="43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36" fillId="15" borderId="2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40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59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0" fillId="57" borderId="0" applyNumberFormat="0" applyBorder="0" applyAlignment="0" applyProtection="0"/>
    <xf numFmtId="0" fontId="40" fillId="52" borderId="0" applyNumberFormat="0" applyBorder="0" applyAlignment="0" applyProtection="0"/>
    <xf numFmtId="0" fontId="40" fillId="58" borderId="0" applyNumberFormat="0" applyBorder="0" applyAlignment="0" applyProtection="0"/>
    <xf numFmtId="0" fontId="30" fillId="42" borderId="0" applyNumberFormat="0" applyBorder="0" applyAlignment="0" applyProtection="0"/>
    <xf numFmtId="0" fontId="64" fillId="59" borderId="24" applyNumberFormat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9" fillId="43" borderId="0" applyNumberFormat="0" applyBorder="0" applyAlignment="0" applyProtection="0"/>
    <xf numFmtId="0" fontId="65" fillId="0" borderId="32" applyNumberFormat="0" applyFill="0" applyAlignment="0" applyProtection="0"/>
    <xf numFmtId="0" fontId="2" fillId="0" borderId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32" fillId="59" borderId="24" applyNumberFormat="0" applyAlignment="0" applyProtection="0"/>
    <xf numFmtId="0" fontId="68" fillId="0" borderId="35" applyNumberFormat="0" applyFill="0" applyAlignment="0" applyProtection="0"/>
    <xf numFmtId="0" fontId="69" fillId="12" borderId="0" applyNumberFormat="0" applyBorder="0" applyAlignment="0" applyProtection="0"/>
    <xf numFmtId="0" fontId="41" fillId="16" borderId="28" applyNumberFormat="0" applyFont="0" applyAlignment="0" applyProtection="0"/>
    <xf numFmtId="0" fontId="41" fillId="16" borderId="28" applyNumberFormat="0" applyFont="0" applyAlignment="0" applyProtection="0"/>
    <xf numFmtId="0" fontId="33" fillId="59" borderId="25" applyNumberFormat="0" applyAlignment="0" applyProtection="0"/>
    <xf numFmtId="9" fontId="2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39" fillId="0" borderId="39" applyNumberFormat="0" applyFill="0" applyAlignment="0" applyProtection="0"/>
    <xf numFmtId="0" fontId="7" fillId="0" borderId="0"/>
    <xf numFmtId="43" fontId="7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/>
    <xf numFmtId="0" fontId="71" fillId="0" borderId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</cellStyleXfs>
  <cellXfs count="460">
    <xf numFmtId="0" fontId="0" fillId="0" borderId="0" xfId="0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7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0" borderId="0" xfId="1" applyNumberForma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/>
    <xf numFmtId="10" fontId="0" fillId="0" borderId="0" xfId="0" applyNumberFormat="1" applyAlignment="1">
      <alignment horizontal="center"/>
    </xf>
    <xf numFmtId="37" fontId="8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0" borderId="0" xfId="0" applyFont="1"/>
    <xf numFmtId="0" fontId="10" fillId="0" borderId="0" xfId="0" applyFont="1" applyAlignment="1"/>
    <xf numFmtId="3" fontId="0" fillId="2" borderId="0" xfId="0" applyNumberFormat="1" applyFill="1" applyAlignment="1">
      <alignment horizontal="center"/>
    </xf>
    <xf numFmtId="17" fontId="10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8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0" fontId="0" fillId="0" borderId="2" xfId="0" applyFill="1" applyBorder="1" applyAlignment="1"/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Continuous"/>
    </xf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10" fillId="0" borderId="0" xfId="0" applyNumberFormat="1" applyFont="1"/>
    <xf numFmtId="0" fontId="11" fillId="0" borderId="0" xfId="0" applyFont="1"/>
    <xf numFmtId="164" fontId="0" fillId="0" borderId="0" xfId="0" applyNumberFormat="1" applyAlignment="1">
      <alignment horizontal="center" wrapText="1"/>
    </xf>
    <xf numFmtId="0" fontId="10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9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171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10" xfId="0" applyBorder="1"/>
    <xf numFmtId="10" fontId="0" fillId="0" borderId="0" xfId="2" applyNumberFormat="1" applyFont="1" applyAlignment="1">
      <alignment horizontal="center"/>
    </xf>
    <xf numFmtId="3" fontId="0" fillId="0" borderId="5" xfId="0" applyNumberFormat="1" applyBorder="1"/>
    <xf numFmtId="172" fontId="0" fillId="0" borderId="0" xfId="1" applyNumberFormat="1" applyFont="1" applyAlignment="1">
      <alignment horizontal="center"/>
    </xf>
    <xf numFmtId="171" fontId="0" fillId="0" borderId="0" xfId="0" applyNumberFormat="1" applyAlignment="1">
      <alignment horizontal="center"/>
    </xf>
    <xf numFmtId="0" fontId="10" fillId="0" borderId="8" xfId="0" applyFont="1" applyBorder="1"/>
    <xf numFmtId="0" fontId="10" fillId="0" borderId="0" xfId="0" applyFont="1" applyAlignment="1">
      <alignment horizontal="center"/>
    </xf>
    <xf numFmtId="3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8" fontId="0" fillId="0" borderId="0" xfId="0" applyNumberFormat="1" applyFill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0" fillId="6" borderId="0" xfId="0" applyNumberFormat="1" applyFill="1" applyAlignment="1">
      <alignment horizontal="center"/>
    </xf>
    <xf numFmtId="3" fontId="16" fillId="0" borderId="0" xfId="0" applyNumberFormat="1" applyFont="1" applyAlignment="1">
      <alignment horizontal="left"/>
    </xf>
    <xf numFmtId="3" fontId="0" fillId="0" borderId="1" xfId="0" applyNumberFormat="1" applyBorder="1"/>
    <xf numFmtId="37" fontId="0" fillId="0" borderId="1" xfId="0" applyNumberFormat="1" applyFill="1" applyBorder="1"/>
    <xf numFmtId="170" fontId="0" fillId="0" borderId="1" xfId="0" applyNumberFormat="1" applyFill="1" applyBorder="1"/>
    <xf numFmtId="171" fontId="7" fillId="0" borderId="1" xfId="1" applyNumberFormat="1" applyFill="1" applyBorder="1"/>
    <xf numFmtId="0" fontId="10" fillId="0" borderId="1" xfId="0" applyFont="1" applyBorder="1" applyAlignment="1">
      <alignment horizontal="left" indent="1"/>
    </xf>
    <xf numFmtId="37" fontId="10" fillId="0" borderId="1" xfId="0" applyNumberFormat="1" applyFont="1" applyBorder="1"/>
    <xf numFmtId="0" fontId="10" fillId="0" borderId="1" xfId="0" applyFont="1" applyBorder="1"/>
    <xf numFmtId="170" fontId="0" fillId="3" borderId="1" xfId="0" applyNumberFormat="1" applyFill="1" applyBorder="1"/>
    <xf numFmtId="37" fontId="0" fillId="0" borderId="1" xfId="0" applyNumberFormat="1" applyBorder="1"/>
    <xf numFmtId="175" fontId="0" fillId="3" borderId="1" xfId="0" applyNumberFormat="1" applyFill="1" applyBorder="1"/>
    <xf numFmtId="5" fontId="0" fillId="0" borderId="1" xfId="0" applyNumberFormat="1" applyBorder="1"/>
    <xf numFmtId="176" fontId="0" fillId="0" borderId="1" xfId="0" applyNumberFormat="1" applyBorder="1"/>
    <xf numFmtId="5" fontId="10" fillId="0" borderId="1" xfId="0" applyNumberFormat="1" applyFont="1" applyFill="1" applyBorder="1"/>
    <xf numFmtId="0" fontId="10" fillId="0" borderId="0" xfId="0" applyFont="1" applyBorder="1" applyAlignment="1">
      <alignment horizontal="left" indent="1"/>
    </xf>
    <xf numFmtId="37" fontId="10" fillId="0" borderId="0" xfId="0" applyNumberFormat="1" applyFont="1" applyBorder="1"/>
    <xf numFmtId="0" fontId="10" fillId="0" borderId="0" xfId="0" applyFont="1" applyBorder="1"/>
    <xf numFmtId="176" fontId="0" fillId="0" borderId="0" xfId="0" applyNumberFormat="1" applyBorder="1"/>
    <xf numFmtId="5" fontId="10" fillId="0" borderId="0" xfId="0" applyNumberFormat="1" applyFont="1" applyFill="1" applyBorder="1"/>
    <xf numFmtId="3" fontId="0" fillId="0" borderId="16" xfId="0" applyNumberFormat="1" applyBorder="1"/>
    <xf numFmtId="170" fontId="0" fillId="0" borderId="1" xfId="0" applyNumberFormat="1" applyBorder="1" applyAlignment="1">
      <alignment horizontal="center"/>
    </xf>
    <xf numFmtId="177" fontId="0" fillId="3" borderId="1" xfId="0" applyNumberFormat="1" applyFill="1" applyBorder="1"/>
    <xf numFmtId="5" fontId="10" fillId="0" borderId="1" xfId="0" applyNumberFormat="1" applyFont="1" applyBorder="1"/>
    <xf numFmtId="37" fontId="0" fillId="0" borderId="15" xfId="0" applyNumberFormat="1" applyBorder="1"/>
    <xf numFmtId="5" fontId="0" fillId="0" borderId="16" xfId="0" applyNumberFormat="1" applyFill="1" applyBorder="1"/>
    <xf numFmtId="5" fontId="0" fillId="0" borderId="16" xfId="0" applyNumberFormat="1" applyBorder="1"/>
    <xf numFmtId="9" fontId="0" fillId="0" borderId="0" xfId="2" applyFont="1" applyFill="1" applyBorder="1" applyAlignment="1"/>
    <xf numFmtId="164" fontId="0" fillId="0" borderId="0" xfId="2" applyNumberFormat="1" applyFont="1" applyAlignment="1">
      <alignment horizontal="center"/>
    </xf>
    <xf numFmtId="165" fontId="8" fillId="2" borderId="0" xfId="0" applyNumberFormat="1" applyFont="1" applyFill="1" applyAlignment="1">
      <alignment horizontal="center"/>
    </xf>
    <xf numFmtId="37" fontId="0" fillId="0" borderId="0" xfId="0" applyNumberFormat="1" applyFill="1" applyAlignment="1">
      <alignment horizontal="center"/>
    </xf>
    <xf numFmtId="0" fontId="7" fillId="0" borderId="0" xfId="0" applyFont="1"/>
    <xf numFmtId="0" fontId="10" fillId="0" borderId="0" xfId="0" applyFon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173" fontId="14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3" fontId="7" fillId="3" borderId="0" xfId="0" quotePrefix="1" applyNumberFormat="1" applyFont="1" applyFill="1" applyAlignment="1">
      <alignment horizontal="center" wrapText="1"/>
    </xf>
    <xf numFmtId="0" fontId="7" fillId="0" borderId="0" xfId="4"/>
    <xf numFmtId="166" fontId="0" fillId="0" borderId="0" xfId="0" applyNumberFormat="1" applyFill="1" applyAlignment="1">
      <alignment horizontal="center"/>
    </xf>
    <xf numFmtId="3" fontId="0" fillId="0" borderId="0" xfId="0" applyNumberFormat="1" applyFill="1"/>
    <xf numFmtId="3" fontId="7" fillId="4" borderId="0" xfId="0" applyNumberFormat="1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4" applyFont="1"/>
    <xf numFmtId="0" fontId="18" fillId="0" borderId="0" xfId="4" applyFont="1"/>
    <xf numFmtId="43" fontId="7" fillId="0" borderId="0" xfId="11" applyFont="1"/>
    <xf numFmtId="0" fontId="19" fillId="0" borderId="0" xfId="4" applyFont="1"/>
    <xf numFmtId="43" fontId="13" fillId="0" borderId="0" xfId="11" applyFont="1"/>
    <xf numFmtId="0" fontId="13" fillId="0" borderId="0" xfId="4" applyFont="1"/>
    <xf numFmtId="43" fontId="20" fillId="0" borderId="0" xfId="11" applyFont="1" applyAlignment="1">
      <alignment horizontal="right"/>
    </xf>
    <xf numFmtId="0" fontId="20" fillId="0" borderId="13" xfId="4" applyFont="1" applyBorder="1" applyAlignment="1">
      <alignment horizontal="right"/>
    </xf>
    <xf numFmtId="0" fontId="20" fillId="2" borderId="0" xfId="4" applyFont="1" applyFill="1"/>
    <xf numFmtId="0" fontId="13" fillId="0" borderId="0" xfId="4" applyFont="1" applyAlignment="1">
      <alignment horizontal="right"/>
    </xf>
    <xf numFmtId="43" fontId="13" fillId="0" borderId="0" xfId="4" applyNumberFormat="1" applyFont="1" applyAlignment="1">
      <alignment horizontal="right"/>
    </xf>
    <xf numFmtId="2" fontId="13" fillId="2" borderId="0" xfId="4" applyNumberFormat="1" applyFont="1" applyFill="1"/>
    <xf numFmtId="4" fontId="13" fillId="2" borderId="0" xfId="4" applyNumberFormat="1" applyFont="1" applyFill="1"/>
    <xf numFmtId="2" fontId="7" fillId="0" borderId="0" xfId="4" applyNumberFormat="1"/>
    <xf numFmtId="43" fontId="7" fillId="0" borderId="0" xfId="4" applyNumberFormat="1"/>
    <xf numFmtId="0" fontId="7" fillId="0" borderId="0" xfId="4" applyFill="1"/>
    <xf numFmtId="10" fontId="7" fillId="3" borderId="1" xfId="2" applyNumberFormat="1" applyFill="1" applyBorder="1"/>
    <xf numFmtId="0" fontId="15" fillId="8" borderId="1" xfId="0" applyFont="1" applyFill="1" applyBorder="1"/>
    <xf numFmtId="0" fontId="10" fillId="8" borderId="1" xfId="0" applyFont="1" applyFill="1" applyBorder="1"/>
    <xf numFmtId="0" fontId="15" fillId="8" borderId="15" xfId="0" applyFont="1" applyFill="1" applyBorder="1"/>
    <xf numFmtId="0" fontId="10" fillId="8" borderId="12" xfId="0" applyFont="1" applyFill="1" applyBorder="1"/>
    <xf numFmtId="0" fontId="10" fillId="8" borderId="10" xfId="0" applyFont="1" applyFill="1" applyBorder="1" applyAlignment="1">
      <alignment horizontal="center"/>
    </xf>
    <xf numFmtId="0" fontId="10" fillId="8" borderId="10" xfId="0" applyFont="1" applyFill="1" applyBorder="1"/>
    <xf numFmtId="0" fontId="10" fillId="8" borderId="11" xfId="0" applyFont="1" applyFill="1" applyBorder="1"/>
    <xf numFmtId="0" fontId="10" fillId="8" borderId="7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0" fillId="8" borderId="10" xfId="0" applyFill="1" applyBorder="1"/>
    <xf numFmtId="0" fontId="10" fillId="8" borderId="9" xfId="0" applyFont="1" applyFill="1" applyBorder="1" applyAlignment="1">
      <alignment horizontal="center"/>
    </xf>
    <xf numFmtId="0" fontId="7" fillId="0" borderId="5" xfId="0" applyFont="1" applyBorder="1"/>
    <xf numFmtId="0" fontId="10" fillId="8" borderId="14" xfId="0" applyNumberFormat="1" applyFont="1" applyFill="1" applyBorder="1" applyAlignment="1">
      <alignment horizontal="center"/>
    </xf>
    <xf numFmtId="175" fontId="16" fillId="3" borderId="1" xfId="0" applyNumberFormat="1" applyFont="1" applyFill="1" applyBorder="1"/>
    <xf numFmtId="176" fontId="16" fillId="0" borderId="1" xfId="0" applyNumberFormat="1" applyFont="1" applyBorder="1"/>
    <xf numFmtId="177" fontId="16" fillId="3" borderId="1" xfId="0" applyNumberFormat="1" applyFont="1" applyFill="1" applyBorder="1"/>
    <xf numFmtId="177" fontId="21" fillId="3" borderId="1" xfId="0" applyNumberFormat="1" applyFont="1" applyFill="1" applyBorder="1"/>
    <xf numFmtId="3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3" fontId="7" fillId="3" borderId="0" xfId="0" applyNumberFormat="1" applyFont="1" applyFill="1" applyAlignment="1">
      <alignment horizontal="center" wrapText="1"/>
    </xf>
    <xf numFmtId="187" fontId="0" fillId="0" borderId="0" xfId="1" applyNumberFormat="1" applyFont="1" applyAlignment="1">
      <alignment horizontal="center"/>
    </xf>
    <xf numFmtId="10" fontId="7" fillId="0" borderId="0" xfId="0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9" fontId="0" fillId="0" borderId="0" xfId="0" applyNumberFormat="1" applyFill="1" applyAlignment="1">
      <alignment horizontal="center"/>
    </xf>
    <xf numFmtId="0" fontId="9" fillId="0" borderId="9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17" fontId="0" fillId="0" borderId="1" xfId="0" applyNumberFormat="1" applyFill="1" applyBorder="1" applyAlignment="1">
      <alignment horizontal="left"/>
    </xf>
    <xf numFmtId="171" fontId="22" fillId="0" borderId="1" xfId="1" applyNumberFormat="1" applyFont="1" applyFill="1" applyBorder="1" applyAlignment="1">
      <alignment horizontal="center"/>
    </xf>
    <xf numFmtId="43" fontId="8" fillId="0" borderId="1" xfId="1" applyNumberFormat="1" applyFont="1" applyFill="1" applyBorder="1" applyAlignment="1">
      <alignment horizontal="center"/>
    </xf>
    <xf numFmtId="171" fontId="0" fillId="0" borderId="1" xfId="1" applyNumberFormat="1" applyFont="1" applyFill="1" applyBorder="1" applyAlignment="1">
      <alignment horizontal="center"/>
    </xf>
    <xf numFmtId="171" fontId="7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quotePrefix="1" applyFont="1" applyAlignment="1">
      <alignment horizontal="left"/>
    </xf>
    <xf numFmtId="43" fontId="13" fillId="0" borderId="0" xfId="11" applyFont="1"/>
    <xf numFmtId="43" fontId="13" fillId="0" borderId="0" xfId="0" applyNumberFormat="1" applyFont="1" applyAlignment="1">
      <alignment horizontal="right"/>
    </xf>
    <xf numFmtId="165" fontId="0" fillId="0" borderId="0" xfId="0" applyNumberFormat="1" applyFill="1" applyAlignment="1">
      <alignment horizontal="center"/>
    </xf>
    <xf numFmtId="43" fontId="13" fillId="0" borderId="0" xfId="11" applyFont="1"/>
    <xf numFmtId="43" fontId="13" fillId="0" borderId="0" xfId="0" applyNumberFormat="1" applyFont="1" applyAlignment="1">
      <alignment horizontal="right"/>
    </xf>
    <xf numFmtId="165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43" fontId="8" fillId="0" borderId="0" xfId="1" applyNumberFormat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3" fontId="0" fillId="65" borderId="0" xfId="0" applyNumberFormat="1" applyFill="1" applyAlignment="1">
      <alignment horizontal="center"/>
    </xf>
    <xf numFmtId="0" fontId="0" fillId="65" borderId="0" xfId="0" applyFill="1"/>
    <xf numFmtId="43" fontId="0" fillId="65" borderId="0" xfId="1" applyFont="1" applyFill="1"/>
    <xf numFmtId="43" fontId="7" fillId="65" borderId="0" xfId="1" applyFont="1" applyFill="1" applyAlignment="1">
      <alignment horizontal="left"/>
    </xf>
    <xf numFmtId="3" fontId="7" fillId="65" borderId="0" xfId="0" applyNumberFormat="1" applyFont="1" applyFill="1" applyAlignment="1">
      <alignment horizontal="center"/>
    </xf>
    <xf numFmtId="3" fontId="7" fillId="65" borderId="0" xfId="0" applyNumberFormat="1" applyFont="1" applyFill="1" applyAlignment="1">
      <alignment horizontal="left"/>
    </xf>
    <xf numFmtId="3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17" fontId="0" fillId="0" borderId="1" xfId="0" applyNumberForma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0" quotePrefix="1" applyFont="1" applyFill="1" applyAlignment="1">
      <alignment horizontal="center" wrapText="1"/>
    </xf>
    <xf numFmtId="0" fontId="10" fillId="8" borderId="7" xfId="0" applyNumberFormat="1" applyFont="1" applyFill="1" applyBorder="1" applyAlignment="1">
      <alignment horizontal="center"/>
    </xf>
    <xf numFmtId="167" fontId="0" fillId="0" borderId="0" xfId="0" applyNumberFormat="1"/>
    <xf numFmtId="43" fontId="10" fillId="0" borderId="0" xfId="1" applyFont="1" applyFill="1" applyAlignment="1">
      <alignment horizontal="center" wrapText="1"/>
    </xf>
    <xf numFmtId="43" fontId="0" fillId="0" borderId="13" xfId="1" applyFont="1" applyBorder="1"/>
    <xf numFmtId="43" fontId="10" fillId="0" borderId="0" xfId="1" applyFont="1"/>
    <xf numFmtId="0" fontId="10" fillId="0" borderId="0" xfId="0" quotePrefix="1" applyFont="1" applyAlignment="1">
      <alignment horizontal="center"/>
    </xf>
    <xf numFmtId="0" fontId="15" fillId="0" borderId="17" xfId="0" quotePrefix="1" applyFont="1" applyBorder="1" applyAlignment="1">
      <alignment horizontal="left"/>
    </xf>
    <xf numFmtId="170" fontId="0" fillId="0" borderId="1" xfId="0" applyNumberFormat="1" applyFill="1" applyBorder="1" applyAlignment="1">
      <alignment horizontal="center"/>
    </xf>
    <xf numFmtId="37" fontId="10" fillId="0" borderId="1" xfId="0" applyNumberFormat="1" applyFont="1" applyFill="1" applyBorder="1"/>
    <xf numFmtId="0" fontId="11" fillId="0" borderId="0" xfId="199" applyFont="1"/>
    <xf numFmtId="0" fontId="7" fillId="0" borderId="0" xfId="199"/>
    <xf numFmtId="0" fontId="7" fillId="0" borderId="0" xfId="199" applyAlignment="1">
      <alignment wrapText="1"/>
    </xf>
    <xf numFmtId="174" fontId="7" fillId="0" borderId="0" xfId="200" applyNumberFormat="1"/>
    <xf numFmtId="0" fontId="7" fillId="0" borderId="1" xfId="199" applyBorder="1" applyAlignment="1">
      <alignment horizontal="center"/>
    </xf>
    <xf numFmtId="174" fontId="7" fillId="0" borderId="0" xfId="199" applyNumberFormat="1"/>
    <xf numFmtId="17" fontId="7" fillId="0" borderId="0" xfId="199" applyNumberFormat="1"/>
    <xf numFmtId="0" fontId="7" fillId="0" borderId="0" xfId="199" applyAlignment="1">
      <alignment horizontal="right"/>
    </xf>
    <xf numFmtId="3" fontId="7" fillId="0" borderId="0" xfId="199" applyNumberFormat="1" applyAlignment="1">
      <alignment horizontal="center"/>
    </xf>
    <xf numFmtId="3" fontId="7" fillId="0" borderId="0" xfId="199" applyNumberFormat="1"/>
    <xf numFmtId="0" fontId="7" fillId="0" borderId="1" xfId="199" applyBorder="1"/>
    <xf numFmtId="174" fontId="7" fillId="0" borderId="1" xfId="199" applyNumberFormat="1" applyBorder="1"/>
    <xf numFmtId="43" fontId="0" fillId="0" borderId="0" xfId="0" applyNumberFormat="1"/>
    <xf numFmtId="172" fontId="0" fillId="0" borderId="1" xfId="1" applyNumberFormat="1" applyFont="1" applyFill="1" applyBorder="1" applyAlignment="1">
      <alignment horizontal="center"/>
    </xf>
    <xf numFmtId="172" fontId="8" fillId="0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3" fillId="0" borderId="0" xfId="256" applyFont="1"/>
    <xf numFmtId="0" fontId="72" fillId="0" borderId="1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/>
    </xf>
    <xf numFmtId="0" fontId="73" fillId="0" borderId="1" xfId="256" applyFont="1" applyBorder="1"/>
    <xf numFmtId="179" fontId="73" fillId="0" borderId="1" xfId="256" applyNumberFormat="1" applyFont="1" applyFill="1" applyBorder="1" applyAlignment="1">
      <alignment horizontal="center" vertical="center"/>
    </xf>
    <xf numFmtId="37" fontId="73" fillId="0" borderId="1" xfId="256" applyNumberFormat="1" applyFont="1" applyFill="1" applyBorder="1" applyAlignment="1">
      <alignment horizontal="center" vertical="center"/>
    </xf>
    <xf numFmtId="179" fontId="73" fillId="0" borderId="1" xfId="59" applyNumberFormat="1" applyFont="1" applyFill="1" applyBorder="1" applyAlignment="1">
      <alignment horizontal="center" vertical="center"/>
    </xf>
    <xf numFmtId="181" fontId="73" fillId="0" borderId="1" xfId="256" applyNumberFormat="1" applyFont="1" applyFill="1" applyBorder="1" applyAlignment="1">
      <alignment horizontal="center" vertical="center"/>
    </xf>
    <xf numFmtId="186" fontId="73" fillId="0" borderId="1" xfId="256" applyNumberFormat="1" applyFont="1" applyFill="1" applyBorder="1" applyAlignment="1">
      <alignment horizontal="center" vertical="center"/>
    </xf>
    <xf numFmtId="0" fontId="73" fillId="0" borderId="1" xfId="256" applyFont="1" applyFill="1" applyBorder="1" applyAlignment="1">
      <alignment horizontal="left" vertical="center" wrapText="1"/>
    </xf>
    <xf numFmtId="0" fontId="72" fillId="0" borderId="0" xfId="256" applyFont="1"/>
    <xf numFmtId="0" fontId="72" fillId="0" borderId="8" xfId="256" applyFont="1" applyBorder="1" applyAlignment="1"/>
    <xf numFmtId="0" fontId="72" fillId="0" borderId="4" xfId="256" applyFont="1" applyBorder="1" applyAlignment="1"/>
    <xf numFmtId="0" fontId="72" fillId="0" borderId="9" xfId="256" applyFont="1" applyBorder="1" applyAlignment="1"/>
    <xf numFmtId="0" fontId="73" fillId="0" borderId="8" xfId="256" applyFont="1" applyFill="1" applyBorder="1" applyAlignment="1">
      <alignment horizontal="left" vertical="center"/>
    </xf>
    <xf numFmtId="0" fontId="73" fillId="0" borderId="8" xfId="256" applyFont="1" applyFill="1" applyBorder="1" applyAlignment="1">
      <alignment horizontal="left" vertical="center" wrapText="1"/>
    </xf>
    <xf numFmtId="0" fontId="73" fillId="0" borderId="0" xfId="256" applyFont="1" applyFill="1" applyBorder="1" applyAlignment="1">
      <alignment horizontal="left" vertical="center" wrapText="1"/>
    </xf>
    <xf numFmtId="179" fontId="73" fillId="0" borderId="0" xfId="59" applyNumberFormat="1" applyFont="1" applyFill="1" applyBorder="1" applyAlignment="1">
      <alignment horizontal="center" vertical="center"/>
    </xf>
    <xf numFmtId="179" fontId="73" fillId="0" borderId="0" xfId="256" applyNumberFormat="1" applyFont="1" applyFill="1" applyBorder="1" applyAlignment="1">
      <alignment horizontal="center" vertical="center"/>
    </xf>
    <xf numFmtId="3" fontId="73" fillId="0" borderId="1" xfId="59" applyNumberFormat="1" applyFont="1" applyFill="1" applyBorder="1" applyAlignment="1">
      <alignment horizontal="center" vertical="center"/>
    </xf>
    <xf numFmtId="3" fontId="73" fillId="0" borderId="9" xfId="59" applyNumberFormat="1" applyFont="1" applyFill="1" applyBorder="1" applyAlignment="1">
      <alignment horizontal="center" vertical="center"/>
    </xf>
    <xf numFmtId="0" fontId="73" fillId="0" borderId="0" xfId="0" applyFont="1"/>
    <xf numFmtId="3" fontId="73" fillId="0" borderId="1" xfId="256" applyNumberFormat="1" applyFont="1" applyFill="1" applyBorder="1" applyAlignment="1">
      <alignment horizontal="center" vertical="center"/>
    </xf>
    <xf numFmtId="164" fontId="73" fillId="0" borderId="1" xfId="59" applyNumberFormat="1" applyFont="1" applyFill="1" applyBorder="1" applyAlignment="1">
      <alignment horizontal="center" vertical="center"/>
    </xf>
    <xf numFmtId="165" fontId="73" fillId="0" borderId="1" xfId="59" applyNumberFormat="1" applyFont="1" applyFill="1" applyBorder="1" applyAlignment="1">
      <alignment horizontal="center" vertical="center"/>
    </xf>
    <xf numFmtId="0" fontId="73" fillId="0" borderId="0" xfId="256" applyFont="1" applyFill="1" applyAlignment="1">
      <alignment vertical="center"/>
    </xf>
    <xf numFmtId="181" fontId="73" fillId="0" borderId="1" xfId="59" applyNumberFormat="1" applyFont="1" applyFill="1" applyBorder="1" applyAlignment="1">
      <alignment horizontal="center" vertical="center"/>
    </xf>
    <xf numFmtId="178" fontId="73" fillId="0" borderId="1" xfId="59" applyNumberFormat="1" applyFont="1" applyFill="1" applyBorder="1" applyAlignment="1">
      <alignment horizontal="center" vertical="center"/>
    </xf>
    <xf numFmtId="167" fontId="73" fillId="0" borderId="1" xfId="256" applyNumberFormat="1" applyFont="1" applyBorder="1" applyAlignment="1">
      <alignment horizontal="center"/>
    </xf>
    <xf numFmtId="165" fontId="72" fillId="0" borderId="1" xfId="59" applyNumberFormat="1" applyFont="1" applyFill="1" applyBorder="1" applyAlignment="1">
      <alignment horizontal="center" vertical="center"/>
    </xf>
    <xf numFmtId="178" fontId="72" fillId="0" borderId="1" xfId="59" applyNumberFormat="1" applyFont="1" applyFill="1" applyBorder="1" applyAlignment="1">
      <alignment horizontal="center" vertical="center"/>
    </xf>
    <xf numFmtId="0" fontId="73" fillId="0" borderId="1" xfId="256" applyFont="1" applyFill="1" applyBorder="1"/>
    <xf numFmtId="0" fontId="73" fillId="0" borderId="0" xfId="256" applyFont="1" applyFill="1"/>
    <xf numFmtId="9" fontId="73" fillId="0" borderId="0" xfId="256" applyNumberFormat="1" applyFont="1" applyFill="1" applyBorder="1" applyAlignment="1">
      <alignment horizontal="center" vertical="center" wrapText="1"/>
    </xf>
    <xf numFmtId="0" fontId="75" fillId="0" borderId="1" xfId="257" applyFont="1" applyFill="1" applyBorder="1" applyAlignment="1">
      <alignment horizontal="left"/>
    </xf>
    <xf numFmtId="0" fontId="75" fillId="0" borderId="8" xfId="257" applyFont="1" applyFill="1" applyBorder="1" applyAlignment="1">
      <alignment horizontal="left" wrapText="1"/>
    </xf>
    <xf numFmtId="179" fontId="73" fillId="0" borderId="1" xfId="256" applyNumberFormat="1" applyFont="1" applyFill="1" applyBorder="1" applyAlignment="1">
      <alignment horizontal="center" vertical="center" wrapText="1"/>
    </xf>
    <xf numFmtId="181" fontId="73" fillId="0" borderId="1" xfId="256" applyNumberFormat="1" applyFont="1" applyFill="1" applyBorder="1" applyAlignment="1">
      <alignment horizontal="center" vertical="center" wrapText="1"/>
    </xf>
    <xf numFmtId="180" fontId="73" fillId="0" borderId="1" xfId="256" applyNumberFormat="1" applyFont="1" applyFill="1" applyBorder="1" applyAlignment="1">
      <alignment horizontal="center" vertical="center" wrapText="1"/>
    </xf>
    <xf numFmtId="3" fontId="73" fillId="0" borderId="1" xfId="256" applyNumberFormat="1" applyFont="1" applyFill="1" applyBorder="1" applyAlignment="1">
      <alignment horizontal="center" vertical="center" wrapText="1"/>
    </xf>
    <xf numFmtId="0" fontId="73" fillId="0" borderId="0" xfId="256" applyFont="1" applyFill="1" applyBorder="1" applyAlignment="1">
      <alignment horizontal="left" vertical="center"/>
    </xf>
    <xf numFmtId="3" fontId="73" fillId="0" borderId="0" xfId="256" applyNumberFormat="1" applyFont="1" applyFill="1" applyBorder="1" applyAlignment="1">
      <alignment horizontal="center" vertical="center" wrapText="1"/>
    </xf>
    <xf numFmtId="0" fontId="72" fillId="0" borderId="0" xfId="256" applyFont="1" applyFill="1" applyBorder="1" applyAlignment="1">
      <alignment horizontal="left" vertical="center"/>
    </xf>
    <xf numFmtId="0" fontId="72" fillId="0" borderId="1" xfId="256" applyFont="1" applyFill="1" applyBorder="1" applyAlignment="1">
      <alignment horizontal="center" vertical="center"/>
    </xf>
    <xf numFmtId="0" fontId="72" fillId="0" borderId="1" xfId="256" applyFont="1" applyBorder="1" applyAlignment="1">
      <alignment horizontal="left"/>
    </xf>
    <xf numFmtId="0" fontId="73" fillId="0" borderId="1" xfId="256" applyFont="1" applyBorder="1" applyAlignment="1">
      <alignment horizontal="center" wrapText="1"/>
    </xf>
    <xf numFmtId="3" fontId="73" fillId="0" borderId="1" xfId="256" applyNumberFormat="1" applyFont="1" applyBorder="1" applyAlignment="1">
      <alignment horizontal="left"/>
    </xf>
    <xf numFmtId="3" fontId="73" fillId="0" borderId="1" xfId="256" applyNumberFormat="1" applyFont="1" applyBorder="1" applyAlignment="1">
      <alignment horizontal="center"/>
    </xf>
    <xf numFmtId="3" fontId="73" fillId="0" borderId="1" xfId="256" applyNumberFormat="1" applyFont="1" applyBorder="1" applyAlignment="1">
      <alignment horizontal="center" wrapText="1"/>
    </xf>
    <xf numFmtId="3" fontId="73" fillId="0" borderId="1" xfId="258" applyNumberFormat="1" applyFont="1" applyBorder="1" applyAlignment="1">
      <alignment horizontal="center"/>
    </xf>
    <xf numFmtId="3" fontId="73" fillId="0" borderId="1" xfId="256" applyNumberFormat="1" applyFont="1" applyBorder="1"/>
    <xf numFmtId="0" fontId="72" fillId="66" borderId="1" xfId="60" applyFont="1" applyFill="1" applyBorder="1" applyAlignment="1">
      <alignment horizontal="left" vertical="center"/>
    </xf>
    <xf numFmtId="0" fontId="72" fillId="66" borderId="1" xfId="60" applyFont="1" applyFill="1" applyBorder="1" applyAlignment="1">
      <alignment horizontal="center" vertical="center" wrapText="1"/>
    </xf>
    <xf numFmtId="0" fontId="72" fillId="0" borderId="0" xfId="256" applyFont="1" applyFill="1" applyBorder="1" applyAlignment="1">
      <alignment horizontal="left" vertical="center"/>
    </xf>
    <xf numFmtId="188" fontId="73" fillId="0" borderId="1" xfId="256" applyNumberFormat="1" applyFont="1" applyBorder="1" applyAlignment="1">
      <alignment horizontal="center"/>
    </xf>
    <xf numFmtId="166" fontId="73" fillId="0" borderId="1" xfId="256" applyNumberFormat="1" applyFont="1" applyBorder="1" applyAlignment="1">
      <alignment horizontal="center"/>
    </xf>
    <xf numFmtId="165" fontId="73" fillId="9" borderId="1" xfId="59" applyNumberFormat="1" applyFont="1" applyFill="1" applyBorder="1" applyAlignment="1">
      <alignment horizontal="center" vertical="center"/>
    </xf>
    <xf numFmtId="0" fontId="73" fillId="0" borderId="7" xfId="256" applyFont="1" applyFill="1" applyBorder="1" applyAlignment="1">
      <alignment horizontal="left" vertical="center"/>
    </xf>
    <xf numFmtId="179" fontId="73" fillId="0" borderId="0" xfId="256" applyNumberFormat="1" applyFont="1"/>
    <xf numFmtId="171" fontId="0" fillId="0" borderId="0" xfId="1" applyNumberFormat="1" applyFont="1" applyFill="1" applyBorder="1" applyAlignment="1"/>
    <xf numFmtId="171" fontId="0" fillId="0" borderId="2" xfId="1" applyNumberFormat="1" applyFont="1" applyFill="1" applyBorder="1" applyAlignment="1"/>
    <xf numFmtId="164" fontId="0" fillId="0" borderId="0" xfId="2" applyNumberFormat="1" applyFont="1" applyFill="1" applyBorder="1" applyAlignment="1"/>
    <xf numFmtId="37" fontId="8" fillId="0" borderId="1" xfId="0" applyNumberFormat="1" applyFont="1" applyFill="1" applyBorder="1" applyAlignment="1">
      <alignment horizontal="center"/>
    </xf>
    <xf numFmtId="37" fontId="7" fillId="0" borderId="1" xfId="0" applyNumberFormat="1" applyFont="1" applyFill="1" applyBorder="1" applyAlignment="1">
      <alignment horizontal="center"/>
    </xf>
    <xf numFmtId="165" fontId="7" fillId="0" borderId="1" xfId="196" applyNumberFormat="1" applyFont="1" applyBorder="1" applyAlignment="1">
      <alignment horizontal="center"/>
    </xf>
    <xf numFmtId="43" fontId="7" fillId="0" borderId="1" xfId="1" applyNumberFormat="1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43" fontId="0" fillId="0" borderId="1" xfId="1" applyNumberFormat="1" applyFon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0" fontId="73" fillId="0" borderId="1" xfId="256" applyFont="1" applyFill="1" applyBorder="1" applyAlignment="1">
      <alignment horizontal="left" vertical="center"/>
    </xf>
    <xf numFmtId="0" fontId="54" fillId="0" borderId="0" xfId="0" applyFont="1"/>
    <xf numFmtId="0" fontId="72" fillId="0" borderId="7" xfId="4" applyFont="1" applyFill="1" applyBorder="1" applyAlignment="1">
      <alignment vertical="center"/>
    </xf>
    <xf numFmtId="0" fontId="72" fillId="0" borderId="13" xfId="4" applyFont="1" applyFill="1" applyBorder="1" applyAlignment="1">
      <alignment vertical="center"/>
    </xf>
    <xf numFmtId="0" fontId="72" fillId="0" borderId="0" xfId="4" applyFont="1" applyFill="1" applyBorder="1" applyAlignment="1">
      <alignment horizontal="left" vertical="center"/>
    </xf>
    <xf numFmtId="0" fontId="73" fillId="0" borderId="0" xfId="4" applyFont="1"/>
    <xf numFmtId="0" fontId="72" fillId="0" borderId="8" xfId="4" applyFont="1" applyFill="1" applyBorder="1" applyAlignment="1">
      <alignment vertical="center"/>
    </xf>
    <xf numFmtId="0" fontId="72" fillId="0" borderId="4" xfId="4" applyFont="1" applyFill="1" applyBorder="1" applyAlignment="1">
      <alignment vertical="center"/>
    </xf>
    <xf numFmtId="0" fontId="73" fillId="0" borderId="1" xfId="4" applyFont="1" applyFill="1" applyBorder="1" applyAlignment="1">
      <alignment horizontal="left" vertical="center"/>
    </xf>
    <xf numFmtId="3" fontId="73" fillId="0" borderId="1" xfId="4" applyNumberFormat="1" applyFont="1" applyFill="1" applyBorder="1" applyAlignment="1">
      <alignment horizontal="center" vertical="center" wrapText="1"/>
    </xf>
    <xf numFmtId="0" fontId="73" fillId="0" borderId="0" xfId="4" applyFont="1" applyFill="1" applyBorder="1" applyAlignment="1">
      <alignment horizontal="left" vertical="center"/>
    </xf>
    <xf numFmtId="3" fontId="73" fillId="0" borderId="0" xfId="4" applyNumberFormat="1" applyFont="1" applyFill="1" applyBorder="1" applyAlignment="1">
      <alignment horizontal="center" vertical="center" wrapText="1"/>
    </xf>
    <xf numFmtId="0" fontId="73" fillId="0" borderId="7" xfId="4" applyFont="1" applyFill="1" applyBorder="1" applyAlignment="1">
      <alignment horizontal="left" vertical="center"/>
    </xf>
    <xf numFmtId="178" fontId="73" fillId="0" borderId="1" xfId="4" applyNumberFormat="1" applyFont="1" applyFill="1" applyBorder="1" applyAlignment="1">
      <alignment horizontal="center" vertical="center" wrapText="1"/>
    </xf>
    <xf numFmtId="0" fontId="73" fillId="0" borderId="8" xfId="4" applyFont="1" applyFill="1" applyBorder="1" applyAlignment="1">
      <alignment horizontal="left" vertical="center"/>
    </xf>
    <xf numFmtId="0" fontId="73" fillId="0" borderId="1" xfId="4" applyFont="1" applyFill="1" applyBorder="1" applyAlignment="1">
      <alignment horizontal="left" vertical="center" wrapText="1"/>
    </xf>
    <xf numFmtId="179" fontId="73" fillId="0" borderId="17" xfId="4" applyNumberFormat="1" applyFont="1" applyFill="1" applyBorder="1" applyAlignment="1">
      <alignment horizontal="center" vertical="center" wrapText="1"/>
    </xf>
    <xf numFmtId="3" fontId="73" fillId="0" borderId="1" xfId="4" applyNumberFormat="1" applyFont="1" applyFill="1" applyBorder="1" applyAlignment="1">
      <alignment horizontal="center" vertical="center"/>
    </xf>
    <xf numFmtId="178" fontId="73" fillId="0" borderId="0" xfId="4" applyNumberFormat="1" applyFont="1" applyFill="1" applyBorder="1" applyAlignment="1">
      <alignment horizontal="center" vertical="center" wrapText="1"/>
    </xf>
    <xf numFmtId="0" fontId="72" fillId="0" borderId="17" xfId="4" applyFont="1" applyFill="1" applyBorder="1" applyAlignment="1">
      <alignment horizontal="left" vertical="center"/>
    </xf>
    <xf numFmtId="0" fontId="72" fillId="0" borderId="9" xfId="4" applyFont="1" applyFill="1" applyBorder="1" applyAlignment="1">
      <alignment vertical="center"/>
    </xf>
    <xf numFmtId="164" fontId="73" fillId="0" borderId="1" xfId="4" applyNumberFormat="1" applyFont="1" applyFill="1" applyBorder="1" applyAlignment="1">
      <alignment horizontal="center" vertical="center" wrapText="1"/>
    </xf>
    <xf numFmtId="164" fontId="7" fillId="0" borderId="0" xfId="2" applyNumberFormat="1"/>
    <xf numFmtId="0" fontId="72" fillId="66" borderId="1" xfId="60" applyFont="1" applyFill="1" applyBorder="1" applyAlignment="1">
      <alignment horizontal="left" vertical="center" wrapText="1"/>
    </xf>
    <xf numFmtId="0" fontId="72" fillId="0" borderId="17" xfId="256" applyFont="1" applyFill="1" applyBorder="1" applyAlignment="1">
      <alignment horizontal="left" vertical="center"/>
    </xf>
    <xf numFmtId="0" fontId="77" fillId="0" borderId="0" xfId="4" applyFont="1"/>
    <xf numFmtId="0" fontId="77" fillId="0" borderId="0" xfId="0" applyFont="1"/>
    <xf numFmtId="0" fontId="77" fillId="0" borderId="1" xfId="4" applyFont="1" applyFill="1" applyBorder="1" applyAlignment="1">
      <alignment horizontal="left" vertical="center"/>
    </xf>
    <xf numFmtId="189" fontId="73" fillId="0" borderId="1" xfId="4" applyNumberFormat="1" applyFont="1" applyFill="1" applyBorder="1" applyAlignment="1">
      <alignment horizontal="center" vertical="center" wrapText="1"/>
    </xf>
    <xf numFmtId="0" fontId="76" fillId="0" borderId="1" xfId="4" applyFont="1" applyFill="1" applyBorder="1" applyAlignment="1">
      <alignment vertical="center"/>
    </xf>
    <xf numFmtId="0" fontId="72" fillId="0" borderId="0" xfId="4" applyFont="1" applyFill="1" applyBorder="1" applyAlignment="1">
      <alignment vertical="center"/>
    </xf>
    <xf numFmtId="0" fontId="73" fillId="0" borderId="8" xfId="4" applyFont="1" applyBorder="1" applyAlignment="1">
      <alignment horizontal="left" wrapText="1"/>
    </xf>
    <xf numFmtId="0" fontId="73" fillId="0" borderId="8" xfId="4" applyFont="1" applyBorder="1"/>
    <xf numFmtId="0" fontId="73" fillId="0" borderId="1" xfId="4" applyFont="1" applyFill="1" applyBorder="1" applyAlignment="1">
      <alignment vertical="center"/>
    </xf>
    <xf numFmtId="0" fontId="73" fillId="0" borderId="1" xfId="4" applyFont="1" applyBorder="1"/>
    <xf numFmtId="3" fontId="73" fillId="0" borderId="1" xfId="4" applyNumberFormat="1" applyFont="1" applyBorder="1" applyAlignment="1">
      <alignment horizontal="center"/>
    </xf>
    <xf numFmtId="0" fontId="73" fillId="0" borderId="8" xfId="4" applyFont="1" applyBorder="1" applyAlignment="1">
      <alignment horizontal="left"/>
    </xf>
    <xf numFmtId="3" fontId="73" fillId="0" borderId="4" xfId="59" applyNumberFormat="1" applyFont="1" applyFill="1" applyBorder="1" applyAlignment="1">
      <alignment horizontal="center" vertical="center"/>
    </xf>
    <xf numFmtId="167" fontId="73" fillId="0" borderId="1" xfId="4" applyNumberFormat="1" applyFont="1" applyFill="1" applyBorder="1" applyAlignment="1">
      <alignment horizontal="center" vertical="center"/>
    </xf>
    <xf numFmtId="3" fontId="73" fillId="0" borderId="1" xfId="4" applyNumberFormat="1" applyFont="1" applyBorder="1"/>
    <xf numFmtId="0" fontId="72" fillId="66" borderId="1" xfId="60" applyFont="1" applyFill="1" applyBorder="1" applyAlignment="1">
      <alignment horizontal="center" vertical="center"/>
    </xf>
    <xf numFmtId="0" fontId="7" fillId="65" borderId="0" xfId="0" applyFont="1" applyFill="1" applyAlignment="1">
      <alignment horizontal="right"/>
    </xf>
    <xf numFmtId="0" fontId="7" fillId="65" borderId="0" xfId="0" quotePrefix="1" applyFont="1" applyFill="1" applyAlignment="1">
      <alignment horizontal="right"/>
    </xf>
    <xf numFmtId="43" fontId="7" fillId="65" borderId="0" xfId="1" quotePrefix="1" applyFont="1" applyFill="1" applyAlignment="1">
      <alignment horizontal="right"/>
    </xf>
    <xf numFmtId="171" fontId="8" fillId="0" borderId="0" xfId="1" applyNumberFormat="1" applyFont="1" applyAlignment="1">
      <alignment horizontal="center"/>
    </xf>
    <xf numFmtId="43" fontId="0" fillId="0" borderId="0" xfId="1" applyNumberFormat="1" applyFont="1" applyFill="1" applyBorder="1" applyAlignment="1"/>
    <xf numFmtId="43" fontId="0" fillId="0" borderId="2" xfId="1" applyNumberFormat="1" applyFont="1" applyFill="1" applyBorder="1" applyAlignment="1"/>
    <xf numFmtId="171" fontId="7" fillId="0" borderId="0" xfId="1" applyNumberFormat="1" applyFont="1" applyAlignment="1">
      <alignment horizontal="center"/>
    </xf>
    <xf numFmtId="0" fontId="72" fillId="66" borderId="40" xfId="60" applyFont="1" applyFill="1" applyBorder="1" applyAlignment="1">
      <alignment horizontal="left" vertical="center"/>
    </xf>
    <xf numFmtId="0" fontId="72" fillId="66" borderId="41" xfId="60" applyFont="1" applyFill="1" applyBorder="1" applyAlignment="1">
      <alignment horizontal="center" vertical="center" wrapText="1"/>
    </xf>
    <xf numFmtId="0" fontId="72" fillId="66" borderId="41" xfId="60" quotePrefix="1" applyFont="1" applyFill="1" applyBorder="1" applyAlignment="1">
      <alignment horizontal="center" vertical="center" wrapText="1"/>
    </xf>
    <xf numFmtId="0" fontId="72" fillId="66" borderId="42" xfId="60" quotePrefix="1" applyFont="1" applyFill="1" applyBorder="1" applyAlignment="1">
      <alignment horizontal="center" vertical="center" wrapText="1"/>
    </xf>
    <xf numFmtId="0" fontId="73" fillId="0" borderId="43" xfId="256" applyFont="1" applyFill="1" applyBorder="1" applyAlignment="1">
      <alignment horizontal="left" vertical="center"/>
    </xf>
    <xf numFmtId="0" fontId="73" fillId="0" borderId="43" xfId="256" quotePrefix="1" applyFont="1" applyFill="1" applyBorder="1" applyAlignment="1">
      <alignment horizontal="left" vertical="center"/>
    </xf>
    <xf numFmtId="0" fontId="72" fillId="0" borderId="43" xfId="256" applyFont="1" applyFill="1" applyBorder="1" applyAlignment="1">
      <alignment horizontal="left" vertical="center"/>
    </xf>
    <xf numFmtId="0" fontId="72" fillId="0" borderId="45" xfId="256" applyFont="1" applyFill="1" applyBorder="1" applyAlignment="1">
      <alignment horizontal="left" vertical="center"/>
    </xf>
    <xf numFmtId="171" fontId="73" fillId="0" borderId="1" xfId="1" applyNumberFormat="1" applyFont="1" applyFill="1" applyBorder="1" applyAlignment="1">
      <alignment vertical="center"/>
    </xf>
    <xf numFmtId="171" fontId="73" fillId="0" borderId="44" xfId="1" applyNumberFormat="1" applyFont="1" applyFill="1" applyBorder="1" applyAlignment="1">
      <alignment vertical="center"/>
    </xf>
    <xf numFmtId="171" fontId="73" fillId="0" borderId="1" xfId="1" applyNumberFormat="1" applyFont="1" applyFill="1" applyBorder="1" applyAlignment="1">
      <alignment horizontal="left" vertical="center"/>
    </xf>
    <xf numFmtId="171" fontId="73" fillId="0" borderId="1" xfId="1" applyNumberFormat="1" applyFont="1" applyFill="1" applyBorder="1" applyAlignment="1">
      <alignment horizontal="center" vertical="center"/>
    </xf>
    <xf numFmtId="171" fontId="73" fillId="0" borderId="1" xfId="1" applyNumberFormat="1" applyFont="1" applyBorder="1"/>
    <xf numFmtId="171" fontId="73" fillId="0" borderId="44" xfId="1" applyNumberFormat="1" applyFont="1" applyFill="1" applyBorder="1" applyAlignment="1">
      <alignment horizontal="center" vertical="center"/>
    </xf>
    <xf numFmtId="43" fontId="73" fillId="0" borderId="0" xfId="1" applyFont="1"/>
    <xf numFmtId="171" fontId="72" fillId="0" borderId="1" xfId="1" applyNumberFormat="1" applyFont="1" applyFill="1" applyBorder="1" applyAlignment="1">
      <alignment horizontal="center" vertical="center"/>
    </xf>
    <xf numFmtId="171" fontId="72" fillId="0" borderId="44" xfId="1" applyNumberFormat="1" applyFont="1" applyFill="1" applyBorder="1" applyAlignment="1">
      <alignment horizontal="center" vertical="center"/>
    </xf>
    <xf numFmtId="171" fontId="72" fillId="0" borderId="46" xfId="1" applyNumberFormat="1" applyFont="1" applyFill="1" applyBorder="1" applyAlignment="1">
      <alignment horizontal="center" vertical="center"/>
    </xf>
    <xf numFmtId="171" fontId="72" fillId="0" borderId="47" xfId="1" applyNumberFormat="1" applyFont="1" applyFill="1" applyBorder="1" applyAlignment="1">
      <alignment horizontal="center" vertical="center"/>
    </xf>
    <xf numFmtId="0" fontId="72" fillId="0" borderId="43" xfId="256" quotePrefix="1" applyFont="1" applyFill="1" applyBorder="1" applyAlignment="1">
      <alignment horizontal="left" vertical="center"/>
    </xf>
    <xf numFmtId="0" fontId="72" fillId="0" borderId="0" xfId="4" applyFont="1" applyFill="1" applyBorder="1" applyAlignment="1">
      <alignment vertical="center" wrapText="1"/>
    </xf>
    <xf numFmtId="0" fontId="72" fillId="0" borderId="13" xfId="4" applyFont="1" applyFill="1" applyBorder="1" applyAlignment="1">
      <alignment vertical="center" wrapText="1"/>
    </xf>
    <xf numFmtId="0" fontId="72" fillId="0" borderId="13" xfId="4" quotePrefix="1" applyFont="1" applyFill="1" applyBorder="1" applyAlignment="1">
      <alignment horizontal="left" vertical="center"/>
    </xf>
    <xf numFmtId="0" fontId="72" fillId="66" borderId="1" xfId="60" quotePrefix="1" applyFont="1" applyFill="1" applyBorder="1" applyAlignment="1">
      <alignment horizontal="center" vertical="center" wrapText="1"/>
    </xf>
    <xf numFmtId="0" fontId="77" fillId="0" borderId="1" xfId="4" quotePrefix="1" applyFont="1" applyFill="1" applyBorder="1" applyAlignment="1">
      <alignment horizontal="left" vertical="center"/>
    </xf>
    <xf numFmtId="0" fontId="76" fillId="0" borderId="1" xfId="4" applyFont="1" applyFill="1" applyBorder="1" applyAlignment="1">
      <alignment horizontal="left" vertical="center"/>
    </xf>
    <xf numFmtId="0" fontId="77" fillId="0" borderId="1" xfId="4" applyFont="1" applyFill="1" applyBorder="1" applyAlignment="1">
      <alignment vertical="center"/>
    </xf>
    <xf numFmtId="171" fontId="77" fillId="0" borderId="1" xfId="4" applyNumberFormat="1" applyFont="1" applyFill="1" applyBorder="1" applyAlignment="1">
      <alignment vertical="center"/>
    </xf>
    <xf numFmtId="43" fontId="73" fillId="0" borderId="1" xfId="1" applyFont="1" applyFill="1" applyBorder="1" applyAlignment="1">
      <alignment horizontal="center" vertical="center" wrapText="1"/>
    </xf>
    <xf numFmtId="43" fontId="77" fillId="0" borderId="1" xfId="1" applyFont="1" applyFill="1" applyBorder="1" applyAlignment="1">
      <alignment vertical="center"/>
    </xf>
    <xf numFmtId="43" fontId="72" fillId="0" borderId="1" xfId="1" applyFont="1" applyFill="1" applyBorder="1" applyAlignment="1">
      <alignment horizontal="center" vertical="center" wrapText="1"/>
    </xf>
    <xf numFmtId="43" fontId="77" fillId="0" borderId="1" xfId="4" applyNumberFormat="1" applyFont="1" applyFill="1" applyBorder="1" applyAlignment="1">
      <alignment vertical="center"/>
    </xf>
    <xf numFmtId="10" fontId="73" fillId="0" borderId="0" xfId="2" applyNumberFormat="1" applyFont="1" applyFill="1" applyBorder="1" applyAlignment="1">
      <alignment horizontal="center" vertical="center" wrapText="1"/>
    </xf>
    <xf numFmtId="9" fontId="77" fillId="0" borderId="1" xfId="2" applyNumberFormat="1" applyFont="1" applyFill="1" applyBorder="1" applyAlignment="1">
      <alignment vertical="center"/>
    </xf>
    <xf numFmtId="9" fontId="76" fillId="0" borderId="1" xfId="2" applyNumberFormat="1" applyFont="1" applyFill="1" applyBorder="1" applyAlignment="1">
      <alignment vertical="center"/>
    </xf>
    <xf numFmtId="43" fontId="0" fillId="0" borderId="0" xfId="1" applyFont="1" applyFill="1"/>
    <xf numFmtId="43" fontId="73" fillId="0" borderId="1" xfId="1" applyFont="1" applyFill="1" applyBorder="1" applyAlignment="1">
      <alignment vertical="center"/>
    </xf>
    <xf numFmtId="9" fontId="73" fillId="0" borderId="1" xfId="2" applyNumberFormat="1" applyFont="1" applyFill="1" applyBorder="1" applyAlignment="1">
      <alignment vertical="center"/>
    </xf>
    <xf numFmtId="9" fontId="72" fillId="0" borderId="1" xfId="2" applyNumberFormat="1" applyFont="1" applyFill="1" applyBorder="1" applyAlignment="1">
      <alignment vertical="center"/>
    </xf>
    <xf numFmtId="10" fontId="73" fillId="0" borderId="0" xfId="2" applyNumberFormat="1" applyFont="1"/>
    <xf numFmtId="171" fontId="73" fillId="0" borderId="44" xfId="1" applyNumberFormat="1" applyFont="1" applyFill="1" applyBorder="1" applyAlignment="1">
      <alignment horizontal="left" vertical="center"/>
    </xf>
    <xf numFmtId="171" fontId="73" fillId="0" borderId="1" xfId="1" applyNumberFormat="1" applyFont="1" applyFill="1" applyBorder="1"/>
    <xf numFmtId="171" fontId="73" fillId="0" borderId="44" xfId="1" applyNumberFormat="1" applyFont="1" applyFill="1" applyBorder="1"/>
    <xf numFmtId="7" fontId="0" fillId="0" borderId="0" xfId="0" applyNumberFormat="1"/>
    <xf numFmtId="3" fontId="7" fillId="0" borderId="1" xfId="0" quotePrefix="1" applyNumberFormat="1" applyFont="1" applyBorder="1" applyAlignment="1">
      <alignment horizontal="left"/>
    </xf>
    <xf numFmtId="0" fontId="72" fillId="0" borderId="0" xfId="4" quotePrefix="1" applyFont="1" applyFill="1" applyBorder="1" applyAlignment="1">
      <alignment horizontal="left" vertical="center"/>
    </xf>
    <xf numFmtId="190" fontId="0" fillId="0" borderId="0" xfId="0" applyNumberFormat="1" applyAlignment="1">
      <alignment horizontal="center"/>
    </xf>
    <xf numFmtId="3" fontId="7" fillId="0" borderId="0" xfId="0" applyNumberFormat="1" applyFont="1" applyFill="1" applyAlignment="1">
      <alignment horizontal="center"/>
    </xf>
    <xf numFmtId="0" fontId="0" fillId="67" borderId="0" xfId="0" applyFill="1"/>
    <xf numFmtId="0" fontId="12" fillId="67" borderId="3" xfId="0" applyFont="1" applyFill="1" applyBorder="1" applyAlignment="1">
      <alignment horizontal="centerContinuous"/>
    </xf>
    <xf numFmtId="0" fontId="0" fillId="67" borderId="0" xfId="0" applyFill="1" applyBorder="1" applyAlignment="1"/>
    <xf numFmtId="10" fontId="0" fillId="67" borderId="0" xfId="2" applyNumberFormat="1" applyFont="1" applyFill="1" applyBorder="1" applyAlignment="1"/>
    <xf numFmtId="43" fontId="0" fillId="67" borderId="0" xfId="1" applyFont="1" applyFill="1" applyBorder="1" applyAlignment="1"/>
    <xf numFmtId="0" fontId="0" fillId="67" borderId="2" xfId="0" applyFill="1" applyBorder="1" applyAlignment="1"/>
    <xf numFmtId="0" fontId="12" fillId="67" borderId="3" xfId="0" applyFont="1" applyFill="1" applyBorder="1" applyAlignment="1">
      <alignment horizontal="center"/>
    </xf>
    <xf numFmtId="43" fontId="0" fillId="67" borderId="2" xfId="1" applyFont="1" applyFill="1" applyBorder="1" applyAlignment="1"/>
    <xf numFmtId="0" fontId="7" fillId="0" borderId="0" xfId="0" quotePrefix="1" applyFont="1" applyAlignment="1">
      <alignment horizontal="left"/>
    </xf>
    <xf numFmtId="174" fontId="7" fillId="0" borderId="0" xfId="199" applyNumberFormat="1" applyBorder="1"/>
    <xf numFmtId="2" fontId="7" fillId="0" borderId="0" xfId="0" applyNumberFormat="1" applyFont="1" applyFill="1" applyAlignment="1">
      <alignment horizontal="center"/>
    </xf>
    <xf numFmtId="37" fontId="8" fillId="0" borderId="0" xfId="0" applyNumberFormat="1" applyFont="1" applyFill="1" applyBorder="1" applyAlignment="1">
      <alignment horizontal="center"/>
    </xf>
    <xf numFmtId="173" fontId="0" fillId="0" borderId="1" xfId="1" applyNumberFormat="1" applyFont="1" applyFill="1" applyBorder="1" applyAlignment="1"/>
    <xf numFmtId="0" fontId="0" fillId="2" borderId="0" xfId="0" applyFill="1" applyAlignment="1">
      <alignment horizontal="right"/>
    </xf>
    <xf numFmtId="166" fontId="73" fillId="0" borderId="1" xfId="256" applyNumberFormat="1" applyFont="1" applyBorder="1" applyAlignment="1">
      <alignment horizontal="center"/>
    </xf>
    <xf numFmtId="0" fontId="72" fillId="66" borderId="8" xfId="60" applyFont="1" applyFill="1" applyBorder="1" applyAlignment="1">
      <alignment horizontal="center" vertical="center" wrapText="1"/>
    </xf>
    <xf numFmtId="0" fontId="72" fillId="66" borderId="9" xfId="60" applyFont="1" applyFill="1" applyBorder="1" applyAlignment="1">
      <alignment horizontal="center" vertical="center" wrapText="1"/>
    </xf>
    <xf numFmtId="0" fontId="72" fillId="0" borderId="8" xfId="256" applyFont="1" applyBorder="1" applyAlignment="1">
      <alignment horizontal="left" vertical="center"/>
    </xf>
    <xf numFmtId="0" fontId="72" fillId="0" borderId="4" xfId="256" applyFont="1" applyBorder="1" applyAlignment="1">
      <alignment horizontal="left" vertical="center"/>
    </xf>
    <xf numFmtId="0" fontId="72" fillId="0" borderId="9" xfId="256" applyFont="1" applyBorder="1" applyAlignment="1">
      <alignment horizontal="left" vertical="center"/>
    </xf>
    <xf numFmtId="0" fontId="72" fillId="0" borderId="1" xfId="256" applyFont="1" applyFill="1" applyBorder="1" applyAlignment="1">
      <alignment horizontal="center" vertical="center" wrapText="1"/>
    </xf>
    <xf numFmtId="0" fontId="73" fillId="0" borderId="1" xfId="256" applyFont="1" applyBorder="1" applyAlignment="1">
      <alignment horizontal="center"/>
    </xf>
    <xf numFmtId="0" fontId="72" fillId="0" borderId="8" xfId="4" applyFont="1" applyFill="1" applyBorder="1" applyAlignment="1">
      <alignment horizontal="left" vertical="center"/>
    </xf>
    <xf numFmtId="0" fontId="72" fillId="0" borderId="4" xfId="4" applyFont="1" applyFill="1" applyBorder="1" applyAlignment="1">
      <alignment horizontal="left" vertical="center"/>
    </xf>
    <xf numFmtId="0" fontId="72" fillId="0" borderId="0" xfId="256" applyFont="1" applyFill="1" applyBorder="1" applyAlignment="1">
      <alignment horizontal="left" vertical="center"/>
    </xf>
    <xf numFmtId="0" fontId="72" fillId="0" borderId="1" xfId="256" applyFont="1" applyFill="1" applyBorder="1" applyAlignment="1">
      <alignment horizontal="left" vertical="center"/>
    </xf>
    <xf numFmtId="0" fontId="74" fillId="0" borderId="5" xfId="257" applyFont="1" applyFill="1" applyBorder="1" applyAlignment="1">
      <alignment horizontal="left"/>
    </xf>
    <xf numFmtId="0" fontId="74" fillId="0" borderId="0" xfId="257" applyFont="1" applyFill="1" applyBorder="1" applyAlignment="1">
      <alignment horizontal="left"/>
    </xf>
    <xf numFmtId="0" fontId="74" fillId="0" borderId="7" xfId="257" applyFont="1" applyFill="1" applyBorder="1" applyAlignment="1">
      <alignment horizontal="left" wrapText="1"/>
    </xf>
    <xf numFmtId="0" fontId="74" fillId="0" borderId="13" xfId="257" applyFont="1" applyFill="1" applyBorder="1" applyAlignment="1">
      <alignment horizontal="left" wrapText="1"/>
    </xf>
    <xf numFmtId="0" fontId="72" fillId="0" borderId="8" xfId="256" applyFont="1" applyBorder="1" applyAlignment="1">
      <alignment horizontal="left"/>
    </xf>
    <xf numFmtId="0" fontId="72" fillId="0" borderId="4" xfId="256" applyFont="1" applyBorder="1" applyAlignment="1">
      <alignment horizontal="left"/>
    </xf>
    <xf numFmtId="0" fontId="72" fillId="0" borderId="9" xfId="256" applyFont="1" applyBorder="1" applyAlignment="1">
      <alignment horizontal="left"/>
    </xf>
    <xf numFmtId="0" fontId="72" fillId="0" borderId="7" xfId="4" applyFont="1" applyFill="1" applyBorder="1" applyAlignment="1">
      <alignment horizontal="left" vertical="center"/>
    </xf>
    <xf numFmtId="0" fontId="72" fillId="0" borderId="13" xfId="4" applyFont="1" applyFill="1" applyBorder="1" applyAlignment="1">
      <alignment horizontal="left" vertical="center"/>
    </xf>
    <xf numFmtId="0" fontId="72" fillId="0" borderId="0" xfId="4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/>
    </xf>
    <xf numFmtId="0" fontId="73" fillId="0" borderId="1" xfId="256" applyFont="1" applyFill="1" applyBorder="1" applyAlignment="1">
      <alignment horizontal="left" vertical="center" indent="1"/>
    </xf>
    <xf numFmtId="0" fontId="72" fillId="0" borderId="5" xfId="256" applyFont="1" applyFill="1" applyBorder="1" applyAlignment="1">
      <alignment horizontal="center" vertical="center"/>
    </xf>
    <xf numFmtId="0" fontId="72" fillId="0" borderId="0" xfId="256" applyFont="1" applyFill="1" applyBorder="1" applyAlignment="1">
      <alignment horizontal="center" vertical="center"/>
    </xf>
    <xf numFmtId="0" fontId="72" fillId="0" borderId="6" xfId="256" applyFont="1" applyFill="1" applyBorder="1" applyAlignment="1">
      <alignment horizontal="center" vertical="center"/>
    </xf>
    <xf numFmtId="0" fontId="72" fillId="0" borderId="1" xfId="256" applyFont="1" applyFill="1" applyBorder="1" applyAlignment="1">
      <alignment horizontal="center" vertical="center"/>
    </xf>
    <xf numFmtId="0" fontId="72" fillId="0" borderId="9" xfId="4" applyFont="1" applyFill="1" applyBorder="1" applyAlignment="1">
      <alignment horizontal="left" vertical="center"/>
    </xf>
    <xf numFmtId="0" fontId="72" fillId="0" borderId="8" xfId="256" applyFont="1" applyFill="1" applyBorder="1" applyAlignment="1">
      <alignment horizontal="left" vertical="center"/>
    </xf>
    <xf numFmtId="0" fontId="72" fillId="0" borderId="4" xfId="256" applyFont="1" applyFill="1" applyBorder="1" applyAlignment="1">
      <alignment horizontal="left" vertical="center"/>
    </xf>
    <xf numFmtId="0" fontId="72" fillId="0" borderId="9" xfId="256" applyFont="1" applyFill="1" applyBorder="1" applyAlignment="1">
      <alignment horizontal="left" vertical="center"/>
    </xf>
    <xf numFmtId="0" fontId="72" fillId="0" borderId="1" xfId="4" applyFont="1" applyFill="1" applyBorder="1" applyAlignment="1">
      <alignment horizontal="left" vertical="center"/>
    </xf>
    <xf numFmtId="0" fontId="75" fillId="0" borderId="8" xfId="257" applyFont="1" applyFill="1" applyBorder="1" applyAlignment="1">
      <alignment horizontal="left"/>
    </xf>
    <xf numFmtId="0" fontId="75" fillId="0" borderId="4" xfId="257" applyFont="1" applyFill="1" applyBorder="1" applyAlignment="1">
      <alignment horizontal="left"/>
    </xf>
    <xf numFmtId="0" fontId="75" fillId="0" borderId="9" xfId="257" applyFont="1" applyFill="1" applyBorder="1" applyAlignment="1">
      <alignment horizontal="left"/>
    </xf>
    <xf numFmtId="3" fontId="7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7" fillId="0" borderId="0" xfId="199" applyAlignment="1">
      <alignment horizontal="center"/>
    </xf>
    <xf numFmtId="0" fontId="7" fillId="0" borderId="1" xfId="199" applyBorder="1" applyAlignment="1">
      <alignment horizontal="center"/>
    </xf>
    <xf numFmtId="0" fontId="10" fillId="0" borderId="0" xfId="4" applyFont="1" applyAlignment="1">
      <alignment horizontal="center"/>
    </xf>
    <xf numFmtId="0" fontId="10" fillId="8" borderId="11" xfId="0" applyNumberFormat="1" applyFont="1" applyFill="1" applyBorder="1" applyAlignment="1">
      <alignment horizontal="center"/>
    </xf>
    <xf numFmtId="0" fontId="10" fillId="8" borderId="12" xfId="0" applyNumberFormat="1" applyFont="1" applyFill="1" applyBorder="1" applyAlignment="1">
      <alignment horizontal="center"/>
    </xf>
    <xf numFmtId="0" fontId="10" fillId="8" borderId="13" xfId="0" applyNumberFormat="1" applyFont="1" applyFill="1" applyBorder="1" applyAlignment="1">
      <alignment horizontal="center"/>
    </xf>
    <xf numFmtId="0" fontId="10" fillId="8" borderId="14" xfId="0" applyNumberFormat="1" applyFont="1" applyFill="1" applyBorder="1" applyAlignment="1">
      <alignment horizontal="center"/>
    </xf>
    <xf numFmtId="0" fontId="10" fillId="8" borderId="7" xfId="0" applyNumberFormat="1" applyFont="1" applyFill="1" applyBorder="1" applyAlignment="1">
      <alignment horizontal="center"/>
    </xf>
    <xf numFmtId="0" fontId="10" fillId="8" borderId="6" xfId="0" applyNumberFormat="1" applyFont="1" applyFill="1" applyBorder="1" applyAlignment="1">
      <alignment horizontal="center"/>
    </xf>
    <xf numFmtId="0" fontId="10" fillId="8" borderId="5" xfId="0" applyNumberFormat="1" applyFont="1" applyFill="1" applyBorder="1" applyAlignment="1">
      <alignment horizontal="center"/>
    </xf>
    <xf numFmtId="0" fontId="10" fillId="0" borderId="18" xfId="0" quotePrefix="1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8" borderId="15" xfId="0" quotePrefix="1" applyNumberFormat="1" applyFont="1" applyFill="1" applyBorder="1" applyAlignment="1">
      <alignment horizontal="center" wrapText="1"/>
    </xf>
    <xf numFmtId="0" fontId="10" fillId="8" borderId="16" xfId="0" applyNumberFormat="1" applyFont="1" applyFill="1" applyBorder="1" applyAlignment="1">
      <alignment horizontal="center" wrapText="1"/>
    </xf>
    <xf numFmtId="0" fontId="10" fillId="8" borderId="15" xfId="0" quotePrefix="1" applyFont="1" applyFill="1" applyBorder="1" applyAlignment="1">
      <alignment horizontal="center" wrapText="1"/>
    </xf>
    <xf numFmtId="0" fontId="10" fillId="8" borderId="17" xfId="0" applyFont="1" applyFill="1" applyBorder="1" applyAlignment="1">
      <alignment horizontal="center" wrapText="1"/>
    </xf>
    <xf numFmtId="0" fontId="10" fillId="8" borderId="10" xfId="0" applyNumberFormat="1" applyFont="1" applyFill="1" applyBorder="1" applyAlignment="1">
      <alignment horizontal="center"/>
    </xf>
  </cellXfs>
  <cellStyles count="259">
    <cellStyle name="$" xfId="14"/>
    <cellStyle name="$.00" xfId="15"/>
    <cellStyle name="$_9. Rev2Cost_GDPIPI" xfId="126"/>
    <cellStyle name="$_lists" xfId="127"/>
    <cellStyle name="$_lists_4. Current Monthly Fixed Charge" xfId="128"/>
    <cellStyle name="$_Sheet4" xfId="129"/>
    <cellStyle name="$M" xfId="16"/>
    <cellStyle name="$M.00" xfId="17"/>
    <cellStyle name="$M_9. Rev2Cost_GDPIPI" xfId="130"/>
    <cellStyle name="20% - Accent1 2" xfId="93"/>
    <cellStyle name="20% - Accent1 2 2" xfId="154"/>
    <cellStyle name="20% - Accent1 2 3" xfId="209"/>
    <cellStyle name="20% - Accent1 3" xfId="18"/>
    <cellStyle name="20% - Accent2 2" xfId="97"/>
    <cellStyle name="20% - Accent2 2 2" xfId="156"/>
    <cellStyle name="20% - Accent2 2 3" xfId="210"/>
    <cellStyle name="20% - Accent2 3" xfId="19"/>
    <cellStyle name="20% - Accent3 2" xfId="101"/>
    <cellStyle name="20% - Accent3 2 2" xfId="158"/>
    <cellStyle name="20% - Accent3 2 3" xfId="211"/>
    <cellStyle name="20% - Accent3 3" xfId="20"/>
    <cellStyle name="20% - Accent4 2" xfId="105"/>
    <cellStyle name="20% - Accent4 2 2" xfId="160"/>
    <cellStyle name="20% - Accent4 2 3" xfId="212"/>
    <cellStyle name="20% - Accent4 3" xfId="21"/>
    <cellStyle name="20% - Accent5" xfId="207" builtinId="46" customBuiltin="1"/>
    <cellStyle name="20% - Accent5 2" xfId="109"/>
    <cellStyle name="20% - Accent5 2 2" xfId="162"/>
    <cellStyle name="20% - Accent5 3" xfId="22"/>
    <cellStyle name="20% - Accent6 2" xfId="113"/>
    <cellStyle name="20% - Accent6 2 2" xfId="164"/>
    <cellStyle name="20% - Accent6 2 3" xfId="213"/>
    <cellStyle name="20% - Accent6 3" xfId="23"/>
    <cellStyle name="40% - Accent1 2" xfId="94"/>
    <cellStyle name="40% - Accent1 2 2" xfId="155"/>
    <cellStyle name="40% - Accent1 2 3" xfId="214"/>
    <cellStyle name="40% - Accent1 3" xfId="24"/>
    <cellStyle name="40% - Accent2" xfId="205" builtinId="35" customBuiltin="1"/>
    <cellStyle name="40% - Accent2 2" xfId="98"/>
    <cellStyle name="40% - Accent2 2 2" xfId="157"/>
    <cellStyle name="40% - Accent2 3" xfId="25"/>
    <cellStyle name="40% - Accent3 2" xfId="102"/>
    <cellStyle name="40% - Accent3 2 2" xfId="159"/>
    <cellStyle name="40% - Accent3 2 3" xfId="215"/>
    <cellStyle name="40% - Accent3 3" xfId="26"/>
    <cellStyle name="40% - Accent4 2" xfId="106"/>
    <cellStyle name="40% - Accent4 2 2" xfId="161"/>
    <cellStyle name="40% - Accent4 2 3" xfId="216"/>
    <cellStyle name="40% - Accent4 3" xfId="27"/>
    <cellStyle name="40% - Accent5 2" xfId="110"/>
    <cellStyle name="40% - Accent5 2 2" xfId="163"/>
    <cellStyle name="40% - Accent5 2 3" xfId="217"/>
    <cellStyle name="40% - Accent5 3" xfId="28"/>
    <cellStyle name="40% - Accent6 2" xfId="114"/>
    <cellStyle name="40% - Accent6 2 2" xfId="165"/>
    <cellStyle name="40% - Accent6 2 3" xfId="218"/>
    <cellStyle name="40% - Accent6 3" xfId="29"/>
    <cellStyle name="60% - Accent1 2" xfId="95"/>
    <cellStyle name="60% - Accent1 2 2" xfId="219"/>
    <cellStyle name="60% - Accent1 3" xfId="30"/>
    <cellStyle name="60% - Accent2 2" xfId="99"/>
    <cellStyle name="60% - Accent2 2 2" xfId="220"/>
    <cellStyle name="60% - Accent2 3" xfId="31"/>
    <cellStyle name="60% - Accent3 2" xfId="103"/>
    <cellStyle name="60% - Accent3 2 2" xfId="221"/>
    <cellStyle name="60% - Accent3 3" xfId="32"/>
    <cellStyle name="60% - Accent4 2" xfId="107"/>
    <cellStyle name="60% - Accent4 2 2" xfId="222"/>
    <cellStyle name="60% - Accent4 3" xfId="33"/>
    <cellStyle name="60% - Accent5 2" xfId="111"/>
    <cellStyle name="60% - Accent5 2 2" xfId="223"/>
    <cellStyle name="60% - Accent5 3" xfId="34"/>
    <cellStyle name="60% - Accent6 2" xfId="115"/>
    <cellStyle name="60% - Accent6 2 2" xfId="224"/>
    <cellStyle name="60% - Accent6 3" xfId="35"/>
    <cellStyle name="Accent1 2" xfId="92"/>
    <cellStyle name="Accent1 2 2" xfId="225"/>
    <cellStyle name="Accent1 3" xfId="36"/>
    <cellStyle name="Accent2 2" xfId="96"/>
    <cellStyle name="Accent2 2 2" xfId="226"/>
    <cellStyle name="Accent2 3" xfId="37"/>
    <cellStyle name="Accent3 2" xfId="100"/>
    <cellStyle name="Accent3 2 2" xfId="227"/>
    <cellStyle name="Accent3 3" xfId="38"/>
    <cellStyle name="Accent4 2" xfId="104"/>
    <cellStyle name="Accent4 2 2" xfId="228"/>
    <cellStyle name="Accent4 3" xfId="39"/>
    <cellStyle name="Accent5" xfId="206" builtinId="45" customBuiltin="1"/>
    <cellStyle name="Accent5 2" xfId="108"/>
    <cellStyle name="Accent5 3" xfId="40"/>
    <cellStyle name="Accent6 2" xfId="112"/>
    <cellStyle name="Accent6 2 2" xfId="229"/>
    <cellStyle name="Accent6 3" xfId="41"/>
    <cellStyle name="Bad 2" xfId="81"/>
    <cellStyle name="Bad 2 2" xfId="230"/>
    <cellStyle name="Bad 3" xfId="42"/>
    <cellStyle name="Calculation 2" xfId="85"/>
    <cellStyle name="Calculation 2 2" xfId="231"/>
    <cellStyle name="Calculation 3" xfId="43"/>
    <cellStyle name="Check Cell" xfId="202" builtinId="23" customBuiltin="1"/>
    <cellStyle name="Check Cell 2" xfId="87"/>
    <cellStyle name="Check Cell 3" xfId="44"/>
    <cellStyle name="Comma" xfId="1" builtinId="3"/>
    <cellStyle name="Comma 2" xfId="5"/>
    <cellStyle name="Comma 2 2" xfId="117"/>
    <cellStyle name="Comma 2 2 2" xfId="167"/>
    <cellStyle name="Comma 2 3" xfId="233"/>
    <cellStyle name="Comma 2 4" xfId="250"/>
    <cellStyle name="Comma 3" xfId="6"/>
    <cellStyle name="Comma 3 2" xfId="138"/>
    <cellStyle name="Comma 3 2 2" xfId="177"/>
    <cellStyle name="Comma 3 3" xfId="120"/>
    <cellStyle name="Comma 3 3 2" xfId="170"/>
    <cellStyle name="Comma 4" xfId="12"/>
    <cellStyle name="Comma 4 2" xfId="125"/>
    <cellStyle name="Comma 4 2 2" xfId="175"/>
    <cellStyle name="Comma 4 3" xfId="150"/>
    <cellStyle name="Comma 5" xfId="72"/>
    <cellStyle name="Comma 6" xfId="186"/>
    <cellStyle name="Comma 7" xfId="232"/>
    <cellStyle name="Comma_CDM monthly amounts 2" xfId="200"/>
    <cellStyle name="Comma_Horizon 2011 Load Forecast Model  June 25, 2010" xfId="11"/>
    <cellStyle name="Comma0" xfId="7"/>
    <cellStyle name="Comma0 2" xfId="180"/>
    <cellStyle name="Currency 2" xfId="124"/>
    <cellStyle name="Currency 2 2" xfId="174"/>
    <cellStyle name="Currency 3" xfId="140"/>
    <cellStyle name="Currency 4" xfId="73"/>
    <cellStyle name="Currency0" xfId="8"/>
    <cellStyle name="Currency0 2" xfId="181"/>
    <cellStyle name="Date" xfId="9"/>
    <cellStyle name="Date 2" xfId="182"/>
    <cellStyle name="Explanatory Text" xfId="204" builtinId="53" customBuiltin="1"/>
    <cellStyle name="Explanatory Text 2" xfId="90"/>
    <cellStyle name="Explanatory Text 3" xfId="45"/>
    <cellStyle name="Fixed" xfId="10"/>
    <cellStyle name="Fixed 2" xfId="183"/>
    <cellStyle name="Good 2" xfId="80"/>
    <cellStyle name="Good 2 2" xfId="234"/>
    <cellStyle name="Good 3" xfId="46"/>
    <cellStyle name="Grey" xfId="47"/>
    <cellStyle name="Grey 2" xfId="131"/>
    <cellStyle name="Heading 1 2" xfId="76"/>
    <cellStyle name="Heading 1 2 2" xfId="235"/>
    <cellStyle name="Heading 1 3" xfId="48"/>
    <cellStyle name="Heading 2 2" xfId="75"/>
    <cellStyle name="Heading 2 2 2" xfId="237"/>
    <cellStyle name="Heading 2 3" xfId="49"/>
    <cellStyle name="Heading 3 2" xfId="78"/>
    <cellStyle name="Heading 3 2 2" xfId="238"/>
    <cellStyle name="Heading 3 3" xfId="50"/>
    <cellStyle name="Heading 4 2" xfId="79"/>
    <cellStyle name="Heading 4 2 2" xfId="239"/>
    <cellStyle name="Heading 4 3" xfId="51"/>
    <cellStyle name="Input [yellow]" xfId="53"/>
    <cellStyle name="Input [yellow] 2" xfId="132"/>
    <cellStyle name="Input 10" xfId="142"/>
    <cellStyle name="Input 11" xfId="184"/>
    <cellStyle name="Input 12" xfId="179"/>
    <cellStyle name="Input 2" xfId="83"/>
    <cellStyle name="Input 2 2" xfId="240"/>
    <cellStyle name="Input 3" xfId="52"/>
    <cellStyle name="Input 4" xfId="144"/>
    <cellStyle name="Input 5" xfId="143"/>
    <cellStyle name="Input 6" xfId="145"/>
    <cellStyle name="Input 7" xfId="146"/>
    <cellStyle name="Input 8" xfId="147"/>
    <cellStyle name="Input 9" xfId="141"/>
    <cellStyle name="Linked Cell 2" xfId="86"/>
    <cellStyle name="Linked Cell 2 2" xfId="241"/>
    <cellStyle name="Linked Cell 3" xfId="54"/>
    <cellStyle name="M" xfId="55"/>
    <cellStyle name="M.00" xfId="56"/>
    <cellStyle name="M_9. Rev2Cost_GDPIPI" xfId="133"/>
    <cellStyle name="M_lists" xfId="134"/>
    <cellStyle name="M_lists_4. Current Monthly Fixed Charge" xfId="135"/>
    <cellStyle name="M_Sheet4" xfId="136"/>
    <cellStyle name="Neutral 2" xfId="82"/>
    <cellStyle name="Neutral 2 2" xfId="242"/>
    <cellStyle name="Neutral 3" xfId="57"/>
    <cellStyle name="Normal" xfId="0" builtinId="0"/>
    <cellStyle name="Normal - Style1" xfId="58"/>
    <cellStyle name="Normal 10" xfId="199"/>
    <cellStyle name="Normal 11" xfId="208"/>
    <cellStyle name="Normal 12" xfId="236"/>
    <cellStyle name="Normal 13" xfId="255"/>
    <cellStyle name="Normal 14" xfId="249"/>
    <cellStyle name="Normal 2" xfId="4"/>
    <cellStyle name="Normal 2 2" xfId="194"/>
    <cellStyle name="Normal 2 2 2" xfId="256"/>
    <cellStyle name="Normal 2 3" xfId="252"/>
    <cellStyle name="Normal 3" xfId="77"/>
    <cellStyle name="Normal 3 2" xfId="152"/>
    <cellStyle name="Normal 3 3" xfId="196"/>
    <cellStyle name="Normal 3 4" xfId="253"/>
    <cellStyle name="Normal 4" xfId="116"/>
    <cellStyle name="Normal 4 2" xfId="166"/>
    <cellStyle name="Normal 4 3" xfId="197"/>
    <cellStyle name="Normal 5" xfId="119"/>
    <cellStyle name="Normal 5 2" xfId="137"/>
    <cellStyle name="Normal 5 2 2" xfId="176"/>
    <cellStyle name="Normal 5 2 3" xfId="201"/>
    <cellStyle name="Normal 5 2 3 2" xfId="257"/>
    <cellStyle name="Normal 5 3" xfId="169"/>
    <cellStyle name="Normal 6" xfId="122"/>
    <cellStyle name="Normal 6 2" xfId="172"/>
    <cellStyle name="Normal 7" xfId="71"/>
    <cellStyle name="Normal 8" xfId="148"/>
    <cellStyle name="Normal 9" xfId="198"/>
    <cellStyle name="Normal_OEB Trial Balance - Regulatory-July24-07" xfId="59"/>
    <cellStyle name="Normal_Sheet2" xfId="60"/>
    <cellStyle name="Note 2" xfId="89"/>
    <cellStyle name="Note 2 2" xfId="153"/>
    <cellStyle name="Note 2 3" xfId="243"/>
    <cellStyle name="Note 3" xfId="61"/>
    <cellStyle name="Note 3 2" xfId="244"/>
    <cellStyle name="Note 4" xfId="185"/>
    <cellStyle name="Output 2" xfId="84"/>
    <cellStyle name="Output 2 2" xfId="245"/>
    <cellStyle name="Output 3" xfId="62"/>
    <cellStyle name="Percent" xfId="2" builtinId="5"/>
    <cellStyle name="Percent [2]" xfId="63"/>
    <cellStyle name="Percent 10" xfId="192"/>
    <cellStyle name="Percent 11" xfId="193"/>
    <cellStyle name="Percent 12" xfId="246"/>
    <cellStyle name="Percent 13" xfId="254"/>
    <cellStyle name="Percent 14" xfId="251"/>
    <cellStyle name="Percent 2" xfId="13"/>
    <cellStyle name="Percent 2 2" xfId="118"/>
    <cellStyle name="Percent 2 2 2" xfId="168"/>
    <cellStyle name="Percent 2 3" xfId="151"/>
    <cellStyle name="Percent 2 4" xfId="195"/>
    <cellStyle name="Percent 3" xfId="121"/>
    <cellStyle name="Percent 3 2" xfId="139"/>
    <cellStyle name="Percent 3 2 2" xfId="178"/>
    <cellStyle name="Percent 3 3" xfId="171"/>
    <cellStyle name="Percent 4" xfId="123"/>
    <cellStyle name="Percent 4 2" xfId="173"/>
    <cellStyle name="Percent 5" xfId="187"/>
    <cellStyle name="Percent 5 2" xfId="258"/>
    <cellStyle name="Percent 6" xfId="188"/>
    <cellStyle name="Percent 7" xfId="189"/>
    <cellStyle name="Percent 8" xfId="190"/>
    <cellStyle name="Percent 9" xfId="191"/>
    <cellStyle name="Style 23" xfId="3"/>
    <cellStyle name="Style 23 2" xfId="149"/>
    <cellStyle name="STYLE1" xfId="64"/>
    <cellStyle name="STYLE2" xfId="65"/>
    <cellStyle name="STYLE4" xfId="66"/>
    <cellStyle name="Subtotal" xfId="67"/>
    <cellStyle name="Title 2" xfId="74"/>
    <cellStyle name="Title 2 2" xfId="247"/>
    <cellStyle name="Title 3" xfId="68"/>
    <cellStyle name="Total 2" xfId="91"/>
    <cellStyle name="Total 2 2" xfId="248"/>
    <cellStyle name="Total 3" xfId="69"/>
    <cellStyle name="Warning Text" xfId="203" builtinId="11" customBuiltin="1"/>
    <cellStyle name="Warning Text 2" xfId="88"/>
    <cellStyle name="Warning Text 3" xfId="7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Richmond%20Hill/Year%20End/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LDC%20FTY%20-%20LF/CostAlloc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mmaw/Local%20Settings/Temporary%20Internet%20Files/OLKBC/Exhibit%203%20Distribution%20Revenue%20Throughputs%20-%20Blan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PUC%20-%20SSM/2018%20Rates/Settlement/2018%20PUC%20Load%20Forecast%20Model%20Updated%20to%20Include%202017%20Actuals%20VECC%20&#8211;%2047%20b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Users/abelsito.SOOPUCNT/AppData/Local/Microsoft/Windows/Temporary%20Internet%20Files/Content.IE5/USM9H2RH/2006-2010%20Final%20OPA%20CDM%20Results.PUC%20Distribution%20Inc.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PUC%20-%20SSM/2018%20Rates/Settlement/Appendix%202-I%20-%20VECC%2046%20b)_V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lients/PUCDistribution/Documents/Load%20Forecast/PUC%20CDM%202017%20and%202018%20valu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/Richmond%20Hill/Year%20End/RHH96YE_%20MEA%20Statistic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Users/abelsito.SOOPUCNT/AppData/Local/Microsoft/Windows/Temporary%20Internet%20Files/Content.IE5/USM9H2RH/PUC%20persistence%202011-20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bacon/Documents/PUC%20-%20SSM/2018%20Rates/Settlement/Appendix%202-I%20-%20VECC%2046%20b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bbacon/My%20Documents/Lakeland/2013%20Rate%20Appl/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Documents%20and%20Settings/dg/Desktop/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dg/Desktop/Dummy%20Fi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Documents%20and%20Settings/CCalhoun/Local%20Settings/Temporary%20Internet%20Files/Content.Outlook/EIW673TU/Documents%20and%20Settings/dferraro/Local%20Settings/Temporary%20Internet%20Files/OLKB/Dummy%20F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Tennant/Return%20on%20Equity%20and%20WC/RateMak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xtranet.blg.com/CTennant/Return%20on%20Equity%20and%20WC/RateMak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Bacon/My%20Documents/Norfolk/2011%20Rates/Evidence/LDC%20FTY%20-%20LF/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Tables"/>
      <sheetName val="Summary"/>
      <sheetName val="Purchased Power Model"/>
      <sheetName val="Purchased Power Model - WN"/>
      <sheetName val="Rate Class Energy Model"/>
      <sheetName val="Rate Class Customer Model"/>
      <sheetName val="Rate Class Load Model"/>
      <sheetName val="CDM Activity"/>
      <sheetName val="Weather Analysis "/>
      <sheetName val="2018 COP 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>
        <row r="19">
          <cell r="E19">
            <v>3143.043062031812</v>
          </cell>
        </row>
        <row r="20">
          <cell r="F20">
            <v>2816.9208839073553</v>
          </cell>
        </row>
        <row r="21">
          <cell r="G21">
            <v>2275.7043451437339</v>
          </cell>
        </row>
        <row r="22">
          <cell r="H22">
            <v>1707.4160515039262</v>
          </cell>
        </row>
        <row r="23">
          <cell r="I23">
            <v>1777.0375029102195</v>
          </cell>
        </row>
        <row r="24">
          <cell r="E24">
            <v>3143.043062031812</v>
          </cell>
          <cell r="F24">
            <v>5959.9639459391674</v>
          </cell>
          <cell r="G24">
            <v>7763.7009886648812</v>
          </cell>
          <cell r="H24">
            <v>9131.2516910402446</v>
          </cell>
          <cell r="I24">
            <v>7919.7803452491771</v>
          </cell>
          <cell r="J24">
            <v>6681.1801009053634</v>
          </cell>
          <cell r="K24">
            <v>6429.4763711081559</v>
          </cell>
          <cell r="L24">
            <v>6368.2254161085802</v>
          </cell>
          <cell r="M24">
            <v>5978.7486936793266</v>
          </cell>
          <cell r="N24">
            <v>4582.2352244218509</v>
          </cell>
          <cell r="O24">
            <v>3917.5348311292905</v>
          </cell>
          <cell r="P24">
            <v>3161.6515077473391</v>
          </cell>
          <cell r="Q24">
            <v>2827.9805324192521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7">
          <cell r="E37">
            <v>4645200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Summary"/>
    </sheetNames>
    <sheetDataSet>
      <sheetData sheetId="0" refreshError="1"/>
      <sheetData sheetId="1" refreshError="1">
        <row r="5">
          <cell r="B5">
            <v>1400602</v>
          </cell>
          <cell r="C5">
            <v>1189716</v>
          </cell>
        </row>
        <row r="6">
          <cell r="C6">
            <v>802685.14</v>
          </cell>
        </row>
        <row r="7">
          <cell r="C7">
            <v>1921596.8599999999</v>
          </cell>
        </row>
        <row r="9">
          <cell r="B9">
            <v>3375904</v>
          </cell>
          <cell r="C9">
            <v>3913998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2012"/>
      <sheetName val="2013"/>
      <sheetName val="2014"/>
    </sheetNames>
    <sheetDataSet>
      <sheetData sheetId="0">
        <row r="16">
          <cell r="AR16">
            <v>4505.9564656760513</v>
          </cell>
          <cell r="AS16">
            <v>4504.8941876753606</v>
          </cell>
          <cell r="AT16">
            <v>4502.2303731453276</v>
          </cell>
          <cell r="AU16">
            <v>4397.6145816082271</v>
          </cell>
          <cell r="AV16">
            <v>4322.8621504154498</v>
          </cell>
          <cell r="AW16">
            <v>4202.0027482766363</v>
          </cell>
          <cell r="AX16">
            <v>3732.6947559853875</v>
          </cell>
          <cell r="AY16">
            <v>3731.4549377404901</v>
          </cell>
        </row>
      </sheetData>
      <sheetData sheetId="1">
        <row r="27">
          <cell r="AR27">
            <v>2980.2777891996157</v>
          </cell>
          <cell r="AS27">
            <v>3279.0003986098473</v>
          </cell>
          <cell r="AT27">
            <v>3277.4613289978151</v>
          </cell>
          <cell r="AU27">
            <v>3104.8846413279266</v>
          </cell>
          <cell r="AV27">
            <v>3024.8261059490178</v>
          </cell>
          <cell r="AW27">
            <v>2205.1526049126055</v>
          </cell>
          <cell r="AX27">
            <v>2125.8965414986988</v>
          </cell>
        </row>
      </sheetData>
      <sheetData sheetId="2">
        <row r="27">
          <cell r="AS27">
            <v>-53.724248342509952</v>
          </cell>
          <cell r="AT27">
            <v>3572.9712702292891</v>
          </cell>
          <cell r="AU27">
            <v>3513.6936455111559</v>
          </cell>
          <cell r="AV27">
            <v>3484.5802756729527</v>
          </cell>
          <cell r="AW27">
            <v>3136.193008425616</v>
          </cell>
          <cell r="AX27">
            <v>2342.3468957157643</v>
          </cell>
        </row>
      </sheetData>
      <sheetData sheetId="3">
        <row r="33">
          <cell r="AU33">
            <v>3753.3228408311284</v>
          </cell>
          <cell r="AV33">
            <v>3330.7607175311282</v>
          </cell>
          <cell r="AW33">
            <v>3181.9933510311275</v>
          </cell>
          <cell r="AX33">
            <v>2889.8796369311281</v>
          </cell>
          <cell r="AY33">
            <v>2822.5627804336405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4">
          <cell r="B34">
            <v>5408004</v>
          </cell>
          <cell r="C34">
            <v>5354552</v>
          </cell>
          <cell r="D34">
            <v>5348661</v>
          </cell>
          <cell r="E34">
            <v>5344206</v>
          </cell>
        </row>
        <row r="35">
          <cell r="C35">
            <v>10720230</v>
          </cell>
          <cell r="D35">
            <v>10720229</v>
          </cell>
          <cell r="E35">
            <v>10747568</v>
          </cell>
        </row>
        <row r="36">
          <cell r="D36">
            <v>9582028</v>
          </cell>
          <cell r="E36">
            <v>8354534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 refreshError="1">
        <row r="13">
          <cell r="C13">
            <v>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/>
      <sheetData sheetId="6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623"/>
  <sheetViews>
    <sheetView topLeftCell="A166" zoomScale="85" zoomScaleNormal="85" workbookViewId="0">
      <selection activeCell="I182" sqref="I182"/>
    </sheetView>
  </sheetViews>
  <sheetFormatPr defaultRowHeight="15.6" x14ac:dyDescent="0.3"/>
  <cols>
    <col min="1" max="1" width="29.5546875" style="225" customWidth="1"/>
    <col min="2" max="2" width="16" style="225" customWidth="1"/>
    <col min="3" max="3" width="17.5546875" style="225" customWidth="1"/>
    <col min="4" max="4" width="16.44140625" style="225" customWidth="1"/>
    <col min="5" max="5" width="14" style="225" customWidth="1"/>
    <col min="6" max="6" width="14.44140625" style="225" customWidth="1"/>
    <col min="7" max="7" width="13.33203125" style="225" customWidth="1"/>
    <col min="8" max="8" width="13.6640625" style="225" customWidth="1"/>
    <col min="9" max="9" width="17" style="225" customWidth="1"/>
    <col min="10" max="10" width="14.6640625" style="225" bestFit="1" customWidth="1"/>
    <col min="11" max="11" width="39.5546875" style="225" customWidth="1"/>
    <col min="12" max="12" width="13.109375" style="225" customWidth="1"/>
    <col min="13" max="13" width="16" style="225" customWidth="1"/>
    <col min="14" max="16" width="12.77734375" style="225" bestFit="1" customWidth="1"/>
    <col min="17" max="17" width="15.5546875" style="225" customWidth="1"/>
    <col min="18" max="18" width="15.109375" style="225" customWidth="1"/>
    <col min="19" max="19" width="39.109375" style="225" customWidth="1"/>
    <col min="20" max="20" width="10.109375" style="225" customWidth="1"/>
    <col min="21" max="21" width="9.88671875" style="225" customWidth="1"/>
    <col min="22" max="22" width="9.109375" style="225"/>
    <col min="23" max="23" width="14.109375" style="225" customWidth="1"/>
    <col min="24" max="26" width="12.77734375" style="225" bestFit="1" customWidth="1"/>
    <col min="27" max="27" width="12.44140625" style="225" bestFit="1" customWidth="1"/>
    <col min="28" max="28" width="10.21875" style="225" bestFit="1" customWidth="1"/>
    <col min="29" max="29" width="12.44140625" style="225" bestFit="1" customWidth="1"/>
    <col min="30" max="30" width="10.21875" style="225" bestFit="1" customWidth="1"/>
    <col min="31" max="233" width="9.109375" style="225"/>
    <col min="234" max="234" width="26.88671875" style="225" customWidth="1"/>
    <col min="235" max="235" width="0" style="225" hidden="1" customWidth="1"/>
    <col min="236" max="236" width="12.44140625" style="225" customWidth="1"/>
    <col min="237" max="238" width="11.109375" style="225" customWidth="1"/>
    <col min="239" max="239" width="12.109375" style="225" customWidth="1"/>
    <col min="240" max="240" width="14" style="225" customWidth="1"/>
    <col min="241" max="241" width="12.5546875" style="225" customWidth="1"/>
    <col min="242" max="243" width="13.109375" style="225" customWidth="1"/>
    <col min="244" max="245" width="9.109375" style="225"/>
    <col min="246" max="246" width="11" style="225" customWidth="1"/>
    <col min="247" max="489" width="9.109375" style="225"/>
    <col min="490" max="490" width="26.88671875" style="225" customWidth="1"/>
    <col min="491" max="491" width="0" style="225" hidden="1" customWidth="1"/>
    <col min="492" max="492" width="12.44140625" style="225" customWidth="1"/>
    <col min="493" max="494" width="11.109375" style="225" customWidth="1"/>
    <col min="495" max="495" width="12.109375" style="225" customWidth="1"/>
    <col min="496" max="496" width="14" style="225" customWidth="1"/>
    <col min="497" max="497" width="12.5546875" style="225" customWidth="1"/>
    <col min="498" max="499" width="13.109375" style="225" customWidth="1"/>
    <col min="500" max="501" width="9.109375" style="225"/>
    <col min="502" max="502" width="11" style="225" customWidth="1"/>
    <col min="503" max="745" width="9.109375" style="225"/>
    <col min="746" max="746" width="26.88671875" style="225" customWidth="1"/>
    <col min="747" max="747" width="0" style="225" hidden="1" customWidth="1"/>
    <col min="748" max="748" width="12.44140625" style="225" customWidth="1"/>
    <col min="749" max="750" width="11.109375" style="225" customWidth="1"/>
    <col min="751" max="751" width="12.109375" style="225" customWidth="1"/>
    <col min="752" max="752" width="14" style="225" customWidth="1"/>
    <col min="753" max="753" width="12.5546875" style="225" customWidth="1"/>
    <col min="754" max="755" width="13.109375" style="225" customWidth="1"/>
    <col min="756" max="757" width="9.109375" style="225"/>
    <col min="758" max="758" width="11" style="225" customWidth="1"/>
    <col min="759" max="1001" width="9.109375" style="225"/>
    <col min="1002" max="1002" width="26.88671875" style="225" customWidth="1"/>
    <col min="1003" max="1003" width="0" style="225" hidden="1" customWidth="1"/>
    <col min="1004" max="1004" width="12.44140625" style="225" customWidth="1"/>
    <col min="1005" max="1006" width="11.109375" style="225" customWidth="1"/>
    <col min="1007" max="1007" width="12.109375" style="225" customWidth="1"/>
    <col min="1008" max="1008" width="14" style="225" customWidth="1"/>
    <col min="1009" max="1009" width="12.5546875" style="225" customWidth="1"/>
    <col min="1010" max="1011" width="13.109375" style="225" customWidth="1"/>
    <col min="1012" max="1013" width="9.109375" style="225"/>
    <col min="1014" max="1014" width="11" style="225" customWidth="1"/>
    <col min="1015" max="1257" width="9.109375" style="225"/>
    <col min="1258" max="1258" width="26.88671875" style="225" customWidth="1"/>
    <col min="1259" max="1259" width="0" style="225" hidden="1" customWidth="1"/>
    <col min="1260" max="1260" width="12.44140625" style="225" customWidth="1"/>
    <col min="1261" max="1262" width="11.109375" style="225" customWidth="1"/>
    <col min="1263" max="1263" width="12.109375" style="225" customWidth="1"/>
    <col min="1264" max="1264" width="14" style="225" customWidth="1"/>
    <col min="1265" max="1265" width="12.5546875" style="225" customWidth="1"/>
    <col min="1266" max="1267" width="13.109375" style="225" customWidth="1"/>
    <col min="1268" max="1269" width="9.109375" style="225"/>
    <col min="1270" max="1270" width="11" style="225" customWidth="1"/>
    <col min="1271" max="1513" width="9.109375" style="225"/>
    <col min="1514" max="1514" width="26.88671875" style="225" customWidth="1"/>
    <col min="1515" max="1515" width="0" style="225" hidden="1" customWidth="1"/>
    <col min="1516" max="1516" width="12.44140625" style="225" customWidth="1"/>
    <col min="1517" max="1518" width="11.109375" style="225" customWidth="1"/>
    <col min="1519" max="1519" width="12.109375" style="225" customWidth="1"/>
    <col min="1520" max="1520" width="14" style="225" customWidth="1"/>
    <col min="1521" max="1521" width="12.5546875" style="225" customWidth="1"/>
    <col min="1522" max="1523" width="13.109375" style="225" customWidth="1"/>
    <col min="1524" max="1525" width="9.109375" style="225"/>
    <col min="1526" max="1526" width="11" style="225" customWidth="1"/>
    <col min="1527" max="1769" width="9.109375" style="225"/>
    <col min="1770" max="1770" width="26.88671875" style="225" customWidth="1"/>
    <col min="1771" max="1771" width="0" style="225" hidden="1" customWidth="1"/>
    <col min="1772" max="1772" width="12.44140625" style="225" customWidth="1"/>
    <col min="1773" max="1774" width="11.109375" style="225" customWidth="1"/>
    <col min="1775" max="1775" width="12.109375" style="225" customWidth="1"/>
    <col min="1776" max="1776" width="14" style="225" customWidth="1"/>
    <col min="1777" max="1777" width="12.5546875" style="225" customWidth="1"/>
    <col min="1778" max="1779" width="13.109375" style="225" customWidth="1"/>
    <col min="1780" max="1781" width="9.109375" style="225"/>
    <col min="1782" max="1782" width="11" style="225" customWidth="1"/>
    <col min="1783" max="2025" width="9.109375" style="225"/>
    <col min="2026" max="2026" width="26.88671875" style="225" customWidth="1"/>
    <col min="2027" max="2027" width="0" style="225" hidden="1" customWidth="1"/>
    <col min="2028" max="2028" width="12.44140625" style="225" customWidth="1"/>
    <col min="2029" max="2030" width="11.109375" style="225" customWidth="1"/>
    <col min="2031" max="2031" width="12.109375" style="225" customWidth="1"/>
    <col min="2032" max="2032" width="14" style="225" customWidth="1"/>
    <col min="2033" max="2033" width="12.5546875" style="225" customWidth="1"/>
    <col min="2034" max="2035" width="13.109375" style="225" customWidth="1"/>
    <col min="2036" max="2037" width="9.109375" style="225"/>
    <col min="2038" max="2038" width="11" style="225" customWidth="1"/>
    <col min="2039" max="2281" width="9.109375" style="225"/>
    <col min="2282" max="2282" width="26.88671875" style="225" customWidth="1"/>
    <col min="2283" max="2283" width="0" style="225" hidden="1" customWidth="1"/>
    <col min="2284" max="2284" width="12.44140625" style="225" customWidth="1"/>
    <col min="2285" max="2286" width="11.109375" style="225" customWidth="1"/>
    <col min="2287" max="2287" width="12.109375" style="225" customWidth="1"/>
    <col min="2288" max="2288" width="14" style="225" customWidth="1"/>
    <col min="2289" max="2289" width="12.5546875" style="225" customWidth="1"/>
    <col min="2290" max="2291" width="13.109375" style="225" customWidth="1"/>
    <col min="2292" max="2293" width="9.109375" style="225"/>
    <col min="2294" max="2294" width="11" style="225" customWidth="1"/>
    <col min="2295" max="2537" width="9.109375" style="225"/>
    <col min="2538" max="2538" width="26.88671875" style="225" customWidth="1"/>
    <col min="2539" max="2539" width="0" style="225" hidden="1" customWidth="1"/>
    <col min="2540" max="2540" width="12.44140625" style="225" customWidth="1"/>
    <col min="2541" max="2542" width="11.109375" style="225" customWidth="1"/>
    <col min="2543" max="2543" width="12.109375" style="225" customWidth="1"/>
    <col min="2544" max="2544" width="14" style="225" customWidth="1"/>
    <col min="2545" max="2545" width="12.5546875" style="225" customWidth="1"/>
    <col min="2546" max="2547" width="13.109375" style="225" customWidth="1"/>
    <col min="2548" max="2549" width="9.109375" style="225"/>
    <col min="2550" max="2550" width="11" style="225" customWidth="1"/>
    <col min="2551" max="2793" width="9.109375" style="225"/>
    <col min="2794" max="2794" width="26.88671875" style="225" customWidth="1"/>
    <col min="2795" max="2795" width="0" style="225" hidden="1" customWidth="1"/>
    <col min="2796" max="2796" width="12.44140625" style="225" customWidth="1"/>
    <col min="2797" max="2798" width="11.109375" style="225" customWidth="1"/>
    <col min="2799" max="2799" width="12.109375" style="225" customWidth="1"/>
    <col min="2800" max="2800" width="14" style="225" customWidth="1"/>
    <col min="2801" max="2801" width="12.5546875" style="225" customWidth="1"/>
    <col min="2802" max="2803" width="13.109375" style="225" customWidth="1"/>
    <col min="2804" max="2805" width="9.109375" style="225"/>
    <col min="2806" max="2806" width="11" style="225" customWidth="1"/>
    <col min="2807" max="3049" width="9.109375" style="225"/>
    <col min="3050" max="3050" width="26.88671875" style="225" customWidth="1"/>
    <col min="3051" max="3051" width="0" style="225" hidden="1" customWidth="1"/>
    <col min="3052" max="3052" width="12.44140625" style="225" customWidth="1"/>
    <col min="3053" max="3054" width="11.109375" style="225" customWidth="1"/>
    <col min="3055" max="3055" width="12.109375" style="225" customWidth="1"/>
    <col min="3056" max="3056" width="14" style="225" customWidth="1"/>
    <col min="3057" max="3057" width="12.5546875" style="225" customWidth="1"/>
    <col min="3058" max="3059" width="13.109375" style="225" customWidth="1"/>
    <col min="3060" max="3061" width="9.109375" style="225"/>
    <col min="3062" max="3062" width="11" style="225" customWidth="1"/>
    <col min="3063" max="3305" width="9.109375" style="225"/>
    <col min="3306" max="3306" width="26.88671875" style="225" customWidth="1"/>
    <col min="3307" max="3307" width="0" style="225" hidden="1" customWidth="1"/>
    <col min="3308" max="3308" width="12.44140625" style="225" customWidth="1"/>
    <col min="3309" max="3310" width="11.109375" style="225" customWidth="1"/>
    <col min="3311" max="3311" width="12.109375" style="225" customWidth="1"/>
    <col min="3312" max="3312" width="14" style="225" customWidth="1"/>
    <col min="3313" max="3313" width="12.5546875" style="225" customWidth="1"/>
    <col min="3314" max="3315" width="13.109375" style="225" customWidth="1"/>
    <col min="3316" max="3317" width="9.109375" style="225"/>
    <col min="3318" max="3318" width="11" style="225" customWidth="1"/>
    <col min="3319" max="3561" width="9.109375" style="225"/>
    <col min="3562" max="3562" width="26.88671875" style="225" customWidth="1"/>
    <col min="3563" max="3563" width="0" style="225" hidden="1" customWidth="1"/>
    <col min="3564" max="3564" width="12.44140625" style="225" customWidth="1"/>
    <col min="3565" max="3566" width="11.109375" style="225" customWidth="1"/>
    <col min="3567" max="3567" width="12.109375" style="225" customWidth="1"/>
    <col min="3568" max="3568" width="14" style="225" customWidth="1"/>
    <col min="3569" max="3569" width="12.5546875" style="225" customWidth="1"/>
    <col min="3570" max="3571" width="13.109375" style="225" customWidth="1"/>
    <col min="3572" max="3573" width="9.109375" style="225"/>
    <col min="3574" max="3574" width="11" style="225" customWidth="1"/>
    <col min="3575" max="3817" width="9.109375" style="225"/>
    <col min="3818" max="3818" width="26.88671875" style="225" customWidth="1"/>
    <col min="3819" max="3819" width="0" style="225" hidden="1" customWidth="1"/>
    <col min="3820" max="3820" width="12.44140625" style="225" customWidth="1"/>
    <col min="3821" max="3822" width="11.109375" style="225" customWidth="1"/>
    <col min="3823" max="3823" width="12.109375" style="225" customWidth="1"/>
    <col min="3824" max="3824" width="14" style="225" customWidth="1"/>
    <col min="3825" max="3825" width="12.5546875" style="225" customWidth="1"/>
    <col min="3826" max="3827" width="13.109375" style="225" customWidth="1"/>
    <col min="3828" max="3829" width="9.109375" style="225"/>
    <col min="3830" max="3830" width="11" style="225" customWidth="1"/>
    <col min="3831" max="4073" width="9.109375" style="225"/>
    <col min="4074" max="4074" width="26.88671875" style="225" customWidth="1"/>
    <col min="4075" max="4075" width="0" style="225" hidden="1" customWidth="1"/>
    <col min="4076" max="4076" width="12.44140625" style="225" customWidth="1"/>
    <col min="4077" max="4078" width="11.109375" style="225" customWidth="1"/>
    <col min="4079" max="4079" width="12.109375" style="225" customWidth="1"/>
    <col min="4080" max="4080" width="14" style="225" customWidth="1"/>
    <col min="4081" max="4081" width="12.5546875" style="225" customWidth="1"/>
    <col min="4082" max="4083" width="13.109375" style="225" customWidth="1"/>
    <col min="4084" max="4085" width="9.109375" style="225"/>
    <col min="4086" max="4086" width="11" style="225" customWidth="1"/>
    <col min="4087" max="4329" width="9.109375" style="225"/>
    <col min="4330" max="4330" width="26.88671875" style="225" customWidth="1"/>
    <col min="4331" max="4331" width="0" style="225" hidden="1" customWidth="1"/>
    <col min="4332" max="4332" width="12.44140625" style="225" customWidth="1"/>
    <col min="4333" max="4334" width="11.109375" style="225" customWidth="1"/>
    <col min="4335" max="4335" width="12.109375" style="225" customWidth="1"/>
    <col min="4336" max="4336" width="14" style="225" customWidth="1"/>
    <col min="4337" max="4337" width="12.5546875" style="225" customWidth="1"/>
    <col min="4338" max="4339" width="13.109375" style="225" customWidth="1"/>
    <col min="4340" max="4341" width="9.109375" style="225"/>
    <col min="4342" max="4342" width="11" style="225" customWidth="1"/>
    <col min="4343" max="4585" width="9.109375" style="225"/>
    <col min="4586" max="4586" width="26.88671875" style="225" customWidth="1"/>
    <col min="4587" max="4587" width="0" style="225" hidden="1" customWidth="1"/>
    <col min="4588" max="4588" width="12.44140625" style="225" customWidth="1"/>
    <col min="4589" max="4590" width="11.109375" style="225" customWidth="1"/>
    <col min="4591" max="4591" width="12.109375" style="225" customWidth="1"/>
    <col min="4592" max="4592" width="14" style="225" customWidth="1"/>
    <col min="4593" max="4593" width="12.5546875" style="225" customWidth="1"/>
    <col min="4594" max="4595" width="13.109375" style="225" customWidth="1"/>
    <col min="4596" max="4597" width="9.109375" style="225"/>
    <col min="4598" max="4598" width="11" style="225" customWidth="1"/>
    <col min="4599" max="4841" width="9.109375" style="225"/>
    <col min="4842" max="4842" width="26.88671875" style="225" customWidth="1"/>
    <col min="4843" max="4843" width="0" style="225" hidden="1" customWidth="1"/>
    <col min="4844" max="4844" width="12.44140625" style="225" customWidth="1"/>
    <col min="4845" max="4846" width="11.109375" style="225" customWidth="1"/>
    <col min="4847" max="4847" width="12.109375" style="225" customWidth="1"/>
    <col min="4848" max="4848" width="14" style="225" customWidth="1"/>
    <col min="4849" max="4849" width="12.5546875" style="225" customWidth="1"/>
    <col min="4850" max="4851" width="13.109375" style="225" customWidth="1"/>
    <col min="4852" max="4853" width="9.109375" style="225"/>
    <col min="4854" max="4854" width="11" style="225" customWidth="1"/>
    <col min="4855" max="5097" width="9.109375" style="225"/>
    <col min="5098" max="5098" width="26.88671875" style="225" customWidth="1"/>
    <col min="5099" max="5099" width="0" style="225" hidden="1" customWidth="1"/>
    <col min="5100" max="5100" width="12.44140625" style="225" customWidth="1"/>
    <col min="5101" max="5102" width="11.109375" style="225" customWidth="1"/>
    <col min="5103" max="5103" width="12.109375" style="225" customWidth="1"/>
    <col min="5104" max="5104" width="14" style="225" customWidth="1"/>
    <col min="5105" max="5105" width="12.5546875" style="225" customWidth="1"/>
    <col min="5106" max="5107" width="13.109375" style="225" customWidth="1"/>
    <col min="5108" max="5109" width="9.109375" style="225"/>
    <col min="5110" max="5110" width="11" style="225" customWidth="1"/>
    <col min="5111" max="5353" width="9.109375" style="225"/>
    <col min="5354" max="5354" width="26.88671875" style="225" customWidth="1"/>
    <col min="5355" max="5355" width="0" style="225" hidden="1" customWidth="1"/>
    <col min="5356" max="5356" width="12.44140625" style="225" customWidth="1"/>
    <col min="5357" max="5358" width="11.109375" style="225" customWidth="1"/>
    <col min="5359" max="5359" width="12.109375" style="225" customWidth="1"/>
    <col min="5360" max="5360" width="14" style="225" customWidth="1"/>
    <col min="5361" max="5361" width="12.5546875" style="225" customWidth="1"/>
    <col min="5362" max="5363" width="13.109375" style="225" customWidth="1"/>
    <col min="5364" max="5365" width="9.109375" style="225"/>
    <col min="5366" max="5366" width="11" style="225" customWidth="1"/>
    <col min="5367" max="5609" width="9.109375" style="225"/>
    <col min="5610" max="5610" width="26.88671875" style="225" customWidth="1"/>
    <col min="5611" max="5611" width="0" style="225" hidden="1" customWidth="1"/>
    <col min="5612" max="5612" width="12.44140625" style="225" customWidth="1"/>
    <col min="5613" max="5614" width="11.109375" style="225" customWidth="1"/>
    <col min="5615" max="5615" width="12.109375" style="225" customWidth="1"/>
    <col min="5616" max="5616" width="14" style="225" customWidth="1"/>
    <col min="5617" max="5617" width="12.5546875" style="225" customWidth="1"/>
    <col min="5618" max="5619" width="13.109375" style="225" customWidth="1"/>
    <col min="5620" max="5621" width="9.109375" style="225"/>
    <col min="5622" max="5622" width="11" style="225" customWidth="1"/>
    <col min="5623" max="5865" width="9.109375" style="225"/>
    <col min="5866" max="5866" width="26.88671875" style="225" customWidth="1"/>
    <col min="5867" max="5867" width="0" style="225" hidden="1" customWidth="1"/>
    <col min="5868" max="5868" width="12.44140625" style="225" customWidth="1"/>
    <col min="5869" max="5870" width="11.109375" style="225" customWidth="1"/>
    <col min="5871" max="5871" width="12.109375" style="225" customWidth="1"/>
    <col min="5872" max="5872" width="14" style="225" customWidth="1"/>
    <col min="5873" max="5873" width="12.5546875" style="225" customWidth="1"/>
    <col min="5874" max="5875" width="13.109375" style="225" customWidth="1"/>
    <col min="5876" max="5877" width="9.109375" style="225"/>
    <col min="5878" max="5878" width="11" style="225" customWidth="1"/>
    <col min="5879" max="6121" width="9.109375" style="225"/>
    <col min="6122" max="6122" width="26.88671875" style="225" customWidth="1"/>
    <col min="6123" max="6123" width="0" style="225" hidden="1" customWidth="1"/>
    <col min="6124" max="6124" width="12.44140625" style="225" customWidth="1"/>
    <col min="6125" max="6126" width="11.109375" style="225" customWidth="1"/>
    <col min="6127" max="6127" width="12.109375" style="225" customWidth="1"/>
    <col min="6128" max="6128" width="14" style="225" customWidth="1"/>
    <col min="6129" max="6129" width="12.5546875" style="225" customWidth="1"/>
    <col min="6130" max="6131" width="13.109375" style="225" customWidth="1"/>
    <col min="6132" max="6133" width="9.109375" style="225"/>
    <col min="6134" max="6134" width="11" style="225" customWidth="1"/>
    <col min="6135" max="6377" width="9.109375" style="225"/>
    <col min="6378" max="6378" width="26.88671875" style="225" customWidth="1"/>
    <col min="6379" max="6379" width="0" style="225" hidden="1" customWidth="1"/>
    <col min="6380" max="6380" width="12.44140625" style="225" customWidth="1"/>
    <col min="6381" max="6382" width="11.109375" style="225" customWidth="1"/>
    <col min="6383" max="6383" width="12.109375" style="225" customWidth="1"/>
    <col min="6384" max="6384" width="14" style="225" customWidth="1"/>
    <col min="6385" max="6385" width="12.5546875" style="225" customWidth="1"/>
    <col min="6386" max="6387" width="13.109375" style="225" customWidth="1"/>
    <col min="6388" max="6389" width="9.109375" style="225"/>
    <col min="6390" max="6390" width="11" style="225" customWidth="1"/>
    <col min="6391" max="6633" width="9.109375" style="225"/>
    <col min="6634" max="6634" width="26.88671875" style="225" customWidth="1"/>
    <col min="6635" max="6635" width="0" style="225" hidden="1" customWidth="1"/>
    <col min="6636" max="6636" width="12.44140625" style="225" customWidth="1"/>
    <col min="6637" max="6638" width="11.109375" style="225" customWidth="1"/>
    <col min="6639" max="6639" width="12.109375" style="225" customWidth="1"/>
    <col min="6640" max="6640" width="14" style="225" customWidth="1"/>
    <col min="6641" max="6641" width="12.5546875" style="225" customWidth="1"/>
    <col min="6642" max="6643" width="13.109375" style="225" customWidth="1"/>
    <col min="6644" max="6645" width="9.109375" style="225"/>
    <col min="6646" max="6646" width="11" style="225" customWidth="1"/>
    <col min="6647" max="6889" width="9.109375" style="225"/>
    <col min="6890" max="6890" width="26.88671875" style="225" customWidth="1"/>
    <col min="6891" max="6891" width="0" style="225" hidden="1" customWidth="1"/>
    <col min="6892" max="6892" width="12.44140625" style="225" customWidth="1"/>
    <col min="6893" max="6894" width="11.109375" style="225" customWidth="1"/>
    <col min="6895" max="6895" width="12.109375" style="225" customWidth="1"/>
    <col min="6896" max="6896" width="14" style="225" customWidth="1"/>
    <col min="6897" max="6897" width="12.5546875" style="225" customWidth="1"/>
    <col min="6898" max="6899" width="13.109375" style="225" customWidth="1"/>
    <col min="6900" max="6901" width="9.109375" style="225"/>
    <col min="6902" max="6902" width="11" style="225" customWidth="1"/>
    <col min="6903" max="7145" width="9.109375" style="225"/>
    <col min="7146" max="7146" width="26.88671875" style="225" customWidth="1"/>
    <col min="7147" max="7147" width="0" style="225" hidden="1" customWidth="1"/>
    <col min="7148" max="7148" width="12.44140625" style="225" customWidth="1"/>
    <col min="7149" max="7150" width="11.109375" style="225" customWidth="1"/>
    <col min="7151" max="7151" width="12.109375" style="225" customWidth="1"/>
    <col min="7152" max="7152" width="14" style="225" customWidth="1"/>
    <col min="7153" max="7153" width="12.5546875" style="225" customWidth="1"/>
    <col min="7154" max="7155" width="13.109375" style="225" customWidth="1"/>
    <col min="7156" max="7157" width="9.109375" style="225"/>
    <col min="7158" max="7158" width="11" style="225" customWidth="1"/>
    <col min="7159" max="7401" width="9.109375" style="225"/>
    <col min="7402" max="7402" width="26.88671875" style="225" customWidth="1"/>
    <col min="7403" max="7403" width="0" style="225" hidden="1" customWidth="1"/>
    <col min="7404" max="7404" width="12.44140625" style="225" customWidth="1"/>
    <col min="7405" max="7406" width="11.109375" style="225" customWidth="1"/>
    <col min="7407" max="7407" width="12.109375" style="225" customWidth="1"/>
    <col min="7408" max="7408" width="14" style="225" customWidth="1"/>
    <col min="7409" max="7409" width="12.5546875" style="225" customWidth="1"/>
    <col min="7410" max="7411" width="13.109375" style="225" customWidth="1"/>
    <col min="7412" max="7413" width="9.109375" style="225"/>
    <col min="7414" max="7414" width="11" style="225" customWidth="1"/>
    <col min="7415" max="7657" width="9.109375" style="225"/>
    <col min="7658" max="7658" width="26.88671875" style="225" customWidth="1"/>
    <col min="7659" max="7659" width="0" style="225" hidden="1" customWidth="1"/>
    <col min="7660" max="7660" width="12.44140625" style="225" customWidth="1"/>
    <col min="7661" max="7662" width="11.109375" style="225" customWidth="1"/>
    <col min="7663" max="7663" width="12.109375" style="225" customWidth="1"/>
    <col min="7664" max="7664" width="14" style="225" customWidth="1"/>
    <col min="7665" max="7665" width="12.5546875" style="225" customWidth="1"/>
    <col min="7666" max="7667" width="13.109375" style="225" customWidth="1"/>
    <col min="7668" max="7669" width="9.109375" style="225"/>
    <col min="7670" max="7670" width="11" style="225" customWidth="1"/>
    <col min="7671" max="7913" width="9.109375" style="225"/>
    <col min="7914" max="7914" width="26.88671875" style="225" customWidth="1"/>
    <col min="7915" max="7915" width="0" style="225" hidden="1" customWidth="1"/>
    <col min="7916" max="7916" width="12.44140625" style="225" customWidth="1"/>
    <col min="7917" max="7918" width="11.109375" style="225" customWidth="1"/>
    <col min="7919" max="7919" width="12.109375" style="225" customWidth="1"/>
    <col min="7920" max="7920" width="14" style="225" customWidth="1"/>
    <col min="7921" max="7921" width="12.5546875" style="225" customWidth="1"/>
    <col min="7922" max="7923" width="13.109375" style="225" customWidth="1"/>
    <col min="7924" max="7925" width="9.109375" style="225"/>
    <col min="7926" max="7926" width="11" style="225" customWidth="1"/>
    <col min="7927" max="8169" width="9.109375" style="225"/>
    <col min="8170" max="8170" width="26.88671875" style="225" customWidth="1"/>
    <col min="8171" max="8171" width="0" style="225" hidden="1" customWidth="1"/>
    <col min="8172" max="8172" width="12.44140625" style="225" customWidth="1"/>
    <col min="8173" max="8174" width="11.109375" style="225" customWidth="1"/>
    <col min="8175" max="8175" width="12.109375" style="225" customWidth="1"/>
    <col min="8176" max="8176" width="14" style="225" customWidth="1"/>
    <col min="8177" max="8177" width="12.5546875" style="225" customWidth="1"/>
    <col min="8178" max="8179" width="13.109375" style="225" customWidth="1"/>
    <col min="8180" max="8181" width="9.109375" style="225"/>
    <col min="8182" max="8182" width="11" style="225" customWidth="1"/>
    <col min="8183" max="8425" width="9.109375" style="225"/>
    <col min="8426" max="8426" width="26.88671875" style="225" customWidth="1"/>
    <col min="8427" max="8427" width="0" style="225" hidden="1" customWidth="1"/>
    <col min="8428" max="8428" width="12.44140625" style="225" customWidth="1"/>
    <col min="8429" max="8430" width="11.109375" style="225" customWidth="1"/>
    <col min="8431" max="8431" width="12.109375" style="225" customWidth="1"/>
    <col min="8432" max="8432" width="14" style="225" customWidth="1"/>
    <col min="8433" max="8433" width="12.5546875" style="225" customWidth="1"/>
    <col min="8434" max="8435" width="13.109375" style="225" customWidth="1"/>
    <col min="8436" max="8437" width="9.109375" style="225"/>
    <col min="8438" max="8438" width="11" style="225" customWidth="1"/>
    <col min="8439" max="8681" width="9.109375" style="225"/>
    <col min="8682" max="8682" width="26.88671875" style="225" customWidth="1"/>
    <col min="8683" max="8683" width="0" style="225" hidden="1" customWidth="1"/>
    <col min="8684" max="8684" width="12.44140625" style="225" customWidth="1"/>
    <col min="8685" max="8686" width="11.109375" style="225" customWidth="1"/>
    <col min="8687" max="8687" width="12.109375" style="225" customWidth="1"/>
    <col min="8688" max="8688" width="14" style="225" customWidth="1"/>
    <col min="8689" max="8689" width="12.5546875" style="225" customWidth="1"/>
    <col min="8690" max="8691" width="13.109375" style="225" customWidth="1"/>
    <col min="8692" max="8693" width="9.109375" style="225"/>
    <col min="8694" max="8694" width="11" style="225" customWidth="1"/>
    <col min="8695" max="8937" width="9.109375" style="225"/>
    <col min="8938" max="8938" width="26.88671875" style="225" customWidth="1"/>
    <col min="8939" max="8939" width="0" style="225" hidden="1" customWidth="1"/>
    <col min="8940" max="8940" width="12.44140625" style="225" customWidth="1"/>
    <col min="8941" max="8942" width="11.109375" style="225" customWidth="1"/>
    <col min="8943" max="8943" width="12.109375" style="225" customWidth="1"/>
    <col min="8944" max="8944" width="14" style="225" customWidth="1"/>
    <col min="8945" max="8945" width="12.5546875" style="225" customWidth="1"/>
    <col min="8946" max="8947" width="13.109375" style="225" customWidth="1"/>
    <col min="8948" max="8949" width="9.109375" style="225"/>
    <col min="8950" max="8950" width="11" style="225" customWidth="1"/>
    <col min="8951" max="9193" width="9.109375" style="225"/>
    <col min="9194" max="9194" width="26.88671875" style="225" customWidth="1"/>
    <col min="9195" max="9195" width="0" style="225" hidden="1" customWidth="1"/>
    <col min="9196" max="9196" width="12.44140625" style="225" customWidth="1"/>
    <col min="9197" max="9198" width="11.109375" style="225" customWidth="1"/>
    <col min="9199" max="9199" width="12.109375" style="225" customWidth="1"/>
    <col min="9200" max="9200" width="14" style="225" customWidth="1"/>
    <col min="9201" max="9201" width="12.5546875" style="225" customWidth="1"/>
    <col min="9202" max="9203" width="13.109375" style="225" customWidth="1"/>
    <col min="9204" max="9205" width="9.109375" style="225"/>
    <col min="9206" max="9206" width="11" style="225" customWidth="1"/>
    <col min="9207" max="9449" width="9.109375" style="225"/>
    <col min="9450" max="9450" width="26.88671875" style="225" customWidth="1"/>
    <col min="9451" max="9451" width="0" style="225" hidden="1" customWidth="1"/>
    <col min="9452" max="9452" width="12.44140625" style="225" customWidth="1"/>
    <col min="9453" max="9454" width="11.109375" style="225" customWidth="1"/>
    <col min="9455" max="9455" width="12.109375" style="225" customWidth="1"/>
    <col min="9456" max="9456" width="14" style="225" customWidth="1"/>
    <col min="9457" max="9457" width="12.5546875" style="225" customWidth="1"/>
    <col min="9458" max="9459" width="13.109375" style="225" customWidth="1"/>
    <col min="9460" max="9461" width="9.109375" style="225"/>
    <col min="9462" max="9462" width="11" style="225" customWidth="1"/>
    <col min="9463" max="9705" width="9.109375" style="225"/>
    <col min="9706" max="9706" width="26.88671875" style="225" customWidth="1"/>
    <col min="9707" max="9707" width="0" style="225" hidden="1" customWidth="1"/>
    <col min="9708" max="9708" width="12.44140625" style="225" customWidth="1"/>
    <col min="9709" max="9710" width="11.109375" style="225" customWidth="1"/>
    <col min="9711" max="9711" width="12.109375" style="225" customWidth="1"/>
    <col min="9712" max="9712" width="14" style="225" customWidth="1"/>
    <col min="9713" max="9713" width="12.5546875" style="225" customWidth="1"/>
    <col min="9714" max="9715" width="13.109375" style="225" customWidth="1"/>
    <col min="9716" max="9717" width="9.109375" style="225"/>
    <col min="9718" max="9718" width="11" style="225" customWidth="1"/>
    <col min="9719" max="9961" width="9.109375" style="225"/>
    <col min="9962" max="9962" width="26.88671875" style="225" customWidth="1"/>
    <col min="9963" max="9963" width="0" style="225" hidden="1" customWidth="1"/>
    <col min="9964" max="9964" width="12.44140625" style="225" customWidth="1"/>
    <col min="9965" max="9966" width="11.109375" style="225" customWidth="1"/>
    <col min="9967" max="9967" width="12.109375" style="225" customWidth="1"/>
    <col min="9968" max="9968" width="14" style="225" customWidth="1"/>
    <col min="9969" max="9969" width="12.5546875" style="225" customWidth="1"/>
    <col min="9970" max="9971" width="13.109375" style="225" customWidth="1"/>
    <col min="9972" max="9973" width="9.109375" style="225"/>
    <col min="9974" max="9974" width="11" style="225" customWidth="1"/>
    <col min="9975" max="10217" width="9.109375" style="225"/>
    <col min="10218" max="10218" width="26.88671875" style="225" customWidth="1"/>
    <col min="10219" max="10219" width="0" style="225" hidden="1" customWidth="1"/>
    <col min="10220" max="10220" width="12.44140625" style="225" customWidth="1"/>
    <col min="10221" max="10222" width="11.109375" style="225" customWidth="1"/>
    <col min="10223" max="10223" width="12.109375" style="225" customWidth="1"/>
    <col min="10224" max="10224" width="14" style="225" customWidth="1"/>
    <col min="10225" max="10225" width="12.5546875" style="225" customWidth="1"/>
    <col min="10226" max="10227" width="13.109375" style="225" customWidth="1"/>
    <col min="10228" max="10229" width="9.109375" style="225"/>
    <col min="10230" max="10230" width="11" style="225" customWidth="1"/>
    <col min="10231" max="10473" width="9.109375" style="225"/>
    <col min="10474" max="10474" width="26.88671875" style="225" customWidth="1"/>
    <col min="10475" max="10475" width="0" style="225" hidden="1" customWidth="1"/>
    <col min="10476" max="10476" width="12.44140625" style="225" customWidth="1"/>
    <col min="10477" max="10478" width="11.109375" style="225" customWidth="1"/>
    <col min="10479" max="10479" width="12.109375" style="225" customWidth="1"/>
    <col min="10480" max="10480" width="14" style="225" customWidth="1"/>
    <col min="10481" max="10481" width="12.5546875" style="225" customWidth="1"/>
    <col min="10482" max="10483" width="13.109375" style="225" customWidth="1"/>
    <col min="10484" max="10485" width="9.109375" style="225"/>
    <col min="10486" max="10486" width="11" style="225" customWidth="1"/>
    <col min="10487" max="10729" width="9.109375" style="225"/>
    <col min="10730" max="10730" width="26.88671875" style="225" customWidth="1"/>
    <col min="10731" max="10731" width="0" style="225" hidden="1" customWidth="1"/>
    <col min="10732" max="10732" width="12.44140625" style="225" customWidth="1"/>
    <col min="10733" max="10734" width="11.109375" style="225" customWidth="1"/>
    <col min="10735" max="10735" width="12.109375" style="225" customWidth="1"/>
    <col min="10736" max="10736" width="14" style="225" customWidth="1"/>
    <col min="10737" max="10737" width="12.5546875" style="225" customWidth="1"/>
    <col min="10738" max="10739" width="13.109375" style="225" customWidth="1"/>
    <col min="10740" max="10741" width="9.109375" style="225"/>
    <col min="10742" max="10742" width="11" style="225" customWidth="1"/>
    <col min="10743" max="10985" width="9.109375" style="225"/>
    <col min="10986" max="10986" width="26.88671875" style="225" customWidth="1"/>
    <col min="10987" max="10987" width="0" style="225" hidden="1" customWidth="1"/>
    <col min="10988" max="10988" width="12.44140625" style="225" customWidth="1"/>
    <col min="10989" max="10990" width="11.109375" style="225" customWidth="1"/>
    <col min="10991" max="10991" width="12.109375" style="225" customWidth="1"/>
    <col min="10992" max="10992" width="14" style="225" customWidth="1"/>
    <col min="10993" max="10993" width="12.5546875" style="225" customWidth="1"/>
    <col min="10994" max="10995" width="13.109375" style="225" customWidth="1"/>
    <col min="10996" max="10997" width="9.109375" style="225"/>
    <col min="10998" max="10998" width="11" style="225" customWidth="1"/>
    <col min="10999" max="11241" width="9.109375" style="225"/>
    <col min="11242" max="11242" width="26.88671875" style="225" customWidth="1"/>
    <col min="11243" max="11243" width="0" style="225" hidden="1" customWidth="1"/>
    <col min="11244" max="11244" width="12.44140625" style="225" customWidth="1"/>
    <col min="11245" max="11246" width="11.109375" style="225" customWidth="1"/>
    <col min="11247" max="11247" width="12.109375" style="225" customWidth="1"/>
    <col min="11248" max="11248" width="14" style="225" customWidth="1"/>
    <col min="11249" max="11249" width="12.5546875" style="225" customWidth="1"/>
    <col min="11250" max="11251" width="13.109375" style="225" customWidth="1"/>
    <col min="11252" max="11253" width="9.109375" style="225"/>
    <col min="11254" max="11254" width="11" style="225" customWidth="1"/>
    <col min="11255" max="11497" width="9.109375" style="225"/>
    <col min="11498" max="11498" width="26.88671875" style="225" customWidth="1"/>
    <col min="11499" max="11499" width="0" style="225" hidden="1" customWidth="1"/>
    <col min="11500" max="11500" width="12.44140625" style="225" customWidth="1"/>
    <col min="11501" max="11502" width="11.109375" style="225" customWidth="1"/>
    <col min="11503" max="11503" width="12.109375" style="225" customWidth="1"/>
    <col min="11504" max="11504" width="14" style="225" customWidth="1"/>
    <col min="11505" max="11505" width="12.5546875" style="225" customWidth="1"/>
    <col min="11506" max="11507" width="13.109375" style="225" customWidth="1"/>
    <col min="11508" max="11509" width="9.109375" style="225"/>
    <col min="11510" max="11510" width="11" style="225" customWidth="1"/>
    <col min="11511" max="11753" width="9.109375" style="225"/>
    <col min="11754" max="11754" width="26.88671875" style="225" customWidth="1"/>
    <col min="11755" max="11755" width="0" style="225" hidden="1" customWidth="1"/>
    <col min="11756" max="11756" width="12.44140625" style="225" customWidth="1"/>
    <col min="11757" max="11758" width="11.109375" style="225" customWidth="1"/>
    <col min="11759" max="11759" width="12.109375" style="225" customWidth="1"/>
    <col min="11760" max="11760" width="14" style="225" customWidth="1"/>
    <col min="11761" max="11761" width="12.5546875" style="225" customWidth="1"/>
    <col min="11762" max="11763" width="13.109375" style="225" customWidth="1"/>
    <col min="11764" max="11765" width="9.109375" style="225"/>
    <col min="11766" max="11766" width="11" style="225" customWidth="1"/>
    <col min="11767" max="12009" width="9.109375" style="225"/>
    <col min="12010" max="12010" width="26.88671875" style="225" customWidth="1"/>
    <col min="12011" max="12011" width="0" style="225" hidden="1" customWidth="1"/>
    <col min="12012" max="12012" width="12.44140625" style="225" customWidth="1"/>
    <col min="12013" max="12014" width="11.109375" style="225" customWidth="1"/>
    <col min="12015" max="12015" width="12.109375" style="225" customWidth="1"/>
    <col min="12016" max="12016" width="14" style="225" customWidth="1"/>
    <col min="12017" max="12017" width="12.5546875" style="225" customWidth="1"/>
    <col min="12018" max="12019" width="13.109375" style="225" customWidth="1"/>
    <col min="12020" max="12021" width="9.109375" style="225"/>
    <col min="12022" max="12022" width="11" style="225" customWidth="1"/>
    <col min="12023" max="12265" width="9.109375" style="225"/>
    <col min="12266" max="12266" width="26.88671875" style="225" customWidth="1"/>
    <col min="12267" max="12267" width="0" style="225" hidden="1" customWidth="1"/>
    <col min="12268" max="12268" width="12.44140625" style="225" customWidth="1"/>
    <col min="12269" max="12270" width="11.109375" style="225" customWidth="1"/>
    <col min="12271" max="12271" width="12.109375" style="225" customWidth="1"/>
    <col min="12272" max="12272" width="14" style="225" customWidth="1"/>
    <col min="12273" max="12273" width="12.5546875" style="225" customWidth="1"/>
    <col min="12274" max="12275" width="13.109375" style="225" customWidth="1"/>
    <col min="12276" max="12277" width="9.109375" style="225"/>
    <col min="12278" max="12278" width="11" style="225" customWidth="1"/>
    <col min="12279" max="12521" width="9.109375" style="225"/>
    <col min="12522" max="12522" width="26.88671875" style="225" customWidth="1"/>
    <col min="12523" max="12523" width="0" style="225" hidden="1" customWidth="1"/>
    <col min="12524" max="12524" width="12.44140625" style="225" customWidth="1"/>
    <col min="12525" max="12526" width="11.109375" style="225" customWidth="1"/>
    <col min="12527" max="12527" width="12.109375" style="225" customWidth="1"/>
    <col min="12528" max="12528" width="14" style="225" customWidth="1"/>
    <col min="12529" max="12529" width="12.5546875" style="225" customWidth="1"/>
    <col min="12530" max="12531" width="13.109375" style="225" customWidth="1"/>
    <col min="12532" max="12533" width="9.109375" style="225"/>
    <col min="12534" max="12534" width="11" style="225" customWidth="1"/>
    <col min="12535" max="12777" width="9.109375" style="225"/>
    <col min="12778" max="12778" width="26.88671875" style="225" customWidth="1"/>
    <col min="12779" max="12779" width="0" style="225" hidden="1" customWidth="1"/>
    <col min="12780" max="12780" width="12.44140625" style="225" customWidth="1"/>
    <col min="12781" max="12782" width="11.109375" style="225" customWidth="1"/>
    <col min="12783" max="12783" width="12.109375" style="225" customWidth="1"/>
    <col min="12784" max="12784" width="14" style="225" customWidth="1"/>
    <col min="12785" max="12785" width="12.5546875" style="225" customWidth="1"/>
    <col min="12786" max="12787" width="13.109375" style="225" customWidth="1"/>
    <col min="12788" max="12789" width="9.109375" style="225"/>
    <col min="12790" max="12790" width="11" style="225" customWidth="1"/>
    <col min="12791" max="13033" width="9.109375" style="225"/>
    <col min="13034" max="13034" width="26.88671875" style="225" customWidth="1"/>
    <col min="13035" max="13035" width="0" style="225" hidden="1" customWidth="1"/>
    <col min="13036" max="13036" width="12.44140625" style="225" customWidth="1"/>
    <col min="13037" max="13038" width="11.109375" style="225" customWidth="1"/>
    <col min="13039" max="13039" width="12.109375" style="225" customWidth="1"/>
    <col min="13040" max="13040" width="14" style="225" customWidth="1"/>
    <col min="13041" max="13041" width="12.5546875" style="225" customWidth="1"/>
    <col min="13042" max="13043" width="13.109375" style="225" customWidth="1"/>
    <col min="13044" max="13045" width="9.109375" style="225"/>
    <col min="13046" max="13046" width="11" style="225" customWidth="1"/>
    <col min="13047" max="13289" width="9.109375" style="225"/>
    <col min="13290" max="13290" width="26.88671875" style="225" customWidth="1"/>
    <col min="13291" max="13291" width="0" style="225" hidden="1" customWidth="1"/>
    <col min="13292" max="13292" width="12.44140625" style="225" customWidth="1"/>
    <col min="13293" max="13294" width="11.109375" style="225" customWidth="1"/>
    <col min="13295" max="13295" width="12.109375" style="225" customWidth="1"/>
    <col min="13296" max="13296" width="14" style="225" customWidth="1"/>
    <col min="13297" max="13297" width="12.5546875" style="225" customWidth="1"/>
    <col min="13298" max="13299" width="13.109375" style="225" customWidth="1"/>
    <col min="13300" max="13301" width="9.109375" style="225"/>
    <col min="13302" max="13302" width="11" style="225" customWidth="1"/>
    <col min="13303" max="13545" width="9.109375" style="225"/>
    <col min="13546" max="13546" width="26.88671875" style="225" customWidth="1"/>
    <col min="13547" max="13547" width="0" style="225" hidden="1" customWidth="1"/>
    <col min="13548" max="13548" width="12.44140625" style="225" customWidth="1"/>
    <col min="13549" max="13550" width="11.109375" style="225" customWidth="1"/>
    <col min="13551" max="13551" width="12.109375" style="225" customWidth="1"/>
    <col min="13552" max="13552" width="14" style="225" customWidth="1"/>
    <col min="13553" max="13553" width="12.5546875" style="225" customWidth="1"/>
    <col min="13554" max="13555" width="13.109375" style="225" customWidth="1"/>
    <col min="13556" max="13557" width="9.109375" style="225"/>
    <col min="13558" max="13558" width="11" style="225" customWidth="1"/>
    <col min="13559" max="13801" width="9.109375" style="225"/>
    <col min="13802" max="13802" width="26.88671875" style="225" customWidth="1"/>
    <col min="13803" max="13803" width="0" style="225" hidden="1" customWidth="1"/>
    <col min="13804" max="13804" width="12.44140625" style="225" customWidth="1"/>
    <col min="13805" max="13806" width="11.109375" style="225" customWidth="1"/>
    <col min="13807" max="13807" width="12.109375" style="225" customWidth="1"/>
    <col min="13808" max="13808" width="14" style="225" customWidth="1"/>
    <col min="13809" max="13809" width="12.5546875" style="225" customWidth="1"/>
    <col min="13810" max="13811" width="13.109375" style="225" customWidth="1"/>
    <col min="13812" max="13813" width="9.109375" style="225"/>
    <col min="13814" max="13814" width="11" style="225" customWidth="1"/>
    <col min="13815" max="14057" width="9.109375" style="225"/>
    <col min="14058" max="14058" width="26.88671875" style="225" customWidth="1"/>
    <col min="14059" max="14059" width="0" style="225" hidden="1" customWidth="1"/>
    <col min="14060" max="14060" width="12.44140625" style="225" customWidth="1"/>
    <col min="14061" max="14062" width="11.109375" style="225" customWidth="1"/>
    <col min="14063" max="14063" width="12.109375" style="225" customWidth="1"/>
    <col min="14064" max="14064" width="14" style="225" customWidth="1"/>
    <col min="14065" max="14065" width="12.5546875" style="225" customWidth="1"/>
    <col min="14066" max="14067" width="13.109375" style="225" customWidth="1"/>
    <col min="14068" max="14069" width="9.109375" style="225"/>
    <col min="14070" max="14070" width="11" style="225" customWidth="1"/>
    <col min="14071" max="14313" width="9.109375" style="225"/>
    <col min="14314" max="14314" width="26.88671875" style="225" customWidth="1"/>
    <col min="14315" max="14315" width="0" style="225" hidden="1" customWidth="1"/>
    <col min="14316" max="14316" width="12.44140625" style="225" customWidth="1"/>
    <col min="14317" max="14318" width="11.109375" style="225" customWidth="1"/>
    <col min="14319" max="14319" width="12.109375" style="225" customWidth="1"/>
    <col min="14320" max="14320" width="14" style="225" customWidth="1"/>
    <col min="14321" max="14321" width="12.5546875" style="225" customWidth="1"/>
    <col min="14322" max="14323" width="13.109375" style="225" customWidth="1"/>
    <col min="14324" max="14325" width="9.109375" style="225"/>
    <col min="14326" max="14326" width="11" style="225" customWidth="1"/>
    <col min="14327" max="14569" width="9.109375" style="225"/>
    <col min="14570" max="14570" width="26.88671875" style="225" customWidth="1"/>
    <col min="14571" max="14571" width="0" style="225" hidden="1" customWidth="1"/>
    <col min="14572" max="14572" width="12.44140625" style="225" customWidth="1"/>
    <col min="14573" max="14574" width="11.109375" style="225" customWidth="1"/>
    <col min="14575" max="14575" width="12.109375" style="225" customWidth="1"/>
    <col min="14576" max="14576" width="14" style="225" customWidth="1"/>
    <col min="14577" max="14577" width="12.5546875" style="225" customWidth="1"/>
    <col min="14578" max="14579" width="13.109375" style="225" customWidth="1"/>
    <col min="14580" max="14581" width="9.109375" style="225"/>
    <col min="14582" max="14582" width="11" style="225" customWidth="1"/>
    <col min="14583" max="14825" width="9.109375" style="225"/>
    <col min="14826" max="14826" width="26.88671875" style="225" customWidth="1"/>
    <col min="14827" max="14827" width="0" style="225" hidden="1" customWidth="1"/>
    <col min="14828" max="14828" width="12.44140625" style="225" customWidth="1"/>
    <col min="14829" max="14830" width="11.109375" style="225" customWidth="1"/>
    <col min="14831" max="14831" width="12.109375" style="225" customWidth="1"/>
    <col min="14832" max="14832" width="14" style="225" customWidth="1"/>
    <col min="14833" max="14833" width="12.5546875" style="225" customWidth="1"/>
    <col min="14834" max="14835" width="13.109375" style="225" customWidth="1"/>
    <col min="14836" max="14837" width="9.109375" style="225"/>
    <col min="14838" max="14838" width="11" style="225" customWidth="1"/>
    <col min="14839" max="15081" width="9.109375" style="225"/>
    <col min="15082" max="15082" width="26.88671875" style="225" customWidth="1"/>
    <col min="15083" max="15083" width="0" style="225" hidden="1" customWidth="1"/>
    <col min="15084" max="15084" width="12.44140625" style="225" customWidth="1"/>
    <col min="15085" max="15086" width="11.109375" style="225" customWidth="1"/>
    <col min="15087" max="15087" width="12.109375" style="225" customWidth="1"/>
    <col min="15088" max="15088" width="14" style="225" customWidth="1"/>
    <col min="15089" max="15089" width="12.5546875" style="225" customWidth="1"/>
    <col min="15090" max="15091" width="13.109375" style="225" customWidth="1"/>
    <col min="15092" max="15093" width="9.109375" style="225"/>
    <col min="15094" max="15094" width="11" style="225" customWidth="1"/>
    <col min="15095" max="15337" width="9.109375" style="225"/>
    <col min="15338" max="15338" width="26.88671875" style="225" customWidth="1"/>
    <col min="15339" max="15339" width="0" style="225" hidden="1" customWidth="1"/>
    <col min="15340" max="15340" width="12.44140625" style="225" customWidth="1"/>
    <col min="15341" max="15342" width="11.109375" style="225" customWidth="1"/>
    <col min="15343" max="15343" width="12.109375" style="225" customWidth="1"/>
    <col min="15344" max="15344" width="14" style="225" customWidth="1"/>
    <col min="15345" max="15345" width="12.5546875" style="225" customWidth="1"/>
    <col min="15346" max="15347" width="13.109375" style="225" customWidth="1"/>
    <col min="15348" max="15349" width="9.109375" style="225"/>
    <col min="15350" max="15350" width="11" style="225" customWidth="1"/>
    <col min="15351" max="15593" width="9.109375" style="225"/>
    <col min="15594" max="15594" width="26.88671875" style="225" customWidth="1"/>
    <col min="15595" max="15595" width="0" style="225" hidden="1" customWidth="1"/>
    <col min="15596" max="15596" width="12.44140625" style="225" customWidth="1"/>
    <col min="15597" max="15598" width="11.109375" style="225" customWidth="1"/>
    <col min="15599" max="15599" width="12.109375" style="225" customWidth="1"/>
    <col min="15600" max="15600" width="14" style="225" customWidth="1"/>
    <col min="15601" max="15601" width="12.5546875" style="225" customWidth="1"/>
    <col min="15602" max="15603" width="13.109375" style="225" customWidth="1"/>
    <col min="15604" max="15605" width="9.109375" style="225"/>
    <col min="15606" max="15606" width="11" style="225" customWidth="1"/>
    <col min="15607" max="15849" width="9.109375" style="225"/>
    <col min="15850" max="15850" width="26.88671875" style="225" customWidth="1"/>
    <col min="15851" max="15851" width="0" style="225" hidden="1" customWidth="1"/>
    <col min="15852" max="15852" width="12.44140625" style="225" customWidth="1"/>
    <col min="15853" max="15854" width="11.109375" style="225" customWidth="1"/>
    <col min="15855" max="15855" width="12.109375" style="225" customWidth="1"/>
    <col min="15856" max="15856" width="14" style="225" customWidth="1"/>
    <col min="15857" max="15857" width="12.5546875" style="225" customWidth="1"/>
    <col min="15858" max="15859" width="13.109375" style="225" customWidth="1"/>
    <col min="15860" max="15861" width="9.109375" style="225"/>
    <col min="15862" max="15862" width="11" style="225" customWidth="1"/>
    <col min="15863" max="16105" width="9.109375" style="225"/>
    <col min="16106" max="16106" width="26.88671875" style="225" customWidth="1"/>
    <col min="16107" max="16107" width="0" style="225" hidden="1" customWidth="1"/>
    <col min="16108" max="16108" width="12.44140625" style="225" customWidth="1"/>
    <col min="16109" max="16110" width="11.109375" style="225" customWidth="1"/>
    <col min="16111" max="16111" width="12.109375" style="225" customWidth="1"/>
    <col min="16112" max="16112" width="14" style="225" customWidth="1"/>
    <col min="16113" max="16113" width="12.5546875" style="225" customWidth="1"/>
    <col min="16114" max="16115" width="13.109375" style="225" customWidth="1"/>
    <col min="16116" max="16117" width="9.109375" style="225"/>
    <col min="16118" max="16118" width="11" style="225" customWidth="1"/>
    <col min="16119" max="16384" width="9.109375" style="225"/>
  </cols>
  <sheetData>
    <row r="1" spans="1:9" ht="16.2" thickBot="1" x14ac:dyDescent="0.35">
      <c r="A1" s="18" t="s">
        <v>285</v>
      </c>
      <c r="B1"/>
      <c r="C1"/>
      <c r="D1"/>
      <c r="E1"/>
      <c r="F1"/>
      <c r="G1"/>
      <c r="H1"/>
      <c r="I1"/>
    </row>
    <row r="2" spans="1:9" ht="46.8" x14ac:dyDescent="0.3">
      <c r="A2" s="342"/>
      <c r="B2" s="343" t="s">
        <v>188</v>
      </c>
      <c r="C2" s="344" t="s">
        <v>269</v>
      </c>
      <c r="D2" s="344" t="s">
        <v>272</v>
      </c>
      <c r="E2" s="344" t="s">
        <v>173</v>
      </c>
      <c r="F2" s="344" t="s">
        <v>174</v>
      </c>
      <c r="G2" s="344" t="s">
        <v>198</v>
      </c>
      <c r="H2" s="344" t="s">
        <v>286</v>
      </c>
      <c r="I2" s="345" t="s">
        <v>287</v>
      </c>
    </row>
    <row r="3" spans="1:9" x14ac:dyDescent="0.3">
      <c r="A3" s="361" t="s">
        <v>296</v>
      </c>
      <c r="B3" s="350"/>
      <c r="C3" s="350"/>
      <c r="D3" s="350"/>
      <c r="E3" s="350"/>
      <c r="F3" s="350"/>
      <c r="G3" s="350"/>
      <c r="H3" s="350"/>
      <c r="I3" s="351"/>
    </row>
    <row r="4" spans="1:9" x14ac:dyDescent="0.3">
      <c r="A4" s="346" t="s">
        <v>138</v>
      </c>
      <c r="B4" s="352">
        <v>9069512</v>
      </c>
      <c r="C4" s="352">
        <v>8383231.0899999999</v>
      </c>
      <c r="D4" s="352">
        <v>9058873.4199999999</v>
      </c>
      <c r="E4" s="352">
        <v>8805835.6899999995</v>
      </c>
      <c r="F4" s="352">
        <v>8499404.4299999997</v>
      </c>
      <c r="G4" s="352">
        <v>9399840.5899999999</v>
      </c>
      <c r="H4" s="352">
        <v>9084381</v>
      </c>
      <c r="I4" s="382">
        <v>11487469</v>
      </c>
    </row>
    <row r="5" spans="1:9" x14ac:dyDescent="0.3">
      <c r="A5" s="346" t="s">
        <v>288</v>
      </c>
      <c r="B5" s="352">
        <v>2664966</v>
      </c>
      <c r="C5" s="353">
        <v>2479550.11</v>
      </c>
      <c r="D5" s="354">
        <v>2662132.09</v>
      </c>
      <c r="E5" s="353">
        <v>2636670.63</v>
      </c>
      <c r="F5" s="352">
        <v>2537808.73</v>
      </c>
      <c r="G5" s="352">
        <v>2685304.73</v>
      </c>
      <c r="H5" s="352">
        <v>2640479</v>
      </c>
      <c r="I5" s="382">
        <v>3247287</v>
      </c>
    </row>
    <row r="6" spans="1:9" x14ac:dyDescent="0.3">
      <c r="A6" s="347" t="s">
        <v>316</v>
      </c>
      <c r="B6" s="352">
        <v>3725714</v>
      </c>
      <c r="C6" s="352">
        <v>3723727.25</v>
      </c>
      <c r="D6" s="352">
        <v>3753659.93</v>
      </c>
      <c r="E6" s="352">
        <v>4011125.36</v>
      </c>
      <c r="F6" s="352">
        <v>3820757.83</v>
      </c>
      <c r="G6" s="352">
        <v>3836106.59</v>
      </c>
      <c r="H6" s="352">
        <v>3797584</v>
      </c>
      <c r="I6" s="382">
        <v>4670305</v>
      </c>
    </row>
    <row r="7" spans="1:9" x14ac:dyDescent="0.3">
      <c r="A7" s="347" t="s">
        <v>147</v>
      </c>
      <c r="B7" s="354">
        <v>31753</v>
      </c>
      <c r="C7" s="353">
        <v>28613.17</v>
      </c>
      <c r="D7" s="354">
        <v>31254.59</v>
      </c>
      <c r="E7" s="353">
        <v>28967.18</v>
      </c>
      <c r="F7" s="354">
        <v>29440.080000000002</v>
      </c>
      <c r="G7" s="354">
        <v>29795.58</v>
      </c>
      <c r="H7" s="383">
        <v>29086</v>
      </c>
      <c r="I7" s="384">
        <v>35771</v>
      </c>
    </row>
    <row r="8" spans="1:9" x14ac:dyDescent="0.3">
      <c r="A8" s="346" t="s">
        <v>289</v>
      </c>
      <c r="B8" s="353">
        <v>720198</v>
      </c>
      <c r="C8" s="353">
        <v>663165.81999999995</v>
      </c>
      <c r="D8" s="353">
        <v>702906.23</v>
      </c>
      <c r="E8" s="353">
        <v>727781.03</v>
      </c>
      <c r="F8" s="353">
        <v>577770.6</v>
      </c>
      <c r="G8" s="353">
        <v>456676</v>
      </c>
      <c r="H8" s="353">
        <v>420382</v>
      </c>
      <c r="I8" s="355">
        <v>203298</v>
      </c>
    </row>
    <row r="9" spans="1:9" x14ac:dyDescent="0.3">
      <c r="A9" s="347" t="s">
        <v>290</v>
      </c>
      <c r="B9" s="353">
        <v>29206</v>
      </c>
      <c r="C9" s="353">
        <v>27443</v>
      </c>
      <c r="D9" s="353">
        <v>29446.14</v>
      </c>
      <c r="E9" s="353">
        <v>30918.73</v>
      </c>
      <c r="F9" s="353">
        <v>30762.16</v>
      </c>
      <c r="G9" s="353">
        <v>31815.09</v>
      </c>
      <c r="H9" s="353">
        <v>39984</v>
      </c>
      <c r="I9" s="355">
        <v>47454</v>
      </c>
    </row>
    <row r="10" spans="1:9" x14ac:dyDescent="0.3">
      <c r="A10" s="361" t="s">
        <v>314</v>
      </c>
      <c r="B10" s="357">
        <f>SUM(B4:B9)</f>
        <v>16241349</v>
      </c>
      <c r="C10" s="357">
        <f>SUM(C4:C9)</f>
        <v>15305730.439999999</v>
      </c>
      <c r="D10" s="357">
        <f t="shared" ref="D10:I10" si="0">SUM(D4:D9)</f>
        <v>16238272.4</v>
      </c>
      <c r="E10" s="357">
        <f t="shared" si="0"/>
        <v>16241298.619999999</v>
      </c>
      <c r="F10" s="357">
        <f t="shared" si="0"/>
        <v>15495943.83</v>
      </c>
      <c r="G10" s="357">
        <f t="shared" si="0"/>
        <v>16439538.58</v>
      </c>
      <c r="H10" s="357">
        <f t="shared" si="0"/>
        <v>16011896</v>
      </c>
      <c r="I10" s="358">
        <f t="shared" si="0"/>
        <v>19691584</v>
      </c>
    </row>
    <row r="11" spans="1:9" x14ac:dyDescent="0.3">
      <c r="A11" s="346" t="s">
        <v>313</v>
      </c>
      <c r="B11" s="357">
        <v>0</v>
      </c>
      <c r="C11" s="357">
        <f>1048117.39+381209.73</f>
        <v>1429327.12</v>
      </c>
      <c r="D11" s="357">
        <f>-263.7+148758.3</f>
        <v>148494.59999999998</v>
      </c>
      <c r="E11" s="357">
        <f>263.7+49933.9</f>
        <v>50197.599999999999</v>
      </c>
      <c r="F11" s="357">
        <v>-3.36</v>
      </c>
      <c r="G11" s="357"/>
      <c r="H11" s="357"/>
      <c r="I11" s="358"/>
    </row>
    <row r="12" spans="1:9" x14ac:dyDescent="0.3">
      <c r="A12" s="348" t="s">
        <v>12</v>
      </c>
      <c r="B12" s="357">
        <f>B11+B10</f>
        <v>16241349</v>
      </c>
      <c r="C12" s="357">
        <f t="shared" ref="C12:I12" si="1">C11+C10</f>
        <v>16735057.559999999</v>
      </c>
      <c r="D12" s="357">
        <f t="shared" si="1"/>
        <v>16386767</v>
      </c>
      <c r="E12" s="357">
        <f t="shared" si="1"/>
        <v>16291496.219999999</v>
      </c>
      <c r="F12" s="357">
        <f t="shared" si="1"/>
        <v>15495940.470000001</v>
      </c>
      <c r="G12" s="357">
        <f t="shared" si="1"/>
        <v>16439538.58</v>
      </c>
      <c r="H12" s="357">
        <f t="shared" si="1"/>
        <v>16011896</v>
      </c>
      <c r="I12" s="357">
        <f t="shared" si="1"/>
        <v>19691584</v>
      </c>
    </row>
    <row r="13" spans="1:9" x14ac:dyDescent="0.3">
      <c r="A13" s="346"/>
      <c r="B13" s="353"/>
      <c r="C13" s="353"/>
      <c r="D13" s="353"/>
      <c r="E13" s="353"/>
      <c r="F13" s="353"/>
      <c r="G13" s="353"/>
      <c r="H13" s="353"/>
      <c r="I13" s="355"/>
    </row>
    <row r="14" spans="1:9" x14ac:dyDescent="0.3">
      <c r="A14" s="346" t="s">
        <v>291</v>
      </c>
      <c r="B14" s="353">
        <v>250000</v>
      </c>
      <c r="C14" s="353">
        <v>245293</v>
      </c>
      <c r="D14" s="353">
        <v>270758</v>
      </c>
      <c r="E14" s="353">
        <v>246557</v>
      </c>
      <c r="F14" s="353">
        <v>177225</v>
      </c>
      <c r="G14" s="353">
        <v>244224.23</v>
      </c>
      <c r="H14" s="353">
        <v>259000</v>
      </c>
      <c r="I14" s="355">
        <v>259000</v>
      </c>
    </row>
    <row r="15" spans="1:9" x14ac:dyDescent="0.3">
      <c r="A15" s="346" t="s">
        <v>292</v>
      </c>
      <c r="B15" s="353">
        <v>232090</v>
      </c>
      <c r="C15" s="353">
        <v>247215</v>
      </c>
      <c r="D15" s="353">
        <v>238812</v>
      </c>
      <c r="E15" s="353">
        <v>291424</v>
      </c>
      <c r="F15" s="353">
        <v>316019</v>
      </c>
      <c r="G15" s="353">
        <v>218201</v>
      </c>
      <c r="H15" s="353">
        <v>170100</v>
      </c>
      <c r="I15" s="355">
        <v>170100</v>
      </c>
    </row>
    <row r="16" spans="1:9" x14ac:dyDescent="0.3">
      <c r="A16" s="346" t="s">
        <v>293</v>
      </c>
      <c r="B16" s="353">
        <v>1848340</v>
      </c>
      <c r="C16" s="353">
        <v>2812268</v>
      </c>
      <c r="D16" s="353">
        <v>1758306</v>
      </c>
      <c r="E16" s="353">
        <v>1777417</v>
      </c>
      <c r="F16" s="353">
        <v>1874741</v>
      </c>
      <c r="G16" s="353">
        <v>1855395</v>
      </c>
      <c r="H16" s="353">
        <v>1848061</v>
      </c>
      <c r="I16" s="355">
        <v>1848061</v>
      </c>
    </row>
    <row r="17" spans="1:10" x14ac:dyDescent="0.3">
      <c r="A17" s="346" t="s">
        <v>294</v>
      </c>
      <c r="B17" s="353">
        <v>269570</v>
      </c>
      <c r="C17" s="353">
        <v>227694</v>
      </c>
      <c r="D17" s="353">
        <v>-74745</v>
      </c>
      <c r="E17" s="353">
        <v>382805</v>
      </c>
      <c r="F17" s="353">
        <v>284378</v>
      </c>
      <c r="G17" s="353">
        <v>140922</v>
      </c>
      <c r="H17" s="353">
        <v>112500</v>
      </c>
      <c r="I17" s="355">
        <v>112500</v>
      </c>
    </row>
    <row r="18" spans="1:10" x14ac:dyDescent="0.3">
      <c r="A18" s="348" t="s">
        <v>12</v>
      </c>
      <c r="B18" s="357">
        <f>SUM(B14:B17)</f>
        <v>2600000</v>
      </c>
      <c r="C18" s="357">
        <f>SUM(C14:C17)</f>
        <v>3532470</v>
      </c>
      <c r="D18" s="357">
        <f t="shared" ref="D18:I18" si="2">SUM(D14:D17)</f>
        <v>2193131</v>
      </c>
      <c r="E18" s="357">
        <f t="shared" si="2"/>
        <v>2698203</v>
      </c>
      <c r="F18" s="357">
        <f t="shared" si="2"/>
        <v>2652363</v>
      </c>
      <c r="G18" s="357">
        <f t="shared" si="2"/>
        <v>2458742.23</v>
      </c>
      <c r="H18" s="357">
        <f t="shared" si="2"/>
        <v>2389661</v>
      </c>
      <c r="I18" s="358">
        <f t="shared" si="2"/>
        <v>2389661</v>
      </c>
    </row>
    <row r="19" spans="1:10" ht="16.2" thickBot="1" x14ac:dyDescent="0.35">
      <c r="A19" s="349" t="s">
        <v>295</v>
      </c>
      <c r="B19" s="359">
        <f>+B18+B10</f>
        <v>18841349</v>
      </c>
      <c r="C19" s="359">
        <f>+C18+C12</f>
        <v>20267527.559999999</v>
      </c>
      <c r="D19" s="359">
        <f>+D18+D12</f>
        <v>18579898</v>
      </c>
      <c r="E19" s="359">
        <f>+E18+E12</f>
        <v>18989699.219999999</v>
      </c>
      <c r="F19" s="359">
        <f>+F18+F12</f>
        <v>18148303.469999999</v>
      </c>
      <c r="G19" s="359">
        <f>+G18+G12</f>
        <v>18898280.809999999</v>
      </c>
      <c r="H19" s="359">
        <f t="shared" ref="H19:I19" si="3">+H18+H10</f>
        <v>18401557</v>
      </c>
      <c r="I19" s="360">
        <f t="shared" si="3"/>
        <v>22081245</v>
      </c>
    </row>
    <row r="20" spans="1:10" ht="16.2" thickBot="1" x14ac:dyDescent="0.35">
      <c r="B20" s="359"/>
      <c r="C20" s="359"/>
      <c r="D20" s="359"/>
      <c r="E20" s="359"/>
      <c r="F20" s="359"/>
      <c r="G20" s="359"/>
      <c r="H20" s="359"/>
      <c r="I20" s="360"/>
    </row>
    <row r="21" spans="1:10" x14ac:dyDescent="0.3">
      <c r="C21" s="356"/>
      <c r="D21" s="356"/>
      <c r="E21" s="356"/>
      <c r="F21" s="356"/>
      <c r="G21" s="356"/>
      <c r="H21" s="356"/>
      <c r="I21" s="356"/>
    </row>
    <row r="22" spans="1:10" x14ac:dyDescent="0.3">
      <c r="A22" s="414" t="s">
        <v>195</v>
      </c>
      <c r="B22" s="414"/>
      <c r="C22" s="414"/>
      <c r="D22" s="414"/>
      <c r="E22" s="414"/>
      <c r="F22" s="414"/>
      <c r="G22" s="414"/>
    </row>
    <row r="23" spans="1:10" ht="62.4" x14ac:dyDescent="0.3">
      <c r="A23" s="276" t="s">
        <v>142</v>
      </c>
      <c r="B23" s="277" t="s">
        <v>196</v>
      </c>
      <c r="C23" s="277" t="s">
        <v>143</v>
      </c>
      <c r="D23" s="277" t="s">
        <v>197</v>
      </c>
      <c r="E23" s="277" t="s">
        <v>143</v>
      </c>
      <c r="F23" s="277" t="s">
        <v>144</v>
      </c>
      <c r="G23" s="277" t="s">
        <v>145</v>
      </c>
    </row>
    <row r="24" spans="1:10" x14ac:dyDescent="0.3">
      <c r="A24" s="415" t="s">
        <v>146</v>
      </c>
      <c r="B24" s="415"/>
      <c r="C24" s="415"/>
      <c r="D24" s="415"/>
      <c r="E24" s="415"/>
      <c r="F24" s="415"/>
      <c r="G24" s="415"/>
    </row>
    <row r="25" spans="1:10" x14ac:dyDescent="0.3">
      <c r="A25" s="268"/>
      <c r="B25" s="226"/>
      <c r="C25" s="226"/>
      <c r="D25" s="226"/>
      <c r="E25" s="226"/>
      <c r="F25" s="226"/>
      <c r="G25" s="226"/>
    </row>
    <row r="26" spans="1:10" x14ac:dyDescent="0.3">
      <c r="A26" s="227" t="s">
        <v>188</v>
      </c>
      <c r="B26" s="228"/>
      <c r="C26" s="226"/>
      <c r="D26" s="229">
        <v>703.40824899999996</v>
      </c>
      <c r="E26" s="228"/>
      <c r="F26" s="230">
        <v>42383</v>
      </c>
      <c r="G26" s="226"/>
      <c r="J26" s="381"/>
    </row>
    <row r="27" spans="1:10" x14ac:dyDescent="0.3">
      <c r="A27" s="268"/>
      <c r="B27" s="226"/>
      <c r="C27" s="226"/>
      <c r="D27" s="226"/>
      <c r="E27" s="226"/>
      <c r="F27" s="226"/>
      <c r="G27" s="226"/>
      <c r="J27" s="356"/>
    </row>
    <row r="28" spans="1:10" x14ac:dyDescent="0.3">
      <c r="A28" s="227">
        <v>2003</v>
      </c>
      <c r="B28" s="231">
        <f>Summary!B10/1000000</f>
        <v>719.28609800000004</v>
      </c>
      <c r="C28" s="228"/>
      <c r="D28" s="231">
        <f t="shared" ref="D28:D41" si="4">B28*F172</f>
        <v>704.85535953035912</v>
      </c>
      <c r="E28" s="228"/>
      <c r="F28" s="230">
        <f>Summary!B41</f>
        <v>41290</v>
      </c>
      <c r="G28" s="228"/>
      <c r="J28" s="356"/>
    </row>
    <row r="29" spans="1:10" x14ac:dyDescent="0.3">
      <c r="A29" s="227">
        <v>2004</v>
      </c>
      <c r="B29" s="231">
        <f>Summary!C10/1000000</f>
        <v>727.30812000000003</v>
      </c>
      <c r="C29" s="232">
        <f>B29-B28</f>
        <v>8.0220219999999927</v>
      </c>
      <c r="D29" s="231">
        <f t="shared" si="4"/>
        <v>717.75610941800778</v>
      </c>
      <c r="E29" s="232">
        <f t="shared" ref="E29:G32" si="5">D29-D28</f>
        <v>12.900749887648658</v>
      </c>
      <c r="F29" s="230">
        <f>Summary!C41</f>
        <v>41351</v>
      </c>
      <c r="G29" s="233">
        <f t="shared" si="5"/>
        <v>61</v>
      </c>
    </row>
    <row r="30" spans="1:10" x14ac:dyDescent="0.3">
      <c r="A30" s="227">
        <v>2005</v>
      </c>
      <c r="B30" s="231">
        <f>Summary!D10/1000000</f>
        <v>717.783995</v>
      </c>
      <c r="C30" s="232">
        <f t="shared" ref="C30:C41" si="6">B30-B29</f>
        <v>-9.5241250000000264</v>
      </c>
      <c r="D30" s="231">
        <f t="shared" si="4"/>
        <v>711.58558420406291</v>
      </c>
      <c r="E30" s="232">
        <f t="shared" si="5"/>
        <v>-6.1705252139448703</v>
      </c>
      <c r="F30" s="230">
        <f>Summary!D41</f>
        <v>41409</v>
      </c>
      <c r="G30" s="233">
        <f t="shared" si="5"/>
        <v>58</v>
      </c>
    </row>
    <row r="31" spans="1:10" x14ac:dyDescent="0.3">
      <c r="A31" s="227">
        <v>2006</v>
      </c>
      <c r="B31" s="231">
        <f>Summary!E10/1000000</f>
        <v>697.140805</v>
      </c>
      <c r="C31" s="232">
        <f t="shared" si="6"/>
        <v>-20.643190000000004</v>
      </c>
      <c r="D31" s="231">
        <f t="shared" si="4"/>
        <v>708.64720495016991</v>
      </c>
      <c r="E31" s="232">
        <f t="shared" si="5"/>
        <v>-2.9383792538930038</v>
      </c>
      <c r="F31" s="230">
        <f>Summary!E41</f>
        <v>41469</v>
      </c>
      <c r="G31" s="233">
        <f t="shared" si="5"/>
        <v>60</v>
      </c>
    </row>
    <row r="32" spans="1:10" x14ac:dyDescent="0.3">
      <c r="A32" s="227">
        <v>2007</v>
      </c>
      <c r="B32" s="231">
        <f>Summary!F10/1000000</f>
        <v>701.80077200000005</v>
      </c>
      <c r="C32" s="232">
        <f t="shared" si="6"/>
        <v>4.6599670000000515</v>
      </c>
      <c r="D32" s="231">
        <f t="shared" si="4"/>
        <v>698.37035280162502</v>
      </c>
      <c r="E32" s="232">
        <f t="shared" si="5"/>
        <v>-10.27685214854489</v>
      </c>
      <c r="F32" s="230">
        <f>Summary!F41</f>
        <v>41538</v>
      </c>
      <c r="G32" s="233">
        <f t="shared" si="5"/>
        <v>69</v>
      </c>
    </row>
    <row r="33" spans="1:9" x14ac:dyDescent="0.3">
      <c r="A33" s="227">
        <v>2008</v>
      </c>
      <c r="B33" s="231">
        <f>Summary!G10/1000000</f>
        <v>710.69862599999999</v>
      </c>
      <c r="C33" s="232">
        <f t="shared" si="6"/>
        <v>8.8978539999999384</v>
      </c>
      <c r="D33" s="231">
        <f t="shared" si="4"/>
        <v>701.04167287168184</v>
      </c>
      <c r="E33" s="232">
        <f t="shared" ref="E33:G43" si="7">D33-D32</f>
        <v>2.6713200700568223</v>
      </c>
      <c r="F33" s="230">
        <f>Summary!G41</f>
        <v>41729</v>
      </c>
      <c r="G33" s="233">
        <f t="shared" si="7"/>
        <v>191</v>
      </c>
    </row>
    <row r="34" spans="1:9" x14ac:dyDescent="0.3">
      <c r="A34" s="227">
        <v>2009</v>
      </c>
      <c r="B34" s="231">
        <f>Summary!H10/1000000</f>
        <v>707.75670000000002</v>
      </c>
      <c r="C34" s="232">
        <f t="shared" si="6"/>
        <v>-2.9419259999999667</v>
      </c>
      <c r="D34" s="231">
        <f t="shared" si="4"/>
        <v>698.63526634540017</v>
      </c>
      <c r="E34" s="232">
        <f t="shared" si="7"/>
        <v>-2.4064065262816712</v>
      </c>
      <c r="F34" s="230">
        <f>Summary!H41</f>
        <v>41995</v>
      </c>
      <c r="G34" s="233">
        <f t="shared" si="7"/>
        <v>266</v>
      </c>
    </row>
    <row r="35" spans="1:9" x14ac:dyDescent="0.3">
      <c r="A35" s="227">
        <v>2010</v>
      </c>
      <c r="B35" s="231">
        <f>Summary!I10/1000000</f>
        <v>683.75786200000005</v>
      </c>
      <c r="C35" s="232">
        <f t="shared" si="6"/>
        <v>-23.998837999999978</v>
      </c>
      <c r="D35" s="231">
        <f t="shared" si="4"/>
        <v>691.39879643592678</v>
      </c>
      <c r="E35" s="232">
        <f t="shared" si="7"/>
        <v>-7.2364699094733851</v>
      </c>
      <c r="F35" s="230">
        <f>Summary!I41</f>
        <v>42110</v>
      </c>
      <c r="G35" s="233">
        <f t="shared" si="7"/>
        <v>115</v>
      </c>
    </row>
    <row r="36" spans="1:9" x14ac:dyDescent="0.3">
      <c r="A36" s="227">
        <v>2011</v>
      </c>
      <c r="B36" s="231">
        <f>Summary!J10/1000000</f>
        <v>711.92901700000004</v>
      </c>
      <c r="C36" s="232">
        <f t="shared" si="6"/>
        <v>28.171154999999999</v>
      </c>
      <c r="D36" s="231">
        <f t="shared" si="4"/>
        <v>711.98814245362144</v>
      </c>
      <c r="E36" s="232">
        <f t="shared" si="7"/>
        <v>20.589346017694652</v>
      </c>
      <c r="F36" s="230">
        <f>Summary!J41</f>
        <v>42160</v>
      </c>
      <c r="G36" s="233">
        <f t="shared" si="7"/>
        <v>50</v>
      </c>
    </row>
    <row r="37" spans="1:9" x14ac:dyDescent="0.3">
      <c r="A37" s="227">
        <v>2012</v>
      </c>
      <c r="B37" s="231">
        <f>Summary!K10/1000000</f>
        <v>676.76570900000002</v>
      </c>
      <c r="C37" s="232">
        <f t="shared" si="6"/>
        <v>-35.163308000000029</v>
      </c>
      <c r="D37" s="231">
        <f t="shared" si="4"/>
        <v>707.67226964757947</v>
      </c>
      <c r="E37" s="232">
        <f t="shared" si="7"/>
        <v>-4.3158728060419662</v>
      </c>
      <c r="F37" s="230">
        <f>Summary!K41</f>
        <v>42400</v>
      </c>
      <c r="G37" s="233">
        <f t="shared" si="7"/>
        <v>240</v>
      </c>
    </row>
    <row r="38" spans="1:9" x14ac:dyDescent="0.3">
      <c r="A38" s="227">
        <v>2013</v>
      </c>
      <c r="B38" s="231">
        <f>Summary!L10/1000000</f>
        <v>688.24416699999995</v>
      </c>
      <c r="C38" s="232">
        <f t="shared" si="6"/>
        <v>11.478457999999932</v>
      </c>
      <c r="D38" s="231">
        <f t="shared" si="4"/>
        <v>697.6434592167958</v>
      </c>
      <c r="E38" s="232">
        <f t="shared" si="7"/>
        <v>-10.028810430783665</v>
      </c>
      <c r="F38" s="230">
        <f>Summary!L41</f>
        <v>42592</v>
      </c>
      <c r="G38" s="233">
        <f t="shared" si="7"/>
        <v>192</v>
      </c>
    </row>
    <row r="39" spans="1:9" x14ac:dyDescent="0.3">
      <c r="A39" s="227">
        <v>2014</v>
      </c>
      <c r="B39" s="231">
        <f>Summary!M10/1000000</f>
        <v>701.84312699999998</v>
      </c>
      <c r="C39" s="232">
        <f t="shared" si="6"/>
        <v>13.598960000000034</v>
      </c>
      <c r="D39" s="231">
        <f t="shared" si="4"/>
        <v>673.30132164709767</v>
      </c>
      <c r="E39" s="232">
        <f t="shared" si="7"/>
        <v>-24.342137569698139</v>
      </c>
      <c r="F39" s="230">
        <f>Summary!M41</f>
        <v>42577</v>
      </c>
      <c r="G39" s="233">
        <f t="shared" si="7"/>
        <v>-15</v>
      </c>
    </row>
    <row r="40" spans="1:9" x14ac:dyDescent="0.3">
      <c r="A40" s="227">
        <v>2015</v>
      </c>
      <c r="B40" s="231">
        <f>Summary!N10/1000000</f>
        <v>669.38752599999998</v>
      </c>
      <c r="C40" s="232">
        <f t="shared" si="6"/>
        <v>-32.455601000000001</v>
      </c>
      <c r="D40" s="231">
        <f t="shared" si="4"/>
        <v>657.57878071532923</v>
      </c>
      <c r="E40" s="232">
        <f t="shared" si="7"/>
        <v>-15.722540931768435</v>
      </c>
      <c r="F40" s="230">
        <f>Summary!N41</f>
        <v>42590</v>
      </c>
      <c r="G40" s="233">
        <f t="shared" si="7"/>
        <v>13</v>
      </c>
    </row>
    <row r="41" spans="1:9" x14ac:dyDescent="0.3">
      <c r="A41" s="227">
        <v>2016</v>
      </c>
      <c r="B41" s="231">
        <f>Summary!O10/1000000</f>
        <v>636.87624392999999</v>
      </c>
      <c r="C41" s="232">
        <f t="shared" si="6"/>
        <v>-32.511282069999993</v>
      </c>
      <c r="D41" s="231">
        <f t="shared" si="4"/>
        <v>643.49603119895914</v>
      </c>
      <c r="E41" s="232">
        <f t="shared" si="7"/>
        <v>-14.082749516370086</v>
      </c>
      <c r="F41" s="230">
        <f>Summary!O41</f>
        <v>42650</v>
      </c>
      <c r="G41" s="233">
        <f t="shared" si="7"/>
        <v>60</v>
      </c>
    </row>
    <row r="42" spans="1:9" ht="12.75" customHeight="1" x14ac:dyDescent="0.3">
      <c r="A42" s="234" t="s">
        <v>198</v>
      </c>
      <c r="B42" s="231"/>
      <c r="C42" s="232"/>
      <c r="D42" s="231" t="e">
        <f>Summary!#REF!/1000000</f>
        <v>#REF!</v>
      </c>
      <c r="E42" s="232" t="e">
        <f t="shared" si="7"/>
        <v>#REF!</v>
      </c>
      <c r="F42" s="230">
        <f>Summary!P41</f>
        <v>41959</v>
      </c>
      <c r="G42" s="233">
        <f t="shared" si="7"/>
        <v>-691</v>
      </c>
    </row>
    <row r="43" spans="1:9" x14ac:dyDescent="0.3">
      <c r="A43" s="227" t="s">
        <v>199</v>
      </c>
      <c r="B43" s="231"/>
      <c r="C43" s="232"/>
      <c r="D43" s="231">
        <f>Summary!Q10/1000000</f>
        <v>623.96041503680385</v>
      </c>
      <c r="E43" s="232" t="e">
        <f t="shared" si="7"/>
        <v>#REF!</v>
      </c>
      <c r="F43" s="230">
        <f>Summary!Q41</f>
        <v>42049.777078881569</v>
      </c>
      <c r="G43" s="233">
        <f t="shared" si="7"/>
        <v>90.777078881568741</v>
      </c>
    </row>
    <row r="45" spans="1:9" x14ac:dyDescent="0.3">
      <c r="A45" s="235" t="s">
        <v>200</v>
      </c>
      <c r="B45" s="235"/>
      <c r="C45" s="235"/>
      <c r="D45" s="235"/>
    </row>
    <row r="46" spans="1:9" ht="46.8" x14ac:dyDescent="0.3">
      <c r="A46" s="276" t="s">
        <v>142</v>
      </c>
      <c r="B46" s="277" t="s">
        <v>1</v>
      </c>
      <c r="C46" s="277" t="s">
        <v>132</v>
      </c>
      <c r="D46" s="365" t="s">
        <v>317</v>
      </c>
      <c r="E46" s="277" t="s">
        <v>147</v>
      </c>
      <c r="F46" s="277" t="s">
        <v>66</v>
      </c>
      <c r="G46" s="277" t="s">
        <v>148</v>
      </c>
      <c r="H46" s="277" t="s">
        <v>12</v>
      </c>
    </row>
    <row r="47" spans="1:9" ht="14.25" customHeight="1" x14ac:dyDescent="0.3">
      <c r="A47" s="236" t="s">
        <v>201</v>
      </c>
      <c r="B47" s="237"/>
      <c r="C47" s="237"/>
      <c r="D47" s="237"/>
      <c r="E47" s="237"/>
      <c r="F47" s="237"/>
      <c r="H47" s="238"/>
      <c r="I47" s="295"/>
    </row>
    <row r="48" spans="1:9" ht="14.25" customHeight="1" x14ac:dyDescent="0.3">
      <c r="A48" s="239">
        <f t="shared" ref="A48:A61" si="8">A28</f>
        <v>2003</v>
      </c>
      <c r="B48" s="281">
        <f>+Summary!B15/1000000</f>
        <v>351.03789</v>
      </c>
      <c r="C48" s="281">
        <f>+Summary!B19/1000000</f>
        <v>96.164282</v>
      </c>
      <c r="D48" s="281">
        <f>+Summary!B23/1000000</f>
        <v>263.76318600000002</v>
      </c>
      <c r="E48" s="281">
        <f>+Summary!B28/1000000</f>
        <v>0.27656199999999997</v>
      </c>
      <c r="F48" s="281">
        <f>+Summary!B33/1000000</f>
        <v>7.1925410000000003</v>
      </c>
      <c r="G48" s="281">
        <f>+Summary!B38/1000000</f>
        <v>0.85163699999999998</v>
      </c>
      <c r="H48" s="231">
        <f>SUM(B48:G48)</f>
        <v>719.28609800000004</v>
      </c>
      <c r="I48" s="295"/>
    </row>
    <row r="49" spans="1:9" ht="14.25" customHeight="1" x14ac:dyDescent="0.3">
      <c r="A49" s="239">
        <f t="shared" si="8"/>
        <v>2004</v>
      </c>
      <c r="B49" s="281">
        <f>+Summary!C15/1000000</f>
        <v>356.49049200000002</v>
      </c>
      <c r="C49" s="281">
        <f>+Summary!C19/1000000</f>
        <v>95.721846999999997</v>
      </c>
      <c r="D49" s="281">
        <f>+Summary!C23/1000000</f>
        <v>266.586772</v>
      </c>
      <c r="E49" s="281">
        <f>+Summary!C28/1000000</f>
        <v>0.29122799999999999</v>
      </c>
      <c r="F49" s="281">
        <f>+Summary!C33/1000000</f>
        <v>7.375127</v>
      </c>
      <c r="G49" s="281">
        <f>+Summary!C38/1000000</f>
        <v>0.84265400000000001</v>
      </c>
      <c r="H49" s="231">
        <f t="shared" ref="H49:H63" si="9">SUM(B49:G49)</f>
        <v>727.30812000000014</v>
      </c>
      <c r="I49" s="295"/>
    </row>
    <row r="50" spans="1:9" ht="14.25" customHeight="1" x14ac:dyDescent="0.3">
      <c r="A50" s="239">
        <f t="shared" si="8"/>
        <v>2005</v>
      </c>
      <c r="B50" s="281">
        <f>+Summary!D15/1000000</f>
        <v>347.27425899999997</v>
      </c>
      <c r="C50" s="281">
        <f>+Summary!D19/1000000</f>
        <v>95.591622000000001</v>
      </c>
      <c r="D50" s="281">
        <f>+Summary!D23/1000000</f>
        <v>266.071754</v>
      </c>
      <c r="E50" s="281">
        <f>+Summary!D28/1000000</f>
        <v>0.28140599999999999</v>
      </c>
      <c r="F50" s="281">
        <f>+Summary!D33/1000000</f>
        <v>7.7191270000000003</v>
      </c>
      <c r="G50" s="281">
        <f>+Summary!D38/1000000</f>
        <v>0.845827</v>
      </c>
      <c r="H50" s="231">
        <f t="shared" si="9"/>
        <v>717.78399499999989</v>
      </c>
      <c r="I50" s="295"/>
    </row>
    <row r="51" spans="1:9" ht="14.25" customHeight="1" x14ac:dyDescent="0.3">
      <c r="A51" s="239">
        <f t="shared" si="8"/>
        <v>2006</v>
      </c>
      <c r="B51" s="281">
        <f>+Summary!E15/1000000</f>
        <v>335.39553899999999</v>
      </c>
      <c r="C51" s="281">
        <f>+Summary!E19/1000000</f>
        <v>86.770872999999995</v>
      </c>
      <c r="D51" s="281">
        <f>+Summary!E23/1000000</f>
        <v>266.238407</v>
      </c>
      <c r="E51" s="281">
        <f>+Summary!E28/1000000</f>
        <v>0.274009</v>
      </c>
      <c r="F51" s="281">
        <f>+Summary!E33/1000000</f>
        <v>7.6058240000000001</v>
      </c>
      <c r="G51" s="281">
        <f>+Summary!E38/1000000</f>
        <v>0.85615300000000005</v>
      </c>
      <c r="H51" s="231">
        <f t="shared" si="9"/>
        <v>697.14080499999989</v>
      </c>
      <c r="I51" s="295"/>
    </row>
    <row r="52" spans="1:9" x14ac:dyDescent="0.3">
      <c r="A52" s="239">
        <f t="shared" si="8"/>
        <v>2007</v>
      </c>
      <c r="B52" s="281">
        <f>+Summary!F15/1000000</f>
        <v>338.87433700000003</v>
      </c>
      <c r="C52" s="281">
        <f>+Summary!F19/1000000</f>
        <v>94.225468000000006</v>
      </c>
      <c r="D52" s="281">
        <f>+Summary!F23/1000000</f>
        <v>259.93040300000001</v>
      </c>
      <c r="E52" s="281">
        <f>+Summary!F28/1000000</f>
        <v>0.26905400000000002</v>
      </c>
      <c r="F52" s="281">
        <f>+Summary!F33/1000000</f>
        <v>7.6375279999999997</v>
      </c>
      <c r="G52" s="281">
        <f>+Summary!F38/1000000</f>
        <v>0.86398200000000003</v>
      </c>
      <c r="H52" s="231">
        <f t="shared" si="9"/>
        <v>701.80077200000005</v>
      </c>
      <c r="I52" s="295"/>
    </row>
    <row r="53" spans="1:9" ht="12.75" customHeight="1" x14ac:dyDescent="0.3">
      <c r="A53" s="239">
        <f t="shared" si="8"/>
        <v>2008</v>
      </c>
      <c r="B53" s="281">
        <f>+Summary!G15/1000000</f>
        <v>347.36322999999999</v>
      </c>
      <c r="C53" s="281">
        <f>+Summary!G19/1000000</f>
        <v>93.474158000000003</v>
      </c>
      <c r="D53" s="281">
        <f>+Summary!G23/1000000</f>
        <v>261.12394499999999</v>
      </c>
      <c r="E53" s="281">
        <f>+Summary!G28/1000000</f>
        <v>0.26876299999999997</v>
      </c>
      <c r="F53" s="281">
        <f>+Summary!G33/1000000</f>
        <v>7.6202050000000003</v>
      </c>
      <c r="G53" s="281">
        <f>+Summary!G38/1000000</f>
        <v>0.848325</v>
      </c>
      <c r="H53" s="231">
        <f t="shared" si="9"/>
        <v>710.6986260000001</v>
      </c>
      <c r="I53" s="295"/>
    </row>
    <row r="54" spans="1:9" x14ac:dyDescent="0.3">
      <c r="A54" s="239">
        <f t="shared" si="8"/>
        <v>2009</v>
      </c>
      <c r="B54" s="281">
        <f>+Summary!H15/1000000</f>
        <v>348.61935899999997</v>
      </c>
      <c r="C54" s="281">
        <f>+Summary!H19/1000000</f>
        <v>91.450220999999999</v>
      </c>
      <c r="D54" s="281">
        <f>+Summary!H23/1000000</f>
        <v>258.99814099999998</v>
      </c>
      <c r="E54" s="281">
        <f>+Summary!H28/1000000</f>
        <v>0.26252199999999998</v>
      </c>
      <c r="F54" s="281">
        <f>+Summary!H33/1000000</f>
        <v>7.6030090000000001</v>
      </c>
      <c r="G54" s="281">
        <f>+Summary!H38/1000000</f>
        <v>0.82344799999999996</v>
      </c>
      <c r="H54" s="231">
        <f t="shared" si="9"/>
        <v>707.75669999999991</v>
      </c>
      <c r="I54" s="295"/>
    </row>
    <row r="55" spans="1:9" x14ac:dyDescent="0.3">
      <c r="A55" s="239">
        <f t="shared" si="8"/>
        <v>2010</v>
      </c>
      <c r="B55" s="281">
        <f>+Summary!I15/1000000</f>
        <v>326.49371400000001</v>
      </c>
      <c r="C55" s="281">
        <f>+Summary!I19/1000000</f>
        <v>91.377364</v>
      </c>
      <c r="D55" s="281">
        <f>+Summary!I23/1000000</f>
        <v>257.03681999999998</v>
      </c>
      <c r="E55" s="281">
        <f>+Summary!I28/1000000</f>
        <v>0.25814700000000002</v>
      </c>
      <c r="F55" s="281">
        <f>+Summary!I33/1000000</f>
        <v>7.754588</v>
      </c>
      <c r="G55" s="281">
        <f>+Summary!I38/1000000</f>
        <v>0.837229</v>
      </c>
      <c r="H55" s="231">
        <f t="shared" si="9"/>
        <v>683.75786199999993</v>
      </c>
      <c r="I55" s="295"/>
    </row>
    <row r="56" spans="1:9" x14ac:dyDescent="0.3">
      <c r="A56" s="239">
        <f t="shared" si="8"/>
        <v>2011</v>
      </c>
      <c r="B56" s="281">
        <f>+Summary!J15/1000000</f>
        <v>345.28227900000002</v>
      </c>
      <c r="C56" s="281">
        <f>+Summary!J19/1000000</f>
        <v>101.72829900000001</v>
      </c>
      <c r="D56" s="281">
        <f>+Summary!J23/1000000</f>
        <v>255.968368</v>
      </c>
      <c r="E56" s="281">
        <f>+Summary!J28/1000000</f>
        <v>0.26036199999999998</v>
      </c>
      <c r="F56" s="281">
        <f>+Summary!J33/1000000</f>
        <v>7.8148359999999997</v>
      </c>
      <c r="G56" s="281">
        <f>+Summary!J38/1000000</f>
        <v>0.87487300000000001</v>
      </c>
      <c r="H56" s="231">
        <f t="shared" si="9"/>
        <v>711.92901699999993</v>
      </c>
      <c r="I56" s="295"/>
    </row>
    <row r="57" spans="1:9" x14ac:dyDescent="0.3">
      <c r="A57" s="239">
        <f t="shared" si="8"/>
        <v>2012</v>
      </c>
      <c r="B57" s="281">
        <f>+Summary!K15/1000000</f>
        <v>316.12764499999997</v>
      </c>
      <c r="C57" s="281">
        <f>+Summary!K19/1000000</f>
        <v>97.479014000000006</v>
      </c>
      <c r="D57" s="281">
        <f>+Summary!K23/1000000</f>
        <v>254.314087</v>
      </c>
      <c r="E57" s="281">
        <f>+Summary!K28/1000000</f>
        <v>0.24651200000000001</v>
      </c>
      <c r="F57" s="281">
        <f>+Summary!K33/1000000</f>
        <v>7.736459</v>
      </c>
      <c r="G57" s="281">
        <f>+Summary!K38/1000000</f>
        <v>0.86199199999999998</v>
      </c>
      <c r="H57" s="231">
        <f t="shared" si="9"/>
        <v>676.76570900000002</v>
      </c>
      <c r="I57" s="295"/>
    </row>
    <row r="58" spans="1:9" x14ac:dyDescent="0.3">
      <c r="A58" s="239">
        <f t="shared" si="8"/>
        <v>2013</v>
      </c>
      <c r="B58" s="281">
        <f>+Summary!L15/1000000</f>
        <v>324.18539199999998</v>
      </c>
      <c r="C58" s="281">
        <f>+Summary!L19/1000000</f>
        <v>95.827695000000006</v>
      </c>
      <c r="D58" s="281">
        <f>+Summary!L23/1000000</f>
        <v>259.04874999999998</v>
      </c>
      <c r="E58" s="281">
        <f>+Summary!L28/1000000</f>
        <v>0.237315</v>
      </c>
      <c r="F58" s="281">
        <f>+Summary!L33/1000000</f>
        <v>8.0875920000000008</v>
      </c>
      <c r="G58" s="281">
        <f>+Summary!L38/1000000</f>
        <v>0.85742300000000005</v>
      </c>
      <c r="H58" s="231">
        <f t="shared" si="9"/>
        <v>688.24416699999995</v>
      </c>
      <c r="I58" s="295"/>
    </row>
    <row r="59" spans="1:9" x14ac:dyDescent="0.3">
      <c r="A59" s="239">
        <f t="shared" si="8"/>
        <v>2014</v>
      </c>
      <c r="B59" s="281">
        <f>+Summary!M15/1000000</f>
        <v>334.95038299999999</v>
      </c>
      <c r="C59" s="281">
        <f>+Summary!M19/1000000</f>
        <v>99.153425999999996</v>
      </c>
      <c r="D59" s="281">
        <f>+Summary!M23/1000000</f>
        <v>258.80783000000002</v>
      </c>
      <c r="E59" s="281">
        <f>+Summary!M28/1000000</f>
        <v>0.24334900000000001</v>
      </c>
      <c r="F59" s="281">
        <f>+Summary!M33/1000000</f>
        <v>7.8121150000000004</v>
      </c>
      <c r="G59" s="281">
        <f>+Summary!M38/1000000</f>
        <v>0.87602400000000002</v>
      </c>
      <c r="H59" s="231">
        <f t="shared" si="9"/>
        <v>701.84312699999987</v>
      </c>
      <c r="I59" s="295"/>
    </row>
    <row r="60" spans="1:9" x14ac:dyDescent="0.3">
      <c r="A60" s="239">
        <f t="shared" si="8"/>
        <v>2015</v>
      </c>
      <c r="B60" s="281">
        <f>+Summary!N15/1000000</f>
        <v>310.45823999999999</v>
      </c>
      <c r="C60" s="281">
        <f>+Summary!N19/1000000</f>
        <v>95.701161999999997</v>
      </c>
      <c r="D60" s="281">
        <f>+Summary!N23/1000000</f>
        <v>254.78456499999999</v>
      </c>
      <c r="E60" s="281">
        <f>+Summary!N28/1000000</f>
        <v>0.235238</v>
      </c>
      <c r="F60" s="281">
        <f>+Summary!N33/1000000</f>
        <v>7.2956120000000002</v>
      </c>
      <c r="G60" s="281">
        <f>+Summary!N38/1000000</f>
        <v>0.91270899999999999</v>
      </c>
      <c r="H60" s="231">
        <f t="shared" si="9"/>
        <v>669.38752599999987</v>
      </c>
      <c r="I60" s="295"/>
    </row>
    <row r="61" spans="1:9" x14ac:dyDescent="0.3">
      <c r="A61" s="239">
        <f t="shared" si="8"/>
        <v>2016</v>
      </c>
      <c r="B61" s="281">
        <f>+Summary!O15/1000000</f>
        <v>288.74648639999998</v>
      </c>
      <c r="C61" s="281">
        <f>+Summary!O19/1000000</f>
        <v>92.174995999999993</v>
      </c>
      <c r="D61" s="281">
        <f>+Summary!O23/1000000</f>
        <v>249.95517799999999</v>
      </c>
      <c r="E61" s="281">
        <f>+Summary!O28/1000000</f>
        <v>0.2270558</v>
      </c>
      <c r="F61" s="281">
        <f>+Summary!O33/1000000</f>
        <v>4.8692770999999997</v>
      </c>
      <c r="G61" s="281">
        <f>+Summary!O38/1000000</f>
        <v>0.90325063000000005</v>
      </c>
      <c r="H61" s="231">
        <f t="shared" si="9"/>
        <v>636.87624392999999</v>
      </c>
      <c r="I61" s="295"/>
    </row>
    <row r="62" spans="1:9" x14ac:dyDescent="0.3">
      <c r="A62" s="420" t="s">
        <v>202</v>
      </c>
      <c r="B62" s="421"/>
      <c r="C62" s="421"/>
      <c r="D62" s="421"/>
      <c r="E62" s="421"/>
      <c r="F62" s="421"/>
      <c r="G62" s="421"/>
      <c r="H62" s="422"/>
    </row>
    <row r="63" spans="1:9" x14ac:dyDescent="0.3">
      <c r="A63" s="227">
        <f t="shared" ref="A63:A66" si="10">A48</f>
        <v>2003</v>
      </c>
      <c r="B63" s="281">
        <f t="shared" ref="B63:B73" si="11">B48*F172</f>
        <v>343.99516249892633</v>
      </c>
      <c r="C63" s="281">
        <f t="shared" ref="C63:C73" si="12">C48*F172</f>
        <v>94.234977919855254</v>
      </c>
      <c r="D63" s="281">
        <f t="shared" ref="D63:D73" si="13">D48*F172</f>
        <v>258.47141466496549</v>
      </c>
      <c r="E63" s="281">
        <f t="shared" ref="E63:E73" si="14">E48*F172</f>
        <v>0.27101345137138344</v>
      </c>
      <c r="F63" s="281">
        <f t="shared" ref="F63:F73" si="15">F48*F172</f>
        <v>7.0482400349295347</v>
      </c>
      <c r="G63" s="281">
        <f t="shared" ref="G63:G73" si="16">G48*F172</f>
        <v>0.83455096031114506</v>
      </c>
      <c r="H63" s="231">
        <f t="shared" si="9"/>
        <v>704.85535953035912</v>
      </c>
      <c r="I63" s="283"/>
    </row>
    <row r="64" spans="1:9" x14ac:dyDescent="0.3">
      <c r="A64" s="282">
        <f t="shared" si="10"/>
        <v>2004</v>
      </c>
      <c r="B64" s="281">
        <f t="shared" si="11"/>
        <v>351.80856853685532</v>
      </c>
      <c r="C64" s="281">
        <f t="shared" si="12"/>
        <v>94.464696047977284</v>
      </c>
      <c r="D64" s="281">
        <f t="shared" si="13"/>
        <v>263.08558784277767</v>
      </c>
      <c r="E64" s="281">
        <f t="shared" si="14"/>
        <v>0.28740319334477876</v>
      </c>
      <c r="F64" s="281">
        <f t="shared" si="15"/>
        <v>7.2782666883792011</v>
      </c>
      <c r="G64" s="281">
        <f t="shared" si="16"/>
        <v>0.83158710867344898</v>
      </c>
      <c r="H64" s="231">
        <f t="shared" ref="H64:H74" si="17">SUM(B64:G64)</f>
        <v>717.75610941800767</v>
      </c>
      <c r="I64" s="283"/>
    </row>
    <row r="65" spans="1:9" x14ac:dyDescent="0.3">
      <c r="A65" s="239">
        <f t="shared" si="10"/>
        <v>2005</v>
      </c>
      <c r="B65" s="281">
        <f t="shared" si="11"/>
        <v>344.27537837416952</v>
      </c>
      <c r="C65" s="281">
        <f t="shared" si="12"/>
        <v>94.766142265242266</v>
      </c>
      <c r="D65" s="281">
        <f t="shared" si="13"/>
        <v>263.77409614753208</v>
      </c>
      <c r="E65" s="281">
        <f t="shared" si="14"/>
        <v>0.27897592354163386</v>
      </c>
      <c r="F65" s="281">
        <f t="shared" si="15"/>
        <v>7.652468617442989</v>
      </c>
      <c r="G65" s="281">
        <f t="shared" si="16"/>
        <v>0.83852287613430254</v>
      </c>
      <c r="H65" s="231">
        <f t="shared" si="17"/>
        <v>711.5855842040628</v>
      </c>
      <c r="I65" s="283"/>
    </row>
    <row r="66" spans="1:9" x14ac:dyDescent="0.3">
      <c r="A66" s="239">
        <f t="shared" si="10"/>
        <v>2006</v>
      </c>
      <c r="B66" s="281">
        <f t="shared" si="11"/>
        <v>340.93128613394776</v>
      </c>
      <c r="C66" s="281">
        <f t="shared" si="12"/>
        <v>88.203037580817195</v>
      </c>
      <c r="D66" s="281">
        <f t="shared" si="13"/>
        <v>270.6327066465945</v>
      </c>
      <c r="E66" s="281">
        <f t="shared" si="14"/>
        <v>0.27853155429797444</v>
      </c>
      <c r="F66" s="281">
        <f t="shared" si="15"/>
        <v>7.7313591175356899</v>
      </c>
      <c r="G66" s="281">
        <f t="shared" si="16"/>
        <v>0.8702839169767187</v>
      </c>
      <c r="H66" s="231">
        <f t="shared" si="17"/>
        <v>708.64720495016991</v>
      </c>
      <c r="I66" s="283"/>
    </row>
    <row r="67" spans="1:9" x14ac:dyDescent="0.3">
      <c r="A67" s="239">
        <f t="shared" ref="A67:A73" si="18">A52</f>
        <v>2007</v>
      </c>
      <c r="B67" s="281">
        <f t="shared" si="11"/>
        <v>337.21791102006193</v>
      </c>
      <c r="C67" s="281">
        <f t="shared" si="12"/>
        <v>93.764891626619971</v>
      </c>
      <c r="D67" s="281">
        <f t="shared" si="13"/>
        <v>258.65985688453839</v>
      </c>
      <c r="E67" s="281">
        <f t="shared" si="14"/>
        <v>0.26773885752107496</v>
      </c>
      <c r="F67" s="281">
        <f t="shared" si="15"/>
        <v>7.6001955778587957</v>
      </c>
      <c r="G67" s="281">
        <f t="shared" si="16"/>
        <v>0.8597588350248403</v>
      </c>
      <c r="H67" s="231">
        <f t="shared" si="17"/>
        <v>698.37035280162502</v>
      </c>
      <c r="I67" s="283"/>
    </row>
    <row r="68" spans="1:9" x14ac:dyDescent="0.3">
      <c r="A68" s="239">
        <f t="shared" si="18"/>
        <v>2008</v>
      </c>
      <c r="B68" s="281">
        <f t="shared" si="11"/>
        <v>342.64326810913343</v>
      </c>
      <c r="C68" s="281">
        <f t="shared" si="12"/>
        <v>92.204033745510429</v>
      </c>
      <c r="D68" s="281">
        <f t="shared" si="13"/>
        <v>257.57580011087992</v>
      </c>
      <c r="E68" s="281">
        <f t="shared" si="14"/>
        <v>0.26511105584438233</v>
      </c>
      <c r="F68" s="281">
        <f t="shared" si="15"/>
        <v>7.5166618667772047</v>
      </c>
      <c r="G68" s="281">
        <f t="shared" si="16"/>
        <v>0.83679798353637092</v>
      </c>
      <c r="H68" s="231">
        <f t="shared" si="17"/>
        <v>701.04167287168173</v>
      </c>
      <c r="I68" s="283"/>
    </row>
    <row r="69" spans="1:9" x14ac:dyDescent="0.3">
      <c r="A69" s="239">
        <f t="shared" si="18"/>
        <v>2009</v>
      </c>
      <c r="B69" s="281">
        <f t="shared" si="11"/>
        <v>344.1264190478559</v>
      </c>
      <c r="C69" s="281">
        <f t="shared" si="12"/>
        <v>90.271627955879055</v>
      </c>
      <c r="D69" s="281">
        <f t="shared" si="13"/>
        <v>255.66022224939513</v>
      </c>
      <c r="E69" s="281">
        <f t="shared" si="14"/>
        <v>0.25913866642523781</v>
      </c>
      <c r="F69" s="281">
        <f t="shared" si="15"/>
        <v>7.5050228669562218</v>
      </c>
      <c r="G69" s="281">
        <f t="shared" si="16"/>
        <v>0.81283555888850934</v>
      </c>
      <c r="H69" s="231">
        <f t="shared" si="17"/>
        <v>698.63526634540005</v>
      </c>
      <c r="I69" s="283"/>
    </row>
    <row r="70" spans="1:9" x14ac:dyDescent="0.3">
      <c r="A70" s="239">
        <f t="shared" si="18"/>
        <v>2010</v>
      </c>
      <c r="B70" s="281">
        <f t="shared" si="11"/>
        <v>330.14225276066469</v>
      </c>
      <c r="C70" s="281">
        <f t="shared" si="12"/>
        <v>92.398498068147376</v>
      </c>
      <c r="D70" s="281">
        <f t="shared" si="13"/>
        <v>259.90918403175584</v>
      </c>
      <c r="E70" s="281">
        <f t="shared" si="14"/>
        <v>0.26103177019636986</v>
      </c>
      <c r="F70" s="281">
        <f t="shared" si="15"/>
        <v>7.8412448441528557</v>
      </c>
      <c r="G70" s="281">
        <f t="shared" si="16"/>
        <v>0.84658496100956637</v>
      </c>
      <c r="H70" s="231">
        <f t="shared" si="17"/>
        <v>691.39879643592667</v>
      </c>
      <c r="I70" s="283"/>
    </row>
    <row r="71" spans="1:9" x14ac:dyDescent="0.3">
      <c r="A71" s="239">
        <f t="shared" si="18"/>
        <v>2011</v>
      </c>
      <c r="B71" s="281">
        <f t="shared" si="11"/>
        <v>345.3109545714205</v>
      </c>
      <c r="C71" s="281">
        <f t="shared" si="12"/>
        <v>101.73674749933193</v>
      </c>
      <c r="D71" s="281">
        <f t="shared" si="13"/>
        <v>255.98962608263088</v>
      </c>
      <c r="E71" s="281">
        <f t="shared" si="14"/>
        <v>0.26038362297221795</v>
      </c>
      <c r="F71" s="281">
        <f t="shared" si="15"/>
        <v>7.8154850193719358</v>
      </c>
      <c r="G71" s="281">
        <f t="shared" si="16"/>
        <v>0.87494565789390644</v>
      </c>
      <c r="H71" s="231">
        <f t="shared" si="17"/>
        <v>711.98814245362132</v>
      </c>
      <c r="I71" s="283"/>
    </row>
    <row r="72" spans="1:9" x14ac:dyDescent="0.3">
      <c r="A72" s="239">
        <f t="shared" si="18"/>
        <v>2012</v>
      </c>
      <c r="B72" s="281">
        <f t="shared" si="11"/>
        <v>330.56457361892467</v>
      </c>
      <c r="C72" s="281">
        <f t="shared" si="12"/>
        <v>101.93068910409019</v>
      </c>
      <c r="D72" s="281">
        <f t="shared" si="13"/>
        <v>265.92811183735961</v>
      </c>
      <c r="E72" s="281">
        <f t="shared" si="14"/>
        <v>0.25776971884868966</v>
      </c>
      <c r="F72" s="281">
        <f t="shared" si="15"/>
        <v>8.089767886814494</v>
      </c>
      <c r="G72" s="281">
        <f t="shared" si="16"/>
        <v>0.90135748154174922</v>
      </c>
      <c r="H72" s="231">
        <f t="shared" si="17"/>
        <v>707.67226964757924</v>
      </c>
      <c r="I72" s="283"/>
    </row>
    <row r="73" spans="1:9" x14ac:dyDescent="0.3">
      <c r="A73" s="239">
        <f t="shared" si="18"/>
        <v>2013</v>
      </c>
      <c r="B73" s="281">
        <f t="shared" si="11"/>
        <v>328.61276440346927</v>
      </c>
      <c r="C73" s="281">
        <f t="shared" si="12"/>
        <v>97.136405703198719</v>
      </c>
      <c r="D73" s="281">
        <f t="shared" si="13"/>
        <v>262.58655680809704</v>
      </c>
      <c r="E73" s="281">
        <f t="shared" si="14"/>
        <v>0.2405559908276475</v>
      </c>
      <c r="F73" s="281">
        <f t="shared" si="15"/>
        <v>8.1980435580125803</v>
      </c>
      <c r="G73" s="281">
        <f t="shared" si="16"/>
        <v>0.86913275319054428</v>
      </c>
      <c r="H73" s="231">
        <f t="shared" si="17"/>
        <v>697.6434592167958</v>
      </c>
      <c r="I73" s="283"/>
    </row>
    <row r="74" spans="1:9" x14ac:dyDescent="0.3">
      <c r="A74" s="227" t="str">
        <f>A26</f>
        <v>2013 Board Approved</v>
      </c>
      <c r="B74" s="281">
        <f>340561449/1000000</f>
        <v>340.56144899999998</v>
      </c>
      <c r="C74" s="281">
        <f>102179766/1000000</f>
        <v>102.179766</v>
      </c>
      <c r="D74" s="281">
        <f>251632820/1000000</f>
        <v>251.63282000000001</v>
      </c>
      <c r="E74" s="281">
        <f>254165/1000000</f>
        <v>0.25416499999999997</v>
      </c>
      <c r="F74" s="281">
        <f>7907160/1000000</f>
        <v>7.9071600000000002</v>
      </c>
      <c r="G74" s="281">
        <f>872889/1000000</f>
        <v>0.87288900000000003</v>
      </c>
      <c r="H74" s="231">
        <f t="shared" si="17"/>
        <v>703.40824899999996</v>
      </c>
    </row>
    <row r="75" spans="1:9" x14ac:dyDescent="0.3">
      <c r="A75" s="239">
        <f>A59</f>
        <v>2014</v>
      </c>
      <c r="B75" s="281">
        <f>B59*F183</f>
        <v>321.32897920378372</v>
      </c>
      <c r="C75" s="281">
        <f>C59*F183</f>
        <v>95.121160560481897</v>
      </c>
      <c r="D75" s="281">
        <f>D59*F183</f>
        <v>248.28291008058468</v>
      </c>
      <c r="E75" s="281">
        <f>E59*F183</f>
        <v>0.23345274323887419</v>
      </c>
      <c r="F75" s="281">
        <f>F59*F183</f>
        <v>7.4944202657399765</v>
      </c>
      <c r="G75" s="281">
        <f>G59*F183</f>
        <v>0.84039879326848077</v>
      </c>
      <c r="H75" s="231">
        <f>SUM(B75:G75)</f>
        <v>673.30132164709767</v>
      </c>
      <c r="I75" s="283"/>
    </row>
    <row r="76" spans="1:9" x14ac:dyDescent="0.3">
      <c r="A76" s="239">
        <f>A60</f>
        <v>2015</v>
      </c>
      <c r="B76" s="281">
        <f>B60*F184</f>
        <v>304.98140911312265</v>
      </c>
      <c r="C76" s="281">
        <f>C60*F184</f>
        <v>94.012886372490001</v>
      </c>
      <c r="D76" s="281">
        <f>D60*F184</f>
        <v>250.28988006236844</v>
      </c>
      <c r="E76" s="281">
        <f>E60*F184</f>
        <v>0.23108813834979144</v>
      </c>
      <c r="F76" s="281">
        <f>F60*F184</f>
        <v>7.1669092374633294</v>
      </c>
      <c r="G76" s="281">
        <f>G60*F184</f>
        <v>0.89660779153495518</v>
      </c>
      <c r="H76" s="231">
        <f t="shared" ref="H76:H79" si="19">SUM(B76:G76)</f>
        <v>657.57878071532923</v>
      </c>
      <c r="I76" s="283"/>
    </row>
    <row r="77" spans="1:9" x14ac:dyDescent="0.3">
      <c r="A77" s="239">
        <f>A61</f>
        <v>2016</v>
      </c>
      <c r="B77" s="281">
        <f>B61*F185</f>
        <v>291.74776071796231</v>
      </c>
      <c r="C77" s="281">
        <f>C61*F185</f>
        <v>93.133076743084246</v>
      </c>
      <c r="D77" s="281">
        <f>D61*F185</f>
        <v>252.5532496362168</v>
      </c>
      <c r="E77" s="281">
        <f>E61*F185</f>
        <v>0.22941585206428858</v>
      </c>
      <c r="F77" s="281">
        <f>F61*F185</f>
        <v>4.9198890970132805</v>
      </c>
      <c r="G77" s="281">
        <f>G61*F185</f>
        <v>0.91263915261823503</v>
      </c>
      <c r="H77" s="231">
        <f t="shared" si="19"/>
        <v>643.49603119895926</v>
      </c>
      <c r="I77" s="283"/>
    </row>
    <row r="78" spans="1:9" ht="15" customHeight="1" x14ac:dyDescent="0.3">
      <c r="A78" s="240" t="str">
        <f>A42</f>
        <v>2017 Bridge</v>
      </c>
      <c r="B78" s="281" t="e">
        <f>Summary!#REF!/1000000</f>
        <v>#REF!</v>
      </c>
      <c r="C78" s="281" t="e">
        <f>Summary!#REF!/1000000</f>
        <v>#REF!</v>
      </c>
      <c r="D78" s="281" t="e">
        <f>Summary!#REF!/1000000</f>
        <v>#REF!</v>
      </c>
      <c r="E78" s="281" t="e">
        <f>Summary!#REF!/1000000</f>
        <v>#REF!</v>
      </c>
      <c r="F78" s="281" t="e">
        <f>Summary!#REF!/1000000</f>
        <v>#REF!</v>
      </c>
      <c r="G78" s="281" t="e">
        <f>Summary!#REF!/1000000</f>
        <v>#REF!</v>
      </c>
      <c r="H78" s="231" t="e">
        <f t="shared" si="19"/>
        <v>#REF!</v>
      </c>
    </row>
    <row r="79" spans="1:9" x14ac:dyDescent="0.3">
      <c r="A79" s="240" t="str">
        <f>A43</f>
        <v>2018 Test</v>
      </c>
      <c r="B79" s="281">
        <f>Summary!Q15/1000000</f>
        <v>285.97898905512551</v>
      </c>
      <c r="C79" s="281">
        <f>Summary!Q19/1000000</f>
        <v>91.654269719868054</v>
      </c>
      <c r="D79" s="281">
        <f>Summary!Q23/1000000</f>
        <v>242.77440339192111</v>
      </c>
      <c r="E79" s="281">
        <f>Summary!Q28/1000000</f>
        <v>0.20980013099560146</v>
      </c>
      <c r="F79" s="281">
        <f>Summary!Q33/1000000</f>
        <v>2.3982212999999999</v>
      </c>
      <c r="G79" s="281">
        <f>Summary!Q38/1000000</f>
        <v>0.94473143889360511</v>
      </c>
      <c r="H79" s="231">
        <f t="shared" si="19"/>
        <v>623.96041503680397</v>
      </c>
    </row>
    <row r="80" spans="1:9" x14ac:dyDescent="0.3">
      <c r="A80" s="241"/>
      <c r="B80" s="242"/>
      <c r="C80" s="242"/>
      <c r="D80" s="242"/>
      <c r="E80" s="243"/>
      <c r="F80" s="242"/>
      <c r="G80" s="242"/>
    </row>
    <row r="81" spans="1:8" x14ac:dyDescent="0.3">
      <c r="A81" s="414" t="s">
        <v>252</v>
      </c>
      <c r="B81" s="414"/>
      <c r="C81" s="414"/>
      <c r="D81" s="414"/>
      <c r="E81" s="414"/>
      <c r="F81" s="414"/>
      <c r="G81" s="414"/>
    </row>
    <row r="82" spans="1:8" x14ac:dyDescent="0.3">
      <c r="A82" s="415" t="s">
        <v>149</v>
      </c>
      <c r="B82" s="415"/>
      <c r="C82" s="415"/>
      <c r="D82" s="415"/>
      <c r="E82" s="415"/>
      <c r="F82" s="415"/>
      <c r="G82" s="415"/>
      <c r="H82" s="415"/>
    </row>
    <row r="83" spans="1:8" ht="46.8" x14ac:dyDescent="0.3">
      <c r="A83" s="276" t="str">
        <f t="shared" ref="A83:H83" si="20">A46</f>
        <v>Year</v>
      </c>
      <c r="B83" s="277" t="str">
        <f t="shared" si="20"/>
        <v xml:space="preserve">Residential </v>
      </c>
      <c r="C83" s="277" t="str">
        <f t="shared" si="20"/>
        <v>General Service &lt; 50 kW</v>
      </c>
      <c r="D83" s="277" t="str">
        <f t="shared" si="20"/>
        <v>General Service 50 to 4,999 kW</v>
      </c>
      <c r="E83" s="277" t="str">
        <f t="shared" si="20"/>
        <v>Sentinel Lighting</v>
      </c>
      <c r="F83" s="277" t="str">
        <f t="shared" si="20"/>
        <v>Street Lights</v>
      </c>
      <c r="G83" s="277" t="str">
        <f t="shared" si="20"/>
        <v xml:space="preserve">Unmetered Scattered Load </v>
      </c>
      <c r="H83" s="277" t="str">
        <f t="shared" si="20"/>
        <v>Total</v>
      </c>
    </row>
    <row r="84" spans="1:8" x14ac:dyDescent="0.3">
      <c r="A84" s="239">
        <f t="shared" ref="A84:A94" si="21">A48</f>
        <v>2003</v>
      </c>
      <c r="B84" s="244">
        <f>+Summary!B14</f>
        <v>28544</v>
      </c>
      <c r="C84" s="244">
        <f>+Summary!B18</f>
        <v>3230</v>
      </c>
      <c r="D84" s="244">
        <f>+Summary!B22</f>
        <v>419</v>
      </c>
      <c r="E84" s="244">
        <f>+Summary!B27</f>
        <v>466</v>
      </c>
      <c r="F84" s="244">
        <f>+Summary!B32</f>
        <v>8619</v>
      </c>
      <c r="G84" s="245">
        <f>+Summary!B37</f>
        <v>12</v>
      </c>
      <c r="H84" s="244">
        <f t="shared" ref="H84:H100" si="22">SUM(B84:G84)</f>
        <v>41290</v>
      </c>
    </row>
    <row r="85" spans="1:8" x14ac:dyDescent="0.3">
      <c r="A85" s="239">
        <f t="shared" si="21"/>
        <v>2004</v>
      </c>
      <c r="B85" s="244">
        <f>+Summary!C14</f>
        <v>28560</v>
      </c>
      <c r="C85" s="244">
        <f>+Summary!C18</f>
        <v>3247</v>
      </c>
      <c r="D85" s="244">
        <f>+Summary!C22</f>
        <v>424</v>
      </c>
      <c r="E85" s="244">
        <f>+Summary!C27</f>
        <v>466</v>
      </c>
      <c r="F85" s="244">
        <f>+Summary!C32</f>
        <v>8635</v>
      </c>
      <c r="G85" s="245">
        <f>+Summary!C37</f>
        <v>19</v>
      </c>
      <c r="H85" s="244">
        <f t="shared" si="22"/>
        <v>41351</v>
      </c>
    </row>
    <row r="86" spans="1:8" x14ac:dyDescent="0.3">
      <c r="A86" s="239">
        <f t="shared" si="21"/>
        <v>2005</v>
      </c>
      <c r="B86" s="244">
        <f>+Summary!D14</f>
        <v>28576</v>
      </c>
      <c r="C86" s="244">
        <f>+Summary!D18</f>
        <v>3274</v>
      </c>
      <c r="D86" s="244">
        <f>+Summary!D22</f>
        <v>431</v>
      </c>
      <c r="E86" s="244">
        <f>+Summary!D27</f>
        <v>459</v>
      </c>
      <c r="F86" s="244">
        <f>+Summary!D32</f>
        <v>8642</v>
      </c>
      <c r="G86" s="245">
        <f>+Summary!D37</f>
        <v>27</v>
      </c>
      <c r="H86" s="244">
        <f t="shared" si="22"/>
        <v>41409</v>
      </c>
    </row>
    <row r="87" spans="1:8" x14ac:dyDescent="0.3">
      <c r="A87" s="239">
        <f t="shared" si="21"/>
        <v>2006</v>
      </c>
      <c r="B87" s="244">
        <f>+Summary!E14</f>
        <v>28596</v>
      </c>
      <c r="C87" s="244">
        <f>+Summary!E18</f>
        <v>3301</v>
      </c>
      <c r="D87" s="244">
        <f>+Summary!E22</f>
        <v>432</v>
      </c>
      <c r="E87" s="244">
        <f>+Summary!E27</f>
        <v>449</v>
      </c>
      <c r="F87" s="244">
        <f>+Summary!E32</f>
        <v>8663</v>
      </c>
      <c r="G87" s="245">
        <f>+Summary!E37</f>
        <v>28</v>
      </c>
      <c r="H87" s="244">
        <f t="shared" si="22"/>
        <v>41469</v>
      </c>
    </row>
    <row r="88" spans="1:8" x14ac:dyDescent="0.3">
      <c r="A88" s="239">
        <f t="shared" si="21"/>
        <v>2007</v>
      </c>
      <c r="B88" s="244">
        <f>+Summary!F14</f>
        <v>28630</v>
      </c>
      <c r="C88" s="244">
        <f>+Summary!F18</f>
        <v>3302</v>
      </c>
      <c r="D88" s="244">
        <f>+Summary!F22</f>
        <v>429</v>
      </c>
      <c r="E88" s="244">
        <f>+Summary!F27</f>
        <v>443</v>
      </c>
      <c r="F88" s="244">
        <f>+Summary!F32</f>
        <v>8707</v>
      </c>
      <c r="G88" s="245">
        <f>+Summary!F37</f>
        <v>27</v>
      </c>
      <c r="H88" s="244">
        <f t="shared" si="22"/>
        <v>41538</v>
      </c>
    </row>
    <row r="89" spans="1:8" x14ac:dyDescent="0.3">
      <c r="A89" s="239">
        <f t="shared" si="21"/>
        <v>2008</v>
      </c>
      <c r="B89" s="244">
        <f>+Summary!G14</f>
        <v>28780</v>
      </c>
      <c r="C89" s="244">
        <f>+Summary!G18</f>
        <v>3325</v>
      </c>
      <c r="D89" s="244">
        <f>+Summary!G22</f>
        <v>426</v>
      </c>
      <c r="E89" s="244">
        <f>+Summary!G27</f>
        <v>435</v>
      </c>
      <c r="F89" s="244">
        <f>+Summary!G32</f>
        <v>8741</v>
      </c>
      <c r="G89" s="245">
        <f>+Summary!G37</f>
        <v>22</v>
      </c>
      <c r="H89" s="244">
        <f t="shared" si="22"/>
        <v>41729</v>
      </c>
    </row>
    <row r="90" spans="1:8" ht="12.75" customHeight="1" x14ac:dyDescent="0.3">
      <c r="A90" s="239">
        <f t="shared" si="21"/>
        <v>2009</v>
      </c>
      <c r="B90" s="244">
        <f>+Summary!H14</f>
        <v>28971</v>
      </c>
      <c r="C90" s="244">
        <f>+Summary!H18</f>
        <v>3352</v>
      </c>
      <c r="D90" s="244">
        <f>+Summary!H22</f>
        <v>433</v>
      </c>
      <c r="E90" s="244">
        <f>+Summary!H27</f>
        <v>423</v>
      </c>
      <c r="F90" s="244">
        <f>+Summary!H32</f>
        <v>8799</v>
      </c>
      <c r="G90" s="245">
        <f>+Summary!H37</f>
        <v>17</v>
      </c>
      <c r="H90" s="244">
        <f t="shared" si="22"/>
        <v>41995</v>
      </c>
    </row>
    <row r="91" spans="1:8" x14ac:dyDescent="0.3">
      <c r="A91" s="239">
        <f t="shared" si="21"/>
        <v>2010</v>
      </c>
      <c r="B91" s="244">
        <f>+Summary!I14</f>
        <v>29057</v>
      </c>
      <c r="C91" s="244">
        <f>+Summary!I18</f>
        <v>3345</v>
      </c>
      <c r="D91" s="244">
        <f>+Summary!I22</f>
        <v>435</v>
      </c>
      <c r="E91" s="244">
        <f>+Summary!I27</f>
        <v>411</v>
      </c>
      <c r="F91" s="244">
        <f>+Summary!I32</f>
        <v>8846</v>
      </c>
      <c r="G91" s="245">
        <f>+Summary!I37</f>
        <v>16</v>
      </c>
      <c r="H91" s="244">
        <f t="shared" si="22"/>
        <v>42110</v>
      </c>
    </row>
    <row r="92" spans="1:8" x14ac:dyDescent="0.3">
      <c r="A92" s="239">
        <f t="shared" si="21"/>
        <v>2011</v>
      </c>
      <c r="B92" s="244">
        <f>+Summary!J14</f>
        <v>29124</v>
      </c>
      <c r="C92" s="244">
        <f>+Summary!J18</f>
        <v>3366</v>
      </c>
      <c r="D92" s="244">
        <f>+Summary!J22</f>
        <v>403</v>
      </c>
      <c r="E92" s="244">
        <f>+Summary!J27</f>
        <v>402</v>
      </c>
      <c r="F92" s="244">
        <f>+Summary!J32</f>
        <v>8846</v>
      </c>
      <c r="G92" s="245">
        <f>+Summary!J37</f>
        <v>19</v>
      </c>
      <c r="H92" s="244">
        <f t="shared" si="22"/>
        <v>42160</v>
      </c>
    </row>
    <row r="93" spans="1:8" x14ac:dyDescent="0.3">
      <c r="A93" s="239">
        <f t="shared" si="21"/>
        <v>2012</v>
      </c>
      <c r="B93" s="244">
        <f>+Summary!K14</f>
        <v>29327</v>
      </c>
      <c r="C93" s="244">
        <f>+Summary!K18</f>
        <v>3448</v>
      </c>
      <c r="D93" s="244">
        <f>+Summary!K22</f>
        <v>366</v>
      </c>
      <c r="E93" s="244">
        <f>+Summary!K27</f>
        <v>392</v>
      </c>
      <c r="F93" s="244">
        <f>+Summary!K32</f>
        <v>8846</v>
      </c>
      <c r="G93" s="245">
        <f>+Summary!K37</f>
        <v>21</v>
      </c>
      <c r="H93" s="244">
        <f t="shared" si="22"/>
        <v>42400</v>
      </c>
    </row>
    <row r="94" spans="1:8" x14ac:dyDescent="0.3">
      <c r="A94" s="239">
        <f t="shared" si="21"/>
        <v>2013</v>
      </c>
      <c r="B94" s="244">
        <f>+Summary!L14</f>
        <v>29504</v>
      </c>
      <c r="C94" s="244">
        <f>+Summary!L18</f>
        <v>3474</v>
      </c>
      <c r="D94" s="244">
        <f>+Summary!L22</f>
        <v>373</v>
      </c>
      <c r="E94" s="244">
        <f>+Summary!L27</f>
        <v>374</v>
      </c>
      <c r="F94" s="244">
        <f>+Summary!L32</f>
        <v>8846</v>
      </c>
      <c r="G94" s="245">
        <f>+Summary!L37</f>
        <v>21</v>
      </c>
      <c r="H94" s="244">
        <f t="shared" si="22"/>
        <v>42592</v>
      </c>
    </row>
    <row r="95" spans="1:8" x14ac:dyDescent="0.3">
      <c r="A95" s="239" t="str">
        <f>A74</f>
        <v>2013 Board Approved</v>
      </c>
      <c r="B95" s="244">
        <v>29271</v>
      </c>
      <c r="C95" s="244">
        <v>3401</v>
      </c>
      <c r="D95" s="244">
        <v>399</v>
      </c>
      <c r="E95" s="244">
        <v>387</v>
      </c>
      <c r="F95" s="244">
        <v>8904</v>
      </c>
      <c r="G95" s="245">
        <v>21</v>
      </c>
      <c r="H95" s="244">
        <f t="shared" si="22"/>
        <v>42383</v>
      </c>
    </row>
    <row r="96" spans="1:8" x14ac:dyDescent="0.3">
      <c r="A96" s="239">
        <f>A59</f>
        <v>2014</v>
      </c>
      <c r="B96" s="244">
        <f>+Summary!M14</f>
        <v>29514</v>
      </c>
      <c r="C96" s="244">
        <f>+Summary!M18</f>
        <v>3464</v>
      </c>
      <c r="D96" s="244">
        <f>+Summary!M22</f>
        <v>370</v>
      </c>
      <c r="E96" s="244">
        <f>+Summary!M27</f>
        <v>362</v>
      </c>
      <c r="F96" s="244">
        <f>+Summary!M32</f>
        <v>8846</v>
      </c>
      <c r="G96" s="245">
        <f>+Summary!M37</f>
        <v>21</v>
      </c>
      <c r="H96" s="244">
        <f t="shared" si="22"/>
        <v>42577</v>
      </c>
    </row>
    <row r="97" spans="1:8" x14ac:dyDescent="0.3">
      <c r="A97" s="239">
        <f>A60</f>
        <v>2015</v>
      </c>
      <c r="B97" s="244">
        <f>+Summary!N14</f>
        <v>29566</v>
      </c>
      <c r="C97" s="244">
        <f>+Summary!N18</f>
        <v>3431</v>
      </c>
      <c r="D97" s="244">
        <f>+Summary!N22</f>
        <v>373</v>
      </c>
      <c r="E97" s="244">
        <f>+Summary!N27</f>
        <v>360</v>
      </c>
      <c r="F97" s="244">
        <f>+Summary!N32</f>
        <v>8839</v>
      </c>
      <c r="G97" s="245">
        <f>+Summary!N37</f>
        <v>21</v>
      </c>
      <c r="H97" s="244">
        <f t="shared" si="22"/>
        <v>42590</v>
      </c>
    </row>
    <row r="98" spans="1:8" x14ac:dyDescent="0.3">
      <c r="A98" s="239">
        <f>A61</f>
        <v>2016</v>
      </c>
      <c r="B98" s="244">
        <f>+Summary!O14</f>
        <v>29620</v>
      </c>
      <c r="C98" s="244">
        <f>+Summary!O18</f>
        <v>3414</v>
      </c>
      <c r="D98" s="244">
        <f>+Summary!O22</f>
        <v>361</v>
      </c>
      <c r="E98" s="244">
        <f>+Summary!O27</f>
        <v>362</v>
      </c>
      <c r="F98" s="244">
        <f>+Summary!O32</f>
        <v>8872</v>
      </c>
      <c r="G98" s="245">
        <f>+Summary!O37</f>
        <v>21</v>
      </c>
      <c r="H98" s="244">
        <f t="shared" si="22"/>
        <v>42650</v>
      </c>
    </row>
    <row r="99" spans="1:8" ht="12.75" customHeight="1" x14ac:dyDescent="0.3">
      <c r="A99" s="240" t="str">
        <f>A78</f>
        <v>2017 Bridge</v>
      </c>
      <c r="B99" s="244">
        <f>+Summary!P14</f>
        <v>29729</v>
      </c>
      <c r="C99" s="244">
        <f>+Summary!P18</f>
        <v>3417</v>
      </c>
      <c r="D99" s="244">
        <f>+Summary!P22</f>
        <v>361</v>
      </c>
      <c r="E99" s="244">
        <f>+Summary!P27</f>
        <v>361</v>
      </c>
      <c r="F99" s="244">
        <f>+Summary!P32</f>
        <v>8070</v>
      </c>
      <c r="G99" s="245">
        <f>+Summary!P37</f>
        <v>21</v>
      </c>
      <c r="H99" s="244">
        <f t="shared" si="22"/>
        <v>41959</v>
      </c>
    </row>
    <row r="100" spans="1:8" ht="12.75" customHeight="1" x14ac:dyDescent="0.3">
      <c r="A100" s="239" t="str">
        <f>A79</f>
        <v>2018 Test</v>
      </c>
      <c r="B100" s="244">
        <f>+Summary!Q14</f>
        <v>29815.501606131944</v>
      </c>
      <c r="C100" s="244">
        <f>+Summary!Q18</f>
        <v>3430.7641919188468</v>
      </c>
      <c r="D100" s="244">
        <f>+Summary!Q22</f>
        <v>357.17848110967191</v>
      </c>
      <c r="E100" s="244">
        <f>+Summary!Q27</f>
        <v>354.47637329291484</v>
      </c>
      <c r="F100" s="244">
        <f>+Summary!Q32</f>
        <v>8070</v>
      </c>
      <c r="G100" s="245">
        <f>+Summary!Q37</f>
        <v>21.856426428186388</v>
      </c>
      <c r="H100" s="244">
        <f t="shared" si="22"/>
        <v>42049.777078881569</v>
      </c>
    </row>
    <row r="101" spans="1:8" ht="12.75" customHeight="1" x14ac:dyDescent="0.3">
      <c r="A101"/>
      <c r="B101"/>
      <c r="C101"/>
      <c r="D101"/>
      <c r="E101"/>
      <c r="F101"/>
      <c r="G101"/>
      <c r="H101"/>
    </row>
    <row r="102" spans="1:8" ht="12.75" customHeight="1" x14ac:dyDescent="0.3">
      <c r="A102" s="414" t="s">
        <v>235</v>
      </c>
      <c r="B102" s="414"/>
      <c r="C102" s="414"/>
      <c r="D102" s="414"/>
      <c r="E102" s="414"/>
      <c r="F102" s="414"/>
      <c r="G102" s="414"/>
      <c r="H102"/>
    </row>
    <row r="103" spans="1:8" ht="46.8" x14ac:dyDescent="0.3">
      <c r="A103" s="317" t="str">
        <f>A83</f>
        <v>Year</v>
      </c>
      <c r="B103" s="277" t="str">
        <f t="shared" ref="B103:G103" si="23">B83</f>
        <v xml:space="preserve">Residential </v>
      </c>
      <c r="C103" s="277" t="str">
        <f t="shared" si="23"/>
        <v>General Service &lt; 50 kW</v>
      </c>
      <c r="D103" s="277" t="str">
        <f t="shared" si="23"/>
        <v>General Service 50 to 4,999 kW</v>
      </c>
      <c r="E103" s="277" t="str">
        <f t="shared" si="23"/>
        <v>Sentinel Lighting</v>
      </c>
      <c r="F103" s="277" t="str">
        <f t="shared" si="23"/>
        <v>Street Lights</v>
      </c>
      <c r="G103" s="277" t="str">
        <f t="shared" si="23"/>
        <v xml:space="preserve">Unmetered Scattered Load </v>
      </c>
      <c r="H103"/>
    </row>
    <row r="104" spans="1:8" x14ac:dyDescent="0.3">
      <c r="A104" s="415" t="s">
        <v>203</v>
      </c>
      <c r="B104" s="415"/>
      <c r="C104" s="415"/>
      <c r="D104" s="415"/>
      <c r="E104" s="415"/>
      <c r="F104" s="415"/>
      <c r="G104" s="415"/>
      <c r="H104"/>
    </row>
    <row r="105" spans="1:8" x14ac:dyDescent="0.3">
      <c r="A105" s="240">
        <f t="shared" ref="A105:A118" si="24">A28</f>
        <v>2003</v>
      </c>
      <c r="B105" s="244">
        <f>B48/B84*1000000</f>
        <v>12298.132357062781</v>
      </c>
      <c r="C105" s="244">
        <f t="shared" ref="C105:G105" si="25">C48/C84*1000000</f>
        <v>29772.223529411764</v>
      </c>
      <c r="D105" s="244">
        <f t="shared" si="25"/>
        <v>629506.41050119337</v>
      </c>
      <c r="E105" s="244">
        <f t="shared" si="25"/>
        <v>593.48068669527891</v>
      </c>
      <c r="F105" s="244">
        <f t="shared" si="25"/>
        <v>834.49831767026342</v>
      </c>
      <c r="G105" s="244">
        <f t="shared" si="25"/>
        <v>70969.75</v>
      </c>
      <c r="H105"/>
    </row>
    <row r="106" spans="1:8" x14ac:dyDescent="0.3">
      <c r="A106" s="240">
        <f t="shared" si="24"/>
        <v>2004</v>
      </c>
      <c r="B106" s="244">
        <f t="shared" ref="B106:G106" si="26">B49/B85*1000000</f>
        <v>12482.160084033614</v>
      </c>
      <c r="C106" s="244">
        <f t="shared" si="26"/>
        <v>29480.088389282413</v>
      </c>
      <c r="D106" s="244">
        <f t="shared" si="26"/>
        <v>628742.38679245289</v>
      </c>
      <c r="E106" s="244">
        <f t="shared" si="26"/>
        <v>624.95278969957087</v>
      </c>
      <c r="F106" s="244">
        <f t="shared" si="26"/>
        <v>854.09693109438331</v>
      </c>
      <c r="G106" s="244">
        <f t="shared" si="26"/>
        <v>44350.210526315794</v>
      </c>
      <c r="H106"/>
    </row>
    <row r="107" spans="1:8" x14ac:dyDescent="0.3">
      <c r="A107" s="240">
        <f t="shared" si="24"/>
        <v>2005</v>
      </c>
      <c r="B107" s="244">
        <f t="shared" ref="B107:G107" si="27">B50/B86*1000000</f>
        <v>12152.654640257557</v>
      </c>
      <c r="C107" s="244">
        <f t="shared" si="27"/>
        <v>29197.196701282835</v>
      </c>
      <c r="D107" s="244">
        <f t="shared" si="27"/>
        <v>617335.85614849185</v>
      </c>
      <c r="E107" s="244">
        <f t="shared" si="27"/>
        <v>613.0849673202614</v>
      </c>
      <c r="F107" s="244">
        <f t="shared" si="27"/>
        <v>893.21071511224261</v>
      </c>
      <c r="G107" s="244">
        <f t="shared" si="27"/>
        <v>31326.925925925923</v>
      </c>
      <c r="H107"/>
    </row>
    <row r="108" spans="1:8" x14ac:dyDescent="0.3">
      <c r="A108" s="240">
        <f t="shared" si="24"/>
        <v>2006</v>
      </c>
      <c r="B108" s="244">
        <f t="shared" ref="B108:G108" si="28">B51/B87*1000000</f>
        <v>11728.757133864876</v>
      </c>
      <c r="C108" s="244">
        <f t="shared" si="28"/>
        <v>26286.238412602241</v>
      </c>
      <c r="D108" s="244">
        <f t="shared" si="28"/>
        <v>616292.60879629629</v>
      </c>
      <c r="E108" s="244">
        <f t="shared" si="28"/>
        <v>610.26503340757245</v>
      </c>
      <c r="F108" s="244">
        <f t="shared" si="28"/>
        <v>877.96652429874177</v>
      </c>
      <c r="G108" s="244">
        <f t="shared" si="28"/>
        <v>30576.892857142859</v>
      </c>
      <c r="H108"/>
    </row>
    <row r="109" spans="1:8" x14ac:dyDescent="0.3">
      <c r="A109" s="240">
        <f t="shared" si="24"/>
        <v>2007</v>
      </c>
      <c r="B109" s="244">
        <f t="shared" ref="B109:G109" si="29">B52/B88*1000000</f>
        <v>11836.337303527769</v>
      </c>
      <c r="C109" s="244">
        <f t="shared" si="29"/>
        <v>28535.877649909147</v>
      </c>
      <c r="D109" s="244">
        <f t="shared" si="29"/>
        <v>605898.37529137533</v>
      </c>
      <c r="E109" s="244">
        <f t="shared" si="29"/>
        <v>607.34537246049661</v>
      </c>
      <c r="F109" s="244">
        <f t="shared" si="29"/>
        <v>877.1710118295623</v>
      </c>
      <c r="G109" s="244">
        <f t="shared" si="29"/>
        <v>31999.333333333332</v>
      </c>
      <c r="H109"/>
    </row>
    <row r="110" spans="1:8" x14ac:dyDescent="0.3">
      <c r="A110" s="240">
        <f t="shared" si="24"/>
        <v>2008</v>
      </c>
      <c r="B110" s="244">
        <f t="shared" ref="B110:G110" si="30">B53/B89*1000000</f>
        <v>12069.604933981931</v>
      </c>
      <c r="C110" s="244">
        <f t="shared" si="30"/>
        <v>28112.528721804512</v>
      </c>
      <c r="D110" s="244">
        <f t="shared" si="30"/>
        <v>612967.00704225351</v>
      </c>
      <c r="E110" s="244">
        <f t="shared" si="30"/>
        <v>617.84597701149414</v>
      </c>
      <c r="F110" s="244">
        <f t="shared" si="30"/>
        <v>871.77725660679562</v>
      </c>
      <c r="G110" s="244">
        <f t="shared" si="30"/>
        <v>38560.227272727272</v>
      </c>
      <c r="H110"/>
    </row>
    <row r="111" spans="1:8" x14ac:dyDescent="0.3">
      <c r="A111" s="240">
        <f t="shared" si="24"/>
        <v>2009</v>
      </c>
      <c r="B111" s="244">
        <f t="shared" ref="B111:G111" si="31">B54/B90*1000000</f>
        <v>12033.390597494044</v>
      </c>
      <c r="C111" s="244">
        <f t="shared" si="31"/>
        <v>27282.285501193317</v>
      </c>
      <c r="D111" s="244">
        <f t="shared" si="31"/>
        <v>598148.13163972285</v>
      </c>
      <c r="E111" s="244">
        <f t="shared" si="31"/>
        <v>620.61938534278954</v>
      </c>
      <c r="F111" s="244">
        <f t="shared" si="31"/>
        <v>864.07648596431409</v>
      </c>
      <c r="G111" s="244">
        <f t="shared" si="31"/>
        <v>48438.117647058818</v>
      </c>
      <c r="H111"/>
    </row>
    <row r="112" spans="1:8" x14ac:dyDescent="0.3">
      <c r="A112" s="240">
        <f t="shared" si="24"/>
        <v>2010</v>
      </c>
      <c r="B112" s="244">
        <f t="shared" ref="B112:G112" si="32">B55/B91*1000000</f>
        <v>11236.318752796229</v>
      </c>
      <c r="C112" s="244">
        <f t="shared" si="32"/>
        <v>27317.597608370703</v>
      </c>
      <c r="D112" s="244">
        <f t="shared" si="32"/>
        <v>590889.24137931026</v>
      </c>
      <c r="E112" s="244">
        <f t="shared" si="32"/>
        <v>628.09489051094897</v>
      </c>
      <c r="F112" s="244">
        <f t="shared" si="32"/>
        <v>876.62084557992318</v>
      </c>
      <c r="G112" s="244">
        <f t="shared" si="32"/>
        <v>52326.8125</v>
      </c>
      <c r="H112"/>
    </row>
    <row r="113" spans="1:8" x14ac:dyDescent="0.3">
      <c r="A113" s="240">
        <f t="shared" si="24"/>
        <v>2011</v>
      </c>
      <c r="B113" s="244">
        <f t="shared" ref="B113:G113" si="33">B56/B92*1000000</f>
        <v>11855.592604037907</v>
      </c>
      <c r="C113" s="244">
        <f t="shared" si="33"/>
        <v>30222.311051693407</v>
      </c>
      <c r="D113" s="244">
        <f t="shared" si="33"/>
        <v>635157.2406947891</v>
      </c>
      <c r="E113" s="244">
        <f t="shared" si="33"/>
        <v>647.66666666666663</v>
      </c>
      <c r="F113" s="244">
        <f t="shared" si="33"/>
        <v>883.43160750621746</v>
      </c>
      <c r="G113" s="244">
        <f t="shared" si="33"/>
        <v>46045.947368421053</v>
      </c>
      <c r="H113"/>
    </row>
    <row r="114" spans="1:8" x14ac:dyDescent="0.3">
      <c r="A114" s="240">
        <f t="shared" si="24"/>
        <v>2012</v>
      </c>
      <c r="B114" s="244">
        <f t="shared" ref="B114:G114" si="34">B57/B93*1000000</f>
        <v>10779.406178606743</v>
      </c>
      <c r="C114" s="244">
        <f t="shared" si="34"/>
        <v>28271.175754060328</v>
      </c>
      <c r="D114" s="244">
        <f t="shared" si="34"/>
        <v>694847.23224043718</v>
      </c>
      <c r="E114" s="244">
        <f t="shared" si="34"/>
        <v>628.85714285714289</v>
      </c>
      <c r="F114" s="244">
        <f t="shared" si="34"/>
        <v>874.57144472077778</v>
      </c>
      <c r="G114" s="244">
        <f t="shared" si="34"/>
        <v>41047.238095238092</v>
      </c>
      <c r="H114"/>
    </row>
    <row r="115" spans="1:8" x14ac:dyDescent="0.3">
      <c r="A115" s="240">
        <f t="shared" si="24"/>
        <v>2013</v>
      </c>
      <c r="B115" s="244">
        <f t="shared" ref="B115:G115" si="35">B58/B94*1000000</f>
        <v>10987.845444685465</v>
      </c>
      <c r="C115" s="244">
        <f t="shared" si="35"/>
        <v>27584.253022452504</v>
      </c>
      <c r="D115" s="244">
        <f t="shared" si="35"/>
        <v>694500.67024128686</v>
      </c>
      <c r="E115" s="244">
        <f t="shared" si="35"/>
        <v>634.5320855614973</v>
      </c>
      <c r="F115" s="244">
        <f t="shared" si="35"/>
        <v>914.26543070314278</v>
      </c>
      <c r="G115" s="244">
        <f t="shared" si="35"/>
        <v>40829.666666666664</v>
      </c>
      <c r="H115"/>
    </row>
    <row r="116" spans="1:8" x14ac:dyDescent="0.3">
      <c r="A116" s="240">
        <f t="shared" si="24"/>
        <v>2014</v>
      </c>
      <c r="B116" s="244">
        <f>B59/B96*1000000</f>
        <v>11348.864369451785</v>
      </c>
      <c r="C116" s="244">
        <f t="shared" ref="C116:G116" si="36">C59/C96*1000000</f>
        <v>28623.968244803695</v>
      </c>
      <c r="D116" s="244">
        <f t="shared" si="36"/>
        <v>699480.62162162177</v>
      </c>
      <c r="E116" s="244">
        <f t="shared" si="36"/>
        <v>672.23480662983434</v>
      </c>
      <c r="F116" s="244">
        <f t="shared" si="36"/>
        <v>883.12401085236274</v>
      </c>
      <c r="G116" s="244">
        <f t="shared" si="36"/>
        <v>41715.428571428572</v>
      </c>
      <c r="H116"/>
    </row>
    <row r="117" spans="1:8" x14ac:dyDescent="0.3">
      <c r="A117" s="240">
        <f t="shared" si="24"/>
        <v>2015</v>
      </c>
      <c r="B117" s="244">
        <f t="shared" ref="B117:G117" si="37">B60/B97*1000000</f>
        <v>10500.515456943787</v>
      </c>
      <c r="C117" s="244">
        <f t="shared" si="37"/>
        <v>27893.081317400171</v>
      </c>
      <c r="D117" s="244">
        <f t="shared" si="37"/>
        <v>683068.53887399449</v>
      </c>
      <c r="E117" s="244">
        <f t="shared" si="37"/>
        <v>653.43888888888898</v>
      </c>
      <c r="F117" s="244">
        <f t="shared" si="37"/>
        <v>825.38884489195618</v>
      </c>
      <c r="G117" s="244">
        <f t="shared" si="37"/>
        <v>43462.333333333328</v>
      </c>
      <c r="H117"/>
    </row>
    <row r="118" spans="1:8" x14ac:dyDescent="0.3">
      <c r="A118" s="240">
        <f t="shared" si="24"/>
        <v>2016</v>
      </c>
      <c r="B118" s="244">
        <f t="shared" ref="B118:G118" si="38">B61/B98*1000000</f>
        <v>9748.3621336934502</v>
      </c>
      <c r="C118" s="244">
        <f t="shared" si="38"/>
        <v>26999.12009373169</v>
      </c>
      <c r="D118" s="244">
        <f t="shared" si="38"/>
        <v>692396.61495844868</v>
      </c>
      <c r="E118" s="244">
        <f t="shared" si="38"/>
        <v>627.22596685082874</v>
      </c>
      <c r="F118" s="244">
        <f t="shared" si="38"/>
        <v>548.83646302975649</v>
      </c>
      <c r="G118" s="244">
        <f t="shared" si="38"/>
        <v>43011.934761904762</v>
      </c>
      <c r="H118"/>
    </row>
    <row r="119" spans="1:8" x14ac:dyDescent="0.3">
      <c r="A119" s="415" t="s">
        <v>204</v>
      </c>
      <c r="B119" s="415"/>
      <c r="C119" s="415"/>
      <c r="D119" s="415"/>
      <c r="E119" s="415"/>
      <c r="F119" s="415"/>
      <c r="G119" s="415"/>
      <c r="H119"/>
    </row>
    <row r="120" spans="1:8" x14ac:dyDescent="0.3">
      <c r="A120" s="240">
        <f t="shared" ref="A120:A136" si="39">A63</f>
        <v>2003</v>
      </c>
      <c r="B120" s="244">
        <f>B63*1000000/B84</f>
        <v>12051.400031492654</v>
      </c>
      <c r="C120" s="244">
        <f t="shared" ref="C120:G120" si="40">C63*1000000/C84</f>
        <v>29174.915764661069</v>
      </c>
      <c r="D120" s="244">
        <f t="shared" si="40"/>
        <v>616876.88464192243</v>
      </c>
      <c r="E120" s="244">
        <f t="shared" si="40"/>
        <v>581.57392998150954</v>
      </c>
      <c r="F120" s="244">
        <f t="shared" si="40"/>
        <v>817.75612425217946</v>
      </c>
      <c r="G120" s="244">
        <f t="shared" si="40"/>
        <v>69545.913359262093</v>
      </c>
      <c r="H120"/>
    </row>
    <row r="121" spans="1:8" x14ac:dyDescent="0.3">
      <c r="A121" s="240">
        <f t="shared" si="39"/>
        <v>2004</v>
      </c>
      <c r="B121" s="244">
        <f t="shared" ref="B121:G121" si="41">B64*1000000/B85</f>
        <v>12318.227189665804</v>
      </c>
      <c r="C121" s="244">
        <f t="shared" si="41"/>
        <v>29092.915321212593</v>
      </c>
      <c r="D121" s="244">
        <f t="shared" si="41"/>
        <v>620484.87698768324</v>
      </c>
      <c r="E121" s="244">
        <f t="shared" si="41"/>
        <v>616.74505009609186</v>
      </c>
      <c r="F121" s="244">
        <f t="shared" si="41"/>
        <v>842.87975545792722</v>
      </c>
      <c r="G121" s="244">
        <f t="shared" si="41"/>
        <v>43767.742561760475</v>
      </c>
      <c r="H121"/>
    </row>
    <row r="122" spans="1:8" x14ac:dyDescent="0.3">
      <c r="A122" s="240">
        <f t="shared" si="39"/>
        <v>2005</v>
      </c>
      <c r="B122" s="244">
        <f t="shared" ref="B122:G122" si="42">B65*1000000/B86</f>
        <v>12047.710609398429</v>
      </c>
      <c r="C122" s="244">
        <f t="shared" si="42"/>
        <v>28945.064833610955</v>
      </c>
      <c r="D122" s="244">
        <f t="shared" si="42"/>
        <v>612004.86345135048</v>
      </c>
      <c r="E122" s="244">
        <f t="shared" si="42"/>
        <v>607.79068309724153</v>
      </c>
      <c r="F122" s="244">
        <f t="shared" si="42"/>
        <v>885.49741002580288</v>
      </c>
      <c r="G122" s="244">
        <f t="shared" si="42"/>
        <v>31056.402819788986</v>
      </c>
      <c r="H122"/>
    </row>
    <row r="123" spans="1:8" x14ac:dyDescent="0.3">
      <c r="A123" s="240">
        <f t="shared" si="39"/>
        <v>2006</v>
      </c>
      <c r="B123" s="244">
        <f t="shared" ref="B123:G123" si="43">B66*1000000/B87</f>
        <v>11922.341800739536</v>
      </c>
      <c r="C123" s="244">
        <f t="shared" si="43"/>
        <v>26720.096207457496</v>
      </c>
      <c r="D123" s="244">
        <f t="shared" si="43"/>
        <v>626464.5987189688</v>
      </c>
      <c r="E123" s="244">
        <f t="shared" si="43"/>
        <v>620.33753741196983</v>
      </c>
      <c r="F123" s="244">
        <f t="shared" si="43"/>
        <v>892.45747634026202</v>
      </c>
      <c r="G123" s="244">
        <f t="shared" si="43"/>
        <v>31081.568463454238</v>
      </c>
      <c r="H123"/>
    </row>
    <row r="124" spans="1:8" x14ac:dyDescent="0.3">
      <c r="A124" s="240">
        <f t="shared" si="39"/>
        <v>2007</v>
      </c>
      <c r="B124" s="244">
        <f t="shared" ref="B124:G124" si="44">B67*1000000/B88</f>
        <v>11778.480999652878</v>
      </c>
      <c r="C124" s="244">
        <f t="shared" si="44"/>
        <v>28396.393587710467</v>
      </c>
      <c r="D124" s="244">
        <f t="shared" si="44"/>
        <v>602936.72933458828</v>
      </c>
      <c r="E124" s="244">
        <f t="shared" si="44"/>
        <v>604.37665354644457</v>
      </c>
      <c r="F124" s="244">
        <f t="shared" si="44"/>
        <v>872.88337864463028</v>
      </c>
      <c r="G124" s="244">
        <f t="shared" si="44"/>
        <v>31842.919815734826</v>
      </c>
      <c r="H124"/>
    </row>
    <row r="125" spans="1:8" s="235" customFormat="1" x14ac:dyDescent="0.3">
      <c r="A125" s="240">
        <f t="shared" si="39"/>
        <v>2008</v>
      </c>
      <c r="B125" s="244">
        <f t="shared" ref="B125:G125" si="45">B68*1000000/B89</f>
        <v>11905.603478427152</v>
      </c>
      <c r="C125" s="244">
        <f t="shared" si="45"/>
        <v>27730.536464815166</v>
      </c>
      <c r="D125" s="244">
        <f t="shared" si="45"/>
        <v>604638.02842929563</v>
      </c>
      <c r="E125" s="244">
        <f t="shared" si="45"/>
        <v>609.45070309053403</v>
      </c>
      <c r="F125" s="244">
        <f t="shared" si="45"/>
        <v>859.9315715338297</v>
      </c>
      <c r="G125" s="244">
        <f t="shared" si="45"/>
        <v>38036.27197892595</v>
      </c>
      <c r="H125"/>
    </row>
    <row r="126" spans="1:8" s="235" customFormat="1" x14ac:dyDescent="0.3">
      <c r="A126" s="240">
        <f t="shared" si="39"/>
        <v>2009</v>
      </c>
      <c r="B126" s="244">
        <f t="shared" ref="B126:G126" si="46">B69*1000000/B90</f>
        <v>11878.306549579092</v>
      </c>
      <c r="C126" s="244">
        <f t="shared" si="46"/>
        <v>26930.676597815946</v>
      </c>
      <c r="D126" s="244">
        <f t="shared" si="46"/>
        <v>590439.31235426129</v>
      </c>
      <c r="E126" s="244">
        <f t="shared" si="46"/>
        <v>612.62096081616505</v>
      </c>
      <c r="F126" s="244">
        <f t="shared" si="46"/>
        <v>852.94043265782727</v>
      </c>
      <c r="G126" s="244">
        <f t="shared" si="46"/>
        <v>47813.856405206432</v>
      </c>
      <c r="H126"/>
    </row>
    <row r="127" spans="1:8" x14ac:dyDescent="0.3">
      <c r="A127" s="240">
        <f t="shared" si="39"/>
        <v>2010</v>
      </c>
      <c r="B127" s="244">
        <f t="shared" ref="B127:G127" si="47">B70*1000000/B91</f>
        <v>11361.883634259033</v>
      </c>
      <c r="C127" s="244">
        <f t="shared" si="47"/>
        <v>27622.869377622534</v>
      </c>
      <c r="D127" s="244">
        <f t="shared" si="47"/>
        <v>597492.3770844962</v>
      </c>
      <c r="E127" s="244">
        <f t="shared" si="47"/>
        <v>635.11379609822347</v>
      </c>
      <c r="F127" s="244">
        <f t="shared" si="47"/>
        <v>886.41700702609717</v>
      </c>
      <c r="G127" s="244">
        <f t="shared" si="47"/>
        <v>52911.560063097895</v>
      </c>
      <c r="H127"/>
    </row>
    <row r="128" spans="1:8" x14ac:dyDescent="0.3">
      <c r="A128" s="240">
        <f t="shared" si="39"/>
        <v>2011</v>
      </c>
      <c r="B128" s="244">
        <f t="shared" ref="B128:G128" si="48">B71*1000000/B92</f>
        <v>11856.577206819822</v>
      </c>
      <c r="C128" s="244">
        <f t="shared" si="48"/>
        <v>30224.821003960762</v>
      </c>
      <c r="D128" s="244">
        <f t="shared" si="48"/>
        <v>635209.99027948105</v>
      </c>
      <c r="E128" s="244">
        <f t="shared" si="48"/>
        <v>647.720455154771</v>
      </c>
      <c r="F128" s="244">
        <f t="shared" si="48"/>
        <v>883.5049761894569</v>
      </c>
      <c r="G128" s="244">
        <f t="shared" si="48"/>
        <v>46049.771468100342</v>
      </c>
      <c r="H128"/>
    </row>
    <row r="129" spans="1:8" x14ac:dyDescent="0.3">
      <c r="A129" s="240">
        <f t="shared" si="39"/>
        <v>2012</v>
      </c>
      <c r="B129" s="244">
        <f t="shared" ref="B129:G129" si="49">B72*1000000/B93</f>
        <v>11271.680486204681</v>
      </c>
      <c r="C129" s="244">
        <f t="shared" si="49"/>
        <v>29562.264821371868</v>
      </c>
      <c r="D129" s="244">
        <f t="shared" si="49"/>
        <v>726579.54053923395</v>
      </c>
      <c r="E129" s="244">
        <f t="shared" si="49"/>
        <v>657.57581338951445</v>
      </c>
      <c r="F129" s="244">
        <f t="shared" si="49"/>
        <v>914.51140479476533</v>
      </c>
      <c r="G129" s="244">
        <f t="shared" si="49"/>
        <v>42921.784835321392</v>
      </c>
      <c r="H129"/>
    </row>
    <row r="130" spans="1:8" x14ac:dyDescent="0.3">
      <c r="A130" s="240">
        <f t="shared" si="39"/>
        <v>2013</v>
      </c>
      <c r="B130" s="244">
        <f t="shared" ref="B130:G130" si="50">B73*1000000/B94</f>
        <v>11137.905518013466</v>
      </c>
      <c r="C130" s="244">
        <f t="shared" si="50"/>
        <v>27960.968826482072</v>
      </c>
      <c r="D130" s="244">
        <f t="shared" si="50"/>
        <v>703985.40699221729</v>
      </c>
      <c r="E130" s="244">
        <f t="shared" si="50"/>
        <v>643.19783643756011</v>
      </c>
      <c r="F130" s="244">
        <f t="shared" si="50"/>
        <v>926.75147614883338</v>
      </c>
      <c r="G130" s="244">
        <f t="shared" si="50"/>
        <v>41387.273961454492</v>
      </c>
      <c r="H130"/>
    </row>
    <row r="131" spans="1:8" ht="12.75" customHeight="1" x14ac:dyDescent="0.3">
      <c r="A131" s="240" t="str">
        <f t="shared" si="39"/>
        <v>2013 Board Approved</v>
      </c>
      <c r="B131" s="244">
        <f t="shared" ref="B131:G131" si="51">B74*1000000/B95</f>
        <v>11634.773290970585</v>
      </c>
      <c r="C131" s="244">
        <f t="shared" si="51"/>
        <v>30044.035871802411</v>
      </c>
      <c r="D131" s="244">
        <f t="shared" si="51"/>
        <v>630658.69674185466</v>
      </c>
      <c r="E131" s="244">
        <f t="shared" si="51"/>
        <v>656.7571059431524</v>
      </c>
      <c r="F131" s="244">
        <f t="shared" si="51"/>
        <v>888.04582210242586</v>
      </c>
      <c r="G131" s="244">
        <f t="shared" si="51"/>
        <v>41566.142857142855</v>
      </c>
      <c r="H131"/>
    </row>
    <row r="132" spans="1:8" x14ac:dyDescent="0.3">
      <c r="A132" s="240">
        <f t="shared" si="39"/>
        <v>2014</v>
      </c>
      <c r="B132" s="244">
        <f t="shared" ref="B132:G132" si="52">B75*1000000/B96</f>
        <v>10887.340895974239</v>
      </c>
      <c r="C132" s="244">
        <f t="shared" si="52"/>
        <v>27459.919330393157</v>
      </c>
      <c r="D132" s="244">
        <f t="shared" si="52"/>
        <v>671034.89210968826</v>
      </c>
      <c r="E132" s="244">
        <f t="shared" si="52"/>
        <v>644.89708077037074</v>
      </c>
      <c r="F132" s="244">
        <f t="shared" si="52"/>
        <v>847.21006847614478</v>
      </c>
      <c r="G132" s="244">
        <f t="shared" si="52"/>
        <v>40018.990155641943</v>
      </c>
      <c r="H132"/>
    </row>
    <row r="133" spans="1:8" x14ac:dyDescent="0.3">
      <c r="A133" s="240">
        <f t="shared" si="39"/>
        <v>2015</v>
      </c>
      <c r="B133" s="244">
        <f t="shared" ref="B133:G133" si="53">B76*1000000/B97</f>
        <v>10315.274609792419</v>
      </c>
      <c r="C133" s="244">
        <f t="shared" si="53"/>
        <v>27401.01613887788</v>
      </c>
      <c r="D133" s="244">
        <f t="shared" si="53"/>
        <v>671018.44520742213</v>
      </c>
      <c r="E133" s="244">
        <f t="shared" si="53"/>
        <v>641.91149541608729</v>
      </c>
      <c r="F133" s="244">
        <f t="shared" si="53"/>
        <v>810.82806171097741</v>
      </c>
      <c r="G133" s="244">
        <f t="shared" si="53"/>
        <v>42695.60912071215</v>
      </c>
      <c r="H133"/>
    </row>
    <row r="134" spans="1:8" x14ac:dyDescent="0.3">
      <c r="A134" s="240">
        <f t="shared" si="39"/>
        <v>2016</v>
      </c>
      <c r="B134" s="244">
        <f t="shared" ref="B134:G134" si="54">B77*1000000/B98</f>
        <v>9849.6880728549058</v>
      </c>
      <c r="C134" s="244">
        <f t="shared" si="54"/>
        <v>27279.753000317589</v>
      </c>
      <c r="D134" s="244">
        <f t="shared" si="54"/>
        <v>699593.48929699953</v>
      </c>
      <c r="E134" s="244">
        <f t="shared" si="54"/>
        <v>633.74544769140493</v>
      </c>
      <c r="F134" s="244">
        <f t="shared" si="54"/>
        <v>554.54115160203798</v>
      </c>
      <c r="G134" s="244">
        <f t="shared" si="54"/>
        <v>43459.007267535002</v>
      </c>
      <c r="H134"/>
    </row>
    <row r="135" spans="1:8" ht="12.75" customHeight="1" x14ac:dyDescent="0.3">
      <c r="A135" s="240" t="str">
        <f t="shared" si="39"/>
        <v>2017 Bridge</v>
      </c>
      <c r="B135" s="244" t="e">
        <f t="shared" ref="B135:G135" si="55">B78*1000000/B99</f>
        <v>#REF!</v>
      </c>
      <c r="C135" s="244" t="e">
        <f t="shared" si="55"/>
        <v>#REF!</v>
      </c>
      <c r="D135" s="244" t="e">
        <f t="shared" si="55"/>
        <v>#REF!</v>
      </c>
      <c r="E135" s="244" t="e">
        <f t="shared" si="55"/>
        <v>#REF!</v>
      </c>
      <c r="F135" s="244" t="e">
        <f t="shared" si="55"/>
        <v>#REF!</v>
      </c>
      <c r="G135" s="244" t="e">
        <f t="shared" si="55"/>
        <v>#REF!</v>
      </c>
      <c r="H135"/>
    </row>
    <row r="136" spans="1:8" x14ac:dyDescent="0.3">
      <c r="A136" s="240" t="str">
        <f t="shared" si="39"/>
        <v>2018 Test</v>
      </c>
      <c r="B136" s="244">
        <f t="shared" ref="B136:G136" si="56">B79*1000000/B100</f>
        <v>9591.6209236711366</v>
      </c>
      <c r="C136" s="244">
        <f t="shared" si="56"/>
        <v>26715.409335261036</v>
      </c>
      <c r="D136" s="244">
        <f t="shared" si="56"/>
        <v>679700.53133569669</v>
      </c>
      <c r="E136" s="244">
        <f t="shared" si="56"/>
        <v>591.85927977839333</v>
      </c>
      <c r="F136" s="244">
        <f t="shared" si="56"/>
        <v>297.17736059479552</v>
      </c>
      <c r="G136" s="244">
        <f t="shared" si="56"/>
        <v>43224.423809523811</v>
      </c>
      <c r="H136"/>
    </row>
    <row r="138" spans="1:8" x14ac:dyDescent="0.3">
      <c r="A138" s="415" t="s">
        <v>236</v>
      </c>
      <c r="B138" s="415"/>
      <c r="C138" s="415"/>
      <c r="D138" s="415"/>
      <c r="E138" s="415"/>
      <c r="F138" s="415"/>
      <c r="G138"/>
    </row>
    <row r="139" spans="1:8" ht="78" x14ac:dyDescent="0.3">
      <c r="A139" s="276" t="s">
        <v>142</v>
      </c>
      <c r="B139" s="277" t="s">
        <v>224</v>
      </c>
      <c r="C139" s="277" t="s">
        <v>227</v>
      </c>
      <c r="D139" s="277" t="s">
        <v>225</v>
      </c>
      <c r="E139" s="277" t="s">
        <v>226</v>
      </c>
      <c r="F139" s="277" t="s">
        <v>223</v>
      </c>
      <c r="G139" s="295"/>
    </row>
    <row r="140" spans="1:8" x14ac:dyDescent="0.3">
      <c r="A140" s="239">
        <f>'CDM Activity'!A4</f>
        <v>2006</v>
      </c>
      <c r="B140" s="244">
        <f>'CDM Activity'!B4</f>
        <v>1571521.531015906</v>
      </c>
      <c r="C140" s="244">
        <f>'CDM Activity'!C4</f>
        <v>0</v>
      </c>
      <c r="D140" s="244">
        <f>'CDM Activity'!D4</f>
        <v>0</v>
      </c>
      <c r="E140" s="244">
        <f>'CDM Activity'!E4</f>
        <v>0</v>
      </c>
      <c r="F140" s="244">
        <f t="shared" ref="F140:F152" si="57">SUM(B140:E140)</f>
        <v>1571521.531015906</v>
      </c>
      <c r="G140" s="295"/>
    </row>
    <row r="141" spans="1:8" x14ac:dyDescent="0.3">
      <c r="A141" s="239">
        <f>'CDM Activity'!A5</f>
        <v>2007</v>
      </c>
      <c r="B141" s="244">
        <f>'CDM Activity'!B5</f>
        <v>4551503.5039854897</v>
      </c>
      <c r="C141" s="244">
        <f>'CDM Activity'!C5</f>
        <v>0</v>
      </c>
      <c r="D141" s="244">
        <f>'CDM Activity'!D5</f>
        <v>0</v>
      </c>
      <c r="E141" s="244">
        <f>'CDM Activity'!E5</f>
        <v>0</v>
      </c>
      <c r="F141" s="244">
        <f t="shared" si="57"/>
        <v>4551503.5039854897</v>
      </c>
      <c r="G141" s="295"/>
    </row>
    <row r="142" spans="1:8" x14ac:dyDescent="0.3">
      <c r="A142" s="239">
        <f>'CDM Activity'!A6</f>
        <v>2008</v>
      </c>
      <c r="B142" s="244">
        <f>'CDM Activity'!B6</f>
        <v>6625848.8160930136</v>
      </c>
      <c r="C142" s="244">
        <f>'CDM Activity'!C6</f>
        <v>0</v>
      </c>
      <c r="D142" s="244">
        <f>'CDM Activity'!D6</f>
        <v>0</v>
      </c>
      <c r="E142" s="244">
        <f>'CDM Activity'!E6</f>
        <v>0</v>
      </c>
      <c r="F142" s="244">
        <f t="shared" si="57"/>
        <v>6625848.8160930136</v>
      </c>
      <c r="G142" s="295"/>
    </row>
    <row r="143" spans="1:8" x14ac:dyDescent="0.3">
      <c r="A143" s="239">
        <f>'CDM Activity'!A7</f>
        <v>2009</v>
      </c>
      <c r="B143" s="244">
        <f>'CDM Activity'!B7</f>
        <v>8277543.6652882816</v>
      </c>
      <c r="C143" s="244">
        <f>'CDM Activity'!C7</f>
        <v>0</v>
      </c>
      <c r="D143" s="244">
        <f>'CDM Activity'!D7</f>
        <v>0</v>
      </c>
      <c r="E143" s="244">
        <f>'CDM Activity'!E7</f>
        <v>0</v>
      </c>
      <c r="F143" s="244">
        <f t="shared" si="57"/>
        <v>8277543.6652882816</v>
      </c>
      <c r="G143" s="295"/>
    </row>
    <row r="144" spans="1:8" x14ac:dyDescent="0.3">
      <c r="A144" s="239">
        <f>'CDM Activity'!A8</f>
        <v>2010</v>
      </c>
      <c r="B144" s="244">
        <f>'CDM Activity'!B8</f>
        <v>7031261.5937940674</v>
      </c>
      <c r="C144" s="244">
        <f>'CDM Activity'!C8</f>
        <v>0</v>
      </c>
      <c r="D144" s="244">
        <f>'CDM Activity'!D8</f>
        <v>0</v>
      </c>
      <c r="E144" s="244">
        <f>'CDM Activity'!E8</f>
        <v>0</v>
      </c>
      <c r="F144" s="244">
        <f t="shared" si="57"/>
        <v>7031261.5937940674</v>
      </c>
      <c r="G144" s="295"/>
    </row>
    <row r="145" spans="1:7" x14ac:dyDescent="0.3">
      <c r="A145" s="239">
        <f>'CDM Activity'!A9</f>
        <v>2011</v>
      </c>
      <c r="B145" s="244">
        <f>'CDM Activity'!B9</f>
        <v>6681180.1009053634</v>
      </c>
      <c r="C145" s="244">
        <f>'CDM Activity'!C9</f>
        <v>2252978.2328380258</v>
      </c>
      <c r="D145" s="244">
        <f>'CDM Activity'!D9</f>
        <v>0</v>
      </c>
      <c r="E145" s="244">
        <f>'CDM Activity'!E9</f>
        <v>0</v>
      </c>
      <c r="F145" s="244">
        <f t="shared" si="57"/>
        <v>8934158.3337433897</v>
      </c>
      <c r="G145" s="295"/>
    </row>
    <row r="146" spans="1:7" x14ac:dyDescent="0.3">
      <c r="A146" s="239">
        <f>'CDM Activity'!A10</f>
        <v>2012</v>
      </c>
      <c r="B146" s="244">
        <f>'CDM Activity'!B10</f>
        <v>6429476.3711081557</v>
      </c>
      <c r="C146" s="244">
        <f>'CDM Activity'!C10</f>
        <v>5995033.082275168</v>
      </c>
      <c r="D146" s="244">
        <f>'CDM Activity'!D10</f>
        <v>0</v>
      </c>
      <c r="E146" s="244">
        <f>'CDM Activity'!E10</f>
        <v>0</v>
      </c>
      <c r="F146" s="244">
        <f t="shared" si="57"/>
        <v>12424509.453383323</v>
      </c>
      <c r="G146" s="295"/>
    </row>
    <row r="147" spans="1:7" x14ac:dyDescent="0.3">
      <c r="A147" s="239">
        <f>'CDM Activity'!A11</f>
        <v>2013</v>
      </c>
      <c r="B147" s="244">
        <f>'CDM Activity'!B11</f>
        <v>6368225.4161085803</v>
      </c>
      <c r="C147" s="244">
        <f>'CDM Activity'!C11</f>
        <v>7754368.6475839196</v>
      </c>
      <c r="D147" s="244">
        <f>'CDM Activity'!D11</f>
        <v>0</v>
      </c>
      <c r="E147" s="244">
        <f>'CDM Activity'!E11</f>
        <v>0</v>
      </c>
      <c r="F147" s="244">
        <f t="shared" si="57"/>
        <v>14122594.063692499</v>
      </c>
      <c r="G147" s="295"/>
    </row>
    <row r="148" spans="1:7" x14ac:dyDescent="0.3">
      <c r="A148" s="239">
        <f>'CDM Activity'!A12</f>
        <v>2014</v>
      </c>
      <c r="B148" s="244">
        <f>'CDM Activity'!B12</f>
        <v>5978748.6936793262</v>
      </c>
      <c r="C148" s="244">
        <f>'CDM Activity'!C12</f>
        <v>13124708.601250896</v>
      </c>
      <c r="D148" s="244">
        <f>'CDM Activity'!D12</f>
        <v>0</v>
      </c>
      <c r="E148" s="244">
        <f>'CDM Activity'!E12</f>
        <v>0</v>
      </c>
      <c r="F148" s="244">
        <f t="shared" si="57"/>
        <v>19103457.294930223</v>
      </c>
      <c r="G148" s="295"/>
    </row>
    <row r="149" spans="1:7" x14ac:dyDescent="0.3">
      <c r="A149" s="239">
        <f>'CDM Activity'!A13</f>
        <v>2015</v>
      </c>
      <c r="B149" s="244">
        <f>'CDM Activity'!B13</f>
        <v>4582235.2244218513</v>
      </c>
      <c r="C149" s="244">
        <f>'CDM Activity'!C13</f>
        <v>14272201.154785659</v>
      </c>
      <c r="D149" s="244">
        <f>'CDM Activity'!D13</f>
        <v>2704002</v>
      </c>
      <c r="E149" s="244">
        <f>'CDM Activity'!E13</f>
        <v>0</v>
      </c>
      <c r="F149" s="244">
        <f t="shared" si="57"/>
        <v>21558438.379207511</v>
      </c>
      <c r="G149" s="295"/>
    </row>
    <row r="150" spans="1:7" x14ac:dyDescent="0.3">
      <c r="A150" s="239">
        <f>'CDM Activity'!A14</f>
        <v>2016</v>
      </c>
      <c r="B150" s="244">
        <f>'CDM Activity'!B14</f>
        <v>3917534.8311292906</v>
      </c>
      <c r="C150" s="244">
        <f>'CDM Activity'!C14</f>
        <v>13893402.480929734</v>
      </c>
      <c r="D150" s="244">
        <f>'CDM Activity'!D14</f>
        <v>5354552</v>
      </c>
      <c r="E150" s="244">
        <f>'CDM Activity'!E14</f>
        <v>5360115</v>
      </c>
      <c r="F150" s="244">
        <f t="shared" si="57"/>
        <v>28525604.312059026</v>
      </c>
      <c r="G150" s="295"/>
    </row>
    <row r="151" spans="1:7" x14ac:dyDescent="0.3">
      <c r="A151" s="239">
        <f>'CDM Activity'!A15</f>
        <v>2017</v>
      </c>
      <c r="B151" s="244">
        <f>'CDM Activity'!B15</f>
        <v>3161651.5077473391</v>
      </c>
      <c r="C151" s="244">
        <f>'CDM Activity'!C15</f>
        <v>11963920.006254736</v>
      </c>
      <c r="D151" s="244">
        <f>'CDM Activity'!D15</f>
        <v>5348661</v>
      </c>
      <c r="E151" s="244">
        <f>'CDM Activity'!E15</f>
        <v>10720229</v>
      </c>
      <c r="F151" s="244">
        <f t="shared" si="57"/>
        <v>31194461.514002077</v>
      </c>
      <c r="G151" s="295"/>
    </row>
    <row r="152" spans="1:7" x14ac:dyDescent="0.3">
      <c r="A152" s="239">
        <f>'CDM Activity'!A16</f>
        <v>2018</v>
      </c>
      <c r="B152" s="244">
        <f>'CDM Activity'!B16</f>
        <v>2827980.5324192522</v>
      </c>
      <c r="C152" s="244">
        <f>'CDM Activity'!C16</f>
        <v>11022261.155388592</v>
      </c>
      <c r="D152" s="244">
        <f>'CDM Activity'!D16</f>
        <v>5344206</v>
      </c>
      <c r="E152" s="244">
        <f>'CDM Activity'!E16</f>
        <v>10747568</v>
      </c>
      <c r="F152" s="244">
        <f t="shared" si="57"/>
        <v>29942015.687807843</v>
      </c>
      <c r="G152" s="295"/>
    </row>
    <row r="154" spans="1:7" x14ac:dyDescent="0.3">
      <c r="A154" s="414" t="s">
        <v>237</v>
      </c>
      <c r="B154" s="414"/>
    </row>
    <row r="155" spans="1:7" x14ac:dyDescent="0.3">
      <c r="A155" s="426" t="s">
        <v>26</v>
      </c>
      <c r="B155" s="426"/>
      <c r="C155" s="248">
        <f>'Purchased Power Model'!Z6</f>
        <v>0.96523709744607056</v>
      </c>
    </row>
    <row r="156" spans="1:7" x14ac:dyDescent="0.3">
      <c r="A156" s="426" t="s">
        <v>27</v>
      </c>
      <c r="B156" s="426"/>
      <c r="C156" s="248">
        <f>'Purchased Power Model'!Z7</f>
        <v>0.96394158554965081</v>
      </c>
    </row>
    <row r="157" spans="1:7" x14ac:dyDescent="0.3">
      <c r="A157" s="426" t="s">
        <v>150</v>
      </c>
      <c r="B157" s="426"/>
      <c r="C157" s="249">
        <f>'Purchased Power Model'!AC13</f>
        <v>745.06231869703004</v>
      </c>
      <c r="F157" s="250"/>
    </row>
    <row r="158" spans="1:7" x14ac:dyDescent="0.3">
      <c r="A158" s="426" t="s">
        <v>151</v>
      </c>
      <c r="B158" s="426"/>
      <c r="C158" s="248">
        <f>'Purchased Power Model'!V183</f>
        <v>3.4540433091354732E-2</v>
      </c>
    </row>
    <row r="159" spans="1:7" x14ac:dyDescent="0.3">
      <c r="A159" s="426" t="s">
        <v>152</v>
      </c>
      <c r="B159" s="426"/>
      <c r="C159" s="249"/>
    </row>
    <row r="160" spans="1:7" x14ac:dyDescent="0.3">
      <c r="A160" s="427" t="str">
        <f>'Purchased Power Model'!Y19</f>
        <v>Heating Degree Days</v>
      </c>
      <c r="B160" s="427"/>
      <c r="C160" s="251">
        <f>'Purchased Power Model'!AB19</f>
        <v>50.738080980066293</v>
      </c>
    </row>
    <row r="161" spans="1:9" x14ac:dyDescent="0.3">
      <c r="A161" s="427" t="str">
        <f>'Purchased Power Model'!Y20</f>
        <v>Cooling Degree Days</v>
      </c>
      <c r="B161" s="427"/>
      <c r="C161" s="251">
        <f>'Purchased Power Model'!AB20</f>
        <v>5.7788893237774435</v>
      </c>
    </row>
    <row r="162" spans="1:9" x14ac:dyDescent="0.3">
      <c r="A162" s="427" t="str">
        <f>'Purchased Power Model'!Y21</f>
        <v>Spring Fall Flag</v>
      </c>
      <c r="B162" s="427"/>
      <c r="C162" s="251">
        <f>'Purchased Power Model'!AB21</f>
        <v>-7.3852684633267556</v>
      </c>
    </row>
    <row r="163" spans="1:9" x14ac:dyDescent="0.3">
      <c r="A163" s="427" t="str">
        <f>'Purchased Power Model'!Y22</f>
        <v>Number of Days in Month</v>
      </c>
      <c r="B163" s="427"/>
      <c r="C163" s="251">
        <f>'Purchased Power Model'!AB22</f>
        <v>8.6215835465685426</v>
      </c>
    </row>
    <row r="164" spans="1:9" x14ac:dyDescent="0.3">
      <c r="A164" s="427" t="str">
        <f>'Purchased Power Model'!Y23</f>
        <v>CDM Activity</v>
      </c>
      <c r="B164" s="427"/>
      <c r="C164" s="251">
        <f>'Purchased Power Model'!AB23</f>
        <v>-6.6196135063106167</v>
      </c>
    </row>
    <row r="165" spans="1:9" x14ac:dyDescent="0.3">
      <c r="A165" s="427" t="str">
        <f>'Purchased Power Model'!Y24</f>
        <v>Number of Customers</v>
      </c>
      <c r="B165" s="427"/>
      <c r="C165" s="251">
        <f>'Purchased Power Model'!AB24</f>
        <v>3.0969064556285386</v>
      </c>
    </row>
    <row r="166" spans="1:9" x14ac:dyDescent="0.3">
      <c r="A166" s="427" t="s">
        <v>153</v>
      </c>
      <c r="B166" s="427"/>
      <c r="C166" s="251">
        <f>'Purchased Power Model'!AB18</f>
        <v>-3.2946122878393673</v>
      </c>
    </row>
    <row r="169" spans="1:9" x14ac:dyDescent="0.3">
      <c r="A169" s="414" t="s">
        <v>238</v>
      </c>
      <c r="B169" s="414"/>
      <c r="C169" s="414"/>
      <c r="D169" s="414"/>
      <c r="E169" s="414"/>
      <c r="F169" s="414"/>
      <c r="G169" s="414"/>
    </row>
    <row r="170" spans="1:9" ht="62.4" x14ac:dyDescent="0.3">
      <c r="A170" s="276" t="s">
        <v>142</v>
      </c>
      <c r="B170" s="277" t="s">
        <v>154</v>
      </c>
      <c r="C170" s="277" t="s">
        <v>155</v>
      </c>
      <c r="D170" s="277" t="s">
        <v>11</v>
      </c>
      <c r="E170" s="277" t="s">
        <v>205</v>
      </c>
      <c r="F170" s="277" t="s">
        <v>206</v>
      </c>
      <c r="G170" s="277" t="s">
        <v>207</v>
      </c>
    </row>
    <row r="171" spans="1:9" x14ac:dyDescent="0.3">
      <c r="A171" s="415" t="s">
        <v>156</v>
      </c>
      <c r="B171" s="415"/>
      <c r="C171" s="415"/>
      <c r="D171" s="415"/>
      <c r="E171" s="415"/>
      <c r="F171" s="415"/>
      <c r="G171" s="415"/>
    </row>
    <row r="172" spans="1:9" x14ac:dyDescent="0.3">
      <c r="A172" s="227">
        <v>2003</v>
      </c>
      <c r="B172" s="231">
        <f>'Purchased Power Model'!B200/1000000</f>
        <v>755.12602000000004</v>
      </c>
      <c r="C172" s="231">
        <f>'Purchased Power Model'!S200/1000000</f>
        <v>768.65632690473603</v>
      </c>
      <c r="D172" s="252">
        <f t="shared" ref="D172:D185" si="58">C172/B172-1</f>
        <v>1.7917945543362457E-2</v>
      </c>
      <c r="E172" s="231">
        <f>'Purchased Power Model'!W200/1000000</f>
        <v>753.23509402196589</v>
      </c>
      <c r="F172" s="253">
        <f t="shared" ref="F172:F176" si="59">E172/C172</f>
        <v>0.9799374150150183</v>
      </c>
      <c r="G172" s="231">
        <f t="shared" ref="G172:G185" si="60">B172*F172</f>
        <v>739.97624004937904</v>
      </c>
      <c r="I172" s="295"/>
    </row>
    <row r="173" spans="1:9" x14ac:dyDescent="0.3">
      <c r="A173" s="227">
        <v>2004</v>
      </c>
      <c r="B173" s="231">
        <f>'Purchased Power Model'!B201/1000000</f>
        <v>757.68575199999998</v>
      </c>
      <c r="C173" s="231">
        <f>'Purchased Power Model'!S201/1000000</f>
        <v>757.59425017188391</v>
      </c>
      <c r="D173" s="252">
        <f t="shared" si="58"/>
        <v>-1.2076487894163712E-4</v>
      </c>
      <c r="E173" s="231">
        <f>'Purchased Power Model'!W201/1000000</f>
        <v>747.64448047249107</v>
      </c>
      <c r="F173" s="253">
        <f t="shared" si="59"/>
        <v>0.98686662458547514</v>
      </c>
      <c r="G173" s="231">
        <f t="shared" si="60"/>
        <v>747.73478057274735</v>
      </c>
      <c r="I173" s="295"/>
    </row>
    <row r="174" spans="1:9" x14ac:dyDescent="0.3">
      <c r="A174" s="227">
        <v>2005</v>
      </c>
      <c r="B174" s="231">
        <f>'Purchased Power Model'!B202/1000000</f>
        <v>749.21903199999997</v>
      </c>
      <c r="C174" s="231">
        <f>'Purchased Power Model'!S202/1000000</f>
        <v>750.91172729060429</v>
      </c>
      <c r="D174" s="252">
        <f t="shared" si="58"/>
        <v>2.2592796209217614E-3</v>
      </c>
      <c r="E174" s="231">
        <f>'Purchased Power Model'!W202/1000000</f>
        <v>744.42724255751421</v>
      </c>
      <c r="F174" s="253">
        <f t="shared" si="59"/>
        <v>0.99136451796206859</v>
      </c>
      <c r="G174" s="231">
        <f t="shared" si="60"/>
        <v>742.74916450668763</v>
      </c>
      <c r="I174" s="295"/>
    </row>
    <row r="175" spans="1:9" x14ac:dyDescent="0.3">
      <c r="A175" s="227">
        <v>2006</v>
      </c>
      <c r="B175" s="231">
        <f>'Purchased Power Model'!B203/1000000</f>
        <v>728.09333300000003</v>
      </c>
      <c r="C175" s="231">
        <f>'Purchased Power Model'!S203/1000000</f>
        <v>726.44162469237278</v>
      </c>
      <c r="D175" s="252">
        <f t="shared" si="58"/>
        <v>-2.2685392555671369E-3</v>
      </c>
      <c r="E175" s="231">
        <f>'Purchased Power Model'!W203/1000000</f>
        <v>738.43163849476616</v>
      </c>
      <c r="F175" s="253">
        <f t="shared" si="59"/>
        <v>1.0165051304810222</v>
      </c>
      <c r="G175" s="231">
        <f t="shared" si="60"/>
        <v>740.11060846352734</v>
      </c>
      <c r="I175" s="295"/>
    </row>
    <row r="176" spans="1:9" x14ac:dyDescent="0.3">
      <c r="A176" s="227">
        <v>2007</v>
      </c>
      <c r="B176" s="231">
        <f>'Purchased Power Model'!B204/1000000</f>
        <v>738.09357599999998</v>
      </c>
      <c r="C176" s="231">
        <f>'Purchased Power Model'!S204/1000000</f>
        <v>728.63847567092569</v>
      </c>
      <c r="D176" s="252">
        <f t="shared" si="58"/>
        <v>-1.2810164776551725E-2</v>
      </c>
      <c r="E176" s="231">
        <f>'Purchased Power Model'!W204/1000000</f>
        <v>725.07687312595692</v>
      </c>
      <c r="F176" s="253">
        <f t="shared" si="59"/>
        <v>0.99511197574120791</v>
      </c>
      <c r="G176" s="231">
        <f t="shared" si="60"/>
        <v>734.48575669525337</v>
      </c>
      <c r="I176" s="295"/>
    </row>
    <row r="177" spans="1:10" x14ac:dyDescent="0.3">
      <c r="A177" s="227">
        <v>2008</v>
      </c>
      <c r="B177" s="231">
        <f>'Purchased Power Model'!B205/1000000</f>
        <v>740.96648600000003</v>
      </c>
      <c r="C177" s="231">
        <f>'Purchased Power Model'!S205/1000000</f>
        <v>738.27542179925956</v>
      </c>
      <c r="D177" s="252">
        <f t="shared" si="58"/>
        <v>-3.6318298486990308E-3</v>
      </c>
      <c r="E177" s="231">
        <f>'Purchased Power Model'!W205/1000000</f>
        <v>728.24375593797674</v>
      </c>
      <c r="F177" s="253">
        <f t="shared" ref="F177:F188" si="61">E177/C177</f>
        <v>0.98641202786240056</v>
      </c>
      <c r="G177" s="231">
        <f t="shared" si="60"/>
        <v>730.89825403333703</v>
      </c>
      <c r="I177" s="295"/>
    </row>
    <row r="178" spans="1:10" x14ac:dyDescent="0.3">
      <c r="A178" s="227">
        <v>2009</v>
      </c>
      <c r="B178" s="231">
        <f>'Purchased Power Model'!B206/1000000</f>
        <v>732.86998400000004</v>
      </c>
      <c r="C178" s="231">
        <f>'Purchased Power Model'!S206/1000000</f>
        <v>737.51368063064001</v>
      </c>
      <c r="D178" s="252">
        <f t="shared" si="58"/>
        <v>6.3363171258490336E-3</v>
      </c>
      <c r="E178" s="231">
        <f>'Purchased Power Model'!W206/1000000</f>
        <v>728.00874467280005</v>
      </c>
      <c r="F178" s="253">
        <f t="shared" si="61"/>
        <v>0.98711219031257513</v>
      </c>
      <c r="G178" s="231">
        <f t="shared" si="60"/>
        <v>723.42489512058194</v>
      </c>
      <c r="I178" s="295"/>
    </row>
    <row r="179" spans="1:10" x14ac:dyDescent="0.3">
      <c r="A179" s="227">
        <v>2010</v>
      </c>
      <c r="B179" s="231">
        <f>'Purchased Power Model'!B207/1000000</f>
        <v>714.19906200000003</v>
      </c>
      <c r="C179" s="231">
        <f>'Purchased Power Model'!S207/1000000</f>
        <v>724.02840490524511</v>
      </c>
      <c r="D179" s="252">
        <f t="shared" si="58"/>
        <v>1.3762749670546359E-2</v>
      </c>
      <c r="E179" s="231">
        <f>'Purchased Power Model'!W207/1000000</f>
        <v>732.11935914370554</v>
      </c>
      <c r="F179" s="253">
        <f t="shared" si="61"/>
        <v>1.011174912729452</v>
      </c>
      <c r="G179" s="231">
        <f t="shared" si="60"/>
        <v>722.18017418930651</v>
      </c>
      <c r="I179" s="295"/>
    </row>
    <row r="180" spans="1:10" x14ac:dyDescent="0.3">
      <c r="A180" s="227">
        <v>2011</v>
      </c>
      <c r="B180" s="231">
        <f>'Purchased Power Model'!B208/1000000</f>
        <v>745.04919400000006</v>
      </c>
      <c r="C180" s="231">
        <f>'Purchased Power Model'!S208/1000000</f>
        <v>728.7443132611487</v>
      </c>
      <c r="D180" s="252">
        <f t="shared" si="58"/>
        <v>-2.1884300889333463E-2</v>
      </c>
      <c r="E180" s="231">
        <f>'Purchased Power Model'!W208/1000000</f>
        <v>728.80483521919041</v>
      </c>
      <c r="F180" s="253">
        <f t="shared" si="61"/>
        <v>1.0000830496470989</v>
      </c>
      <c r="G180" s="231">
        <f t="shared" si="60"/>
        <v>745.11107007263308</v>
      </c>
      <c r="I180" s="295"/>
    </row>
    <row r="181" spans="1:10" x14ac:dyDescent="0.3">
      <c r="A181" s="227">
        <v>2012</v>
      </c>
      <c r="B181" s="231">
        <f>'Purchased Power Model'!B209/1000000</f>
        <v>706.95351300000004</v>
      </c>
      <c r="C181" s="231">
        <f>'Purchased Power Model'!S209/1000000</f>
        <v>690.42421697638213</v>
      </c>
      <c r="D181" s="252">
        <f t="shared" si="58"/>
        <v>-2.3381022542026675E-2</v>
      </c>
      <c r="E181" s="231">
        <f>'Purchased Power Model'!W209/1000000</f>
        <v>721.95453485562041</v>
      </c>
      <c r="F181" s="253">
        <f t="shared" si="61"/>
        <v>1.045668035830668</v>
      </c>
      <c r="G181" s="231">
        <f t="shared" si="60"/>
        <v>739.23869136230064</v>
      </c>
      <c r="I181" s="295"/>
    </row>
    <row r="182" spans="1:10" x14ac:dyDescent="0.3">
      <c r="A182" s="227">
        <v>2013</v>
      </c>
      <c r="B182" s="231">
        <f>'Purchased Power Model'!B210/1000000</f>
        <v>730.56831099999999</v>
      </c>
      <c r="C182" s="231">
        <f>'Purchased Power Model'!S210/1000000</f>
        <v>713.40747002798207</v>
      </c>
      <c r="D182" s="252">
        <f t="shared" si="58"/>
        <v>-2.3489714395808159E-2</v>
      </c>
      <c r="E182" s="231">
        <f>'Purchased Power Model'!W210/1000000</f>
        <v>723.15041534006059</v>
      </c>
      <c r="F182" s="253">
        <f t="shared" si="61"/>
        <v>1.0136569151871879</v>
      </c>
      <c r="G182" s="231">
        <f t="shared" si="60"/>
        <v>740.54562046177409</v>
      </c>
      <c r="I182" s="295"/>
    </row>
    <row r="183" spans="1:10" x14ac:dyDescent="0.3">
      <c r="A183" s="227">
        <v>2014</v>
      </c>
      <c r="B183" s="231">
        <f>'Purchased Power Model'!B211/1000000</f>
        <v>730.49028498999996</v>
      </c>
      <c r="C183" s="231">
        <f>'Purchased Power Model'!S211/1000000</f>
        <v>737.57254830719114</v>
      </c>
      <c r="D183" s="252">
        <f t="shared" si="58"/>
        <v>9.6952190367434188E-3</v>
      </c>
      <c r="E183" s="231">
        <f>'Purchased Power Model'!W211/1000000</f>
        <v>707.57773707720526</v>
      </c>
      <c r="F183" s="253">
        <f t="shared" si="61"/>
        <v>0.95933306994840406</v>
      </c>
      <c r="G183" s="231">
        <f t="shared" si="60"/>
        <v>700.78348766694126</v>
      </c>
      <c r="I183" s="295"/>
    </row>
    <row r="184" spans="1:10" x14ac:dyDescent="0.3">
      <c r="A184" s="227">
        <v>2015</v>
      </c>
      <c r="B184" s="231">
        <f>'Purchased Power Model'!B212/1000000</f>
        <v>698.51737710999987</v>
      </c>
      <c r="C184" s="231">
        <f>'Purchased Power Model'!S212/1000000</f>
        <v>708.68363616478337</v>
      </c>
      <c r="D184" s="252">
        <f t="shared" si="58"/>
        <v>1.4554053181675686E-2</v>
      </c>
      <c r="E184" s="231">
        <f>'Purchased Power Model'!W212/1000000</f>
        <v>696.18166350793967</v>
      </c>
      <c r="F184" s="253">
        <f t="shared" si="61"/>
        <v>0.98235888057963183</v>
      </c>
      <c r="G184" s="231">
        <f t="shared" si="60"/>
        <v>686.1947486432</v>
      </c>
      <c r="I184" s="295"/>
    </row>
    <row r="185" spans="1:10" x14ac:dyDescent="0.3">
      <c r="A185" s="227">
        <v>2016</v>
      </c>
      <c r="B185" s="231">
        <f>'Purchased Power Model'!B213/1000000</f>
        <v>669.95846173000018</v>
      </c>
      <c r="C185" s="231">
        <f>'Purchased Power Model'!S213/1000000</f>
        <v>675.15095470934602</v>
      </c>
      <c r="D185" s="252">
        <f t="shared" si="58"/>
        <v>7.750470030541301E-3</v>
      </c>
      <c r="E185" s="231">
        <f>'Purchased Power Model'!W213/1000000</f>
        <v>682.16857506684494</v>
      </c>
      <c r="F185" s="253">
        <f t="shared" si="61"/>
        <v>1.0103941500912488</v>
      </c>
      <c r="G185" s="231">
        <f t="shared" si="60"/>
        <v>676.92211053612391</v>
      </c>
      <c r="I185" s="295"/>
    </row>
    <row r="186" spans="1:10" ht="12.75" customHeight="1" x14ac:dyDescent="0.3">
      <c r="A186" s="227" t="s">
        <v>198</v>
      </c>
      <c r="B186" s="254"/>
      <c r="C186" s="231">
        <f>'Purchased Power Model'!S214/1000000</f>
        <v>664.71780831750038</v>
      </c>
      <c r="D186" s="255"/>
      <c r="E186" s="231">
        <f>'Purchased Power Model'!W214/1000000</f>
        <v>670.30883427813524</v>
      </c>
      <c r="F186" s="253">
        <f t="shared" si="61"/>
        <v>1.008411127083817</v>
      </c>
      <c r="G186" s="231"/>
    </row>
    <row r="187" spans="1:10" x14ac:dyDescent="0.3">
      <c r="A187" s="227" t="s">
        <v>199</v>
      </c>
      <c r="B187" s="254"/>
      <c r="C187" s="231">
        <f>'Purchased Power Model'!S215/1000000</f>
        <v>659.54019378788917</v>
      </c>
      <c r="D187" s="255"/>
      <c r="E187" s="231">
        <f>'Purchased Power Model'!W215/1000000</f>
        <v>659.54019378788917</v>
      </c>
      <c r="F187" s="253">
        <f t="shared" si="61"/>
        <v>1</v>
      </c>
      <c r="G187" s="231"/>
    </row>
    <row r="188" spans="1:10" s="257" customFormat="1" x14ac:dyDescent="0.3">
      <c r="A188" s="227" t="s">
        <v>228</v>
      </c>
      <c r="B188" s="249"/>
      <c r="C188" s="231">
        <f>'Purchased Power Model'!T235/1000000</f>
        <v>697.50701759301899</v>
      </c>
      <c r="D188" s="252"/>
      <c r="E188" s="231">
        <f t="shared" ref="E188" si="62">C188</f>
        <v>697.50701759301899</v>
      </c>
      <c r="F188" s="253">
        <f t="shared" si="61"/>
        <v>1</v>
      </c>
      <c r="G188" s="256"/>
    </row>
    <row r="190" spans="1:10" s="299" customFormat="1" x14ac:dyDescent="0.3">
      <c r="A190" s="296" t="s">
        <v>239</v>
      </c>
      <c r="B190" s="297"/>
      <c r="C190" s="297"/>
      <c r="D190" s="297"/>
      <c r="E190" s="297"/>
      <c r="F190" s="297"/>
      <c r="G190" s="297"/>
      <c r="H190" s="297"/>
      <c r="I190" s="246"/>
      <c r="J190" s="298"/>
    </row>
    <row r="191" spans="1:10" s="299" customFormat="1" ht="46.8" x14ac:dyDescent="0.3">
      <c r="A191" s="276" t="s">
        <v>142</v>
      </c>
      <c r="B191" s="277" t="str">
        <f>B83</f>
        <v xml:space="preserve">Residential </v>
      </c>
      <c r="C191" s="277" t="str">
        <f t="shared" ref="C191:H191" si="63">C83</f>
        <v>General Service &lt; 50 kW</v>
      </c>
      <c r="D191" s="277" t="str">
        <f t="shared" si="63"/>
        <v>General Service 50 to 4,999 kW</v>
      </c>
      <c r="E191" s="277" t="str">
        <f t="shared" si="63"/>
        <v>Sentinel Lighting</v>
      </c>
      <c r="F191" s="277" t="str">
        <f t="shared" si="63"/>
        <v>Street Lights</v>
      </c>
      <c r="G191" s="277" t="str">
        <f t="shared" si="63"/>
        <v xml:space="preserve">Unmetered Scattered Load </v>
      </c>
      <c r="H191" s="277" t="str">
        <f t="shared" si="63"/>
        <v>Total</v>
      </c>
      <c r="I191" s="246"/>
      <c r="J191" s="246"/>
    </row>
    <row r="192" spans="1:10" s="299" customFormat="1" x14ac:dyDescent="0.3">
      <c r="A192" s="436" t="s">
        <v>149</v>
      </c>
      <c r="B192" s="436"/>
      <c r="C192" s="436"/>
      <c r="D192" s="436"/>
      <c r="E192" s="436"/>
      <c r="F192" s="436"/>
      <c r="G192" s="436"/>
      <c r="H192" s="436"/>
      <c r="I192" s="246"/>
      <c r="J192" s="246"/>
    </row>
    <row r="193" spans="1:10" s="299" customFormat="1" x14ac:dyDescent="0.3">
      <c r="A193" s="302">
        <v>2003</v>
      </c>
      <c r="B193" s="311">
        <f>'Rate Class Customer Model'!B4</f>
        <v>28544</v>
      </c>
      <c r="C193" s="311">
        <f>'Rate Class Customer Model'!C4</f>
        <v>3230</v>
      </c>
      <c r="D193" s="311">
        <f>'Rate Class Customer Model'!D4</f>
        <v>419</v>
      </c>
      <c r="E193" s="311">
        <f>'Rate Class Customer Model'!E4</f>
        <v>466</v>
      </c>
      <c r="F193" s="311">
        <f>'Rate Class Customer Model'!F4</f>
        <v>8619</v>
      </c>
      <c r="G193" s="311">
        <f>'Rate Class Customer Model'!G4</f>
        <v>12</v>
      </c>
      <c r="H193" s="311">
        <f>SUM(B193:G193)</f>
        <v>41290</v>
      </c>
      <c r="I193" s="246"/>
      <c r="J193" s="246"/>
    </row>
    <row r="194" spans="1:10" s="299" customFormat="1" x14ac:dyDescent="0.3">
      <c r="A194" s="302">
        <v>2004</v>
      </c>
      <c r="B194" s="311">
        <f>'Rate Class Customer Model'!B5</f>
        <v>28560</v>
      </c>
      <c r="C194" s="311">
        <f>'Rate Class Customer Model'!C5</f>
        <v>3247</v>
      </c>
      <c r="D194" s="311">
        <f>'Rate Class Customer Model'!D5</f>
        <v>424</v>
      </c>
      <c r="E194" s="311">
        <f>'Rate Class Customer Model'!E5</f>
        <v>466</v>
      </c>
      <c r="F194" s="311">
        <f>'Rate Class Customer Model'!F5</f>
        <v>8635</v>
      </c>
      <c r="G194" s="311">
        <f>'Rate Class Customer Model'!G5</f>
        <v>19</v>
      </c>
      <c r="H194" s="311">
        <f t="shared" ref="H194:H206" si="64">SUM(B194:G194)</f>
        <v>41351</v>
      </c>
      <c r="I194" s="246"/>
      <c r="J194" s="246"/>
    </row>
    <row r="195" spans="1:10" s="299" customFormat="1" x14ac:dyDescent="0.3">
      <c r="A195" s="302">
        <v>2005</v>
      </c>
      <c r="B195" s="311">
        <f>'Rate Class Customer Model'!B6</f>
        <v>28576</v>
      </c>
      <c r="C195" s="311">
        <f>'Rate Class Customer Model'!C6</f>
        <v>3274</v>
      </c>
      <c r="D195" s="311">
        <f>'Rate Class Customer Model'!D6</f>
        <v>431</v>
      </c>
      <c r="E195" s="311">
        <f>'Rate Class Customer Model'!E6</f>
        <v>459</v>
      </c>
      <c r="F195" s="311">
        <f>'Rate Class Customer Model'!F6</f>
        <v>8642</v>
      </c>
      <c r="G195" s="311">
        <f>'Rate Class Customer Model'!G6</f>
        <v>27</v>
      </c>
      <c r="H195" s="311">
        <f t="shared" si="64"/>
        <v>41409</v>
      </c>
      <c r="I195" s="246"/>
      <c r="J195" s="246"/>
    </row>
    <row r="196" spans="1:10" s="299" customFormat="1" x14ac:dyDescent="0.3">
      <c r="A196" s="302">
        <v>2006</v>
      </c>
      <c r="B196" s="311">
        <f>'Rate Class Customer Model'!B7</f>
        <v>28596</v>
      </c>
      <c r="C196" s="311">
        <f>'Rate Class Customer Model'!C7</f>
        <v>3301</v>
      </c>
      <c r="D196" s="311">
        <f>'Rate Class Customer Model'!D7</f>
        <v>432</v>
      </c>
      <c r="E196" s="311">
        <f>'Rate Class Customer Model'!E7</f>
        <v>449</v>
      </c>
      <c r="F196" s="311">
        <f>'Rate Class Customer Model'!F7</f>
        <v>8663</v>
      </c>
      <c r="G196" s="311">
        <f>'Rate Class Customer Model'!G7</f>
        <v>28</v>
      </c>
      <c r="H196" s="311">
        <f t="shared" si="64"/>
        <v>41469</v>
      </c>
      <c r="I196" s="246"/>
      <c r="J196" s="246"/>
    </row>
    <row r="197" spans="1:10" s="299" customFormat="1" x14ac:dyDescent="0.3">
      <c r="A197" s="302">
        <v>2007</v>
      </c>
      <c r="B197" s="311">
        <f>'Rate Class Customer Model'!B8</f>
        <v>28630</v>
      </c>
      <c r="C197" s="311">
        <f>'Rate Class Customer Model'!C8</f>
        <v>3302</v>
      </c>
      <c r="D197" s="311">
        <f>'Rate Class Customer Model'!D8</f>
        <v>429</v>
      </c>
      <c r="E197" s="311">
        <f>'Rate Class Customer Model'!E8</f>
        <v>443</v>
      </c>
      <c r="F197" s="311">
        <f>'Rate Class Customer Model'!F8</f>
        <v>8707</v>
      </c>
      <c r="G197" s="311">
        <f>'Rate Class Customer Model'!G8</f>
        <v>27</v>
      </c>
      <c r="H197" s="311">
        <f t="shared" si="64"/>
        <v>41538</v>
      </c>
      <c r="I197" s="246"/>
      <c r="J197" s="246"/>
    </row>
    <row r="198" spans="1:10" s="299" customFormat="1" x14ac:dyDescent="0.3">
      <c r="A198" s="302">
        <v>2008</v>
      </c>
      <c r="B198" s="311">
        <f>'Rate Class Customer Model'!B9</f>
        <v>28780</v>
      </c>
      <c r="C198" s="311">
        <f>'Rate Class Customer Model'!C9</f>
        <v>3325</v>
      </c>
      <c r="D198" s="311">
        <f>'Rate Class Customer Model'!D9</f>
        <v>426</v>
      </c>
      <c r="E198" s="311">
        <f>'Rate Class Customer Model'!E9</f>
        <v>435</v>
      </c>
      <c r="F198" s="311">
        <f>'Rate Class Customer Model'!F9</f>
        <v>8741</v>
      </c>
      <c r="G198" s="311">
        <f>'Rate Class Customer Model'!G9</f>
        <v>22</v>
      </c>
      <c r="H198" s="311">
        <f t="shared" si="64"/>
        <v>41729</v>
      </c>
      <c r="I198" s="246"/>
      <c r="J198" s="246"/>
    </row>
    <row r="199" spans="1:10" s="299" customFormat="1" x14ac:dyDescent="0.3">
      <c r="A199" s="302">
        <v>2009</v>
      </c>
      <c r="B199" s="311">
        <f>'Rate Class Customer Model'!B10</f>
        <v>28971</v>
      </c>
      <c r="C199" s="311">
        <f>'Rate Class Customer Model'!C10</f>
        <v>3352</v>
      </c>
      <c r="D199" s="311">
        <f>'Rate Class Customer Model'!D10</f>
        <v>433</v>
      </c>
      <c r="E199" s="311">
        <f>'Rate Class Customer Model'!E10</f>
        <v>423</v>
      </c>
      <c r="F199" s="311">
        <f>'Rate Class Customer Model'!F10</f>
        <v>8799</v>
      </c>
      <c r="G199" s="311">
        <f>'Rate Class Customer Model'!G10</f>
        <v>17</v>
      </c>
      <c r="H199" s="311">
        <f t="shared" si="64"/>
        <v>41995</v>
      </c>
      <c r="I199" s="246"/>
      <c r="J199" s="246"/>
    </row>
    <row r="200" spans="1:10" s="299" customFormat="1" x14ac:dyDescent="0.3">
      <c r="A200" s="302">
        <v>2010</v>
      </c>
      <c r="B200" s="311">
        <f>'Rate Class Customer Model'!B11</f>
        <v>29057</v>
      </c>
      <c r="C200" s="311">
        <f>'Rate Class Customer Model'!C11</f>
        <v>3345</v>
      </c>
      <c r="D200" s="311">
        <f>'Rate Class Customer Model'!D11</f>
        <v>435</v>
      </c>
      <c r="E200" s="311">
        <f>'Rate Class Customer Model'!E11</f>
        <v>411</v>
      </c>
      <c r="F200" s="311">
        <f>'Rate Class Customer Model'!F11</f>
        <v>8846</v>
      </c>
      <c r="G200" s="311">
        <f>'Rate Class Customer Model'!G11</f>
        <v>16</v>
      </c>
      <c r="H200" s="311">
        <f t="shared" si="64"/>
        <v>42110</v>
      </c>
      <c r="I200" s="246"/>
      <c r="J200" s="246"/>
    </row>
    <row r="201" spans="1:10" s="299" customFormat="1" x14ac:dyDescent="0.3">
      <c r="A201" s="302">
        <v>2011</v>
      </c>
      <c r="B201" s="311">
        <f>'Rate Class Customer Model'!B12</f>
        <v>29124</v>
      </c>
      <c r="C201" s="311">
        <f>'Rate Class Customer Model'!C12</f>
        <v>3366</v>
      </c>
      <c r="D201" s="311">
        <f>'Rate Class Customer Model'!D12</f>
        <v>403</v>
      </c>
      <c r="E201" s="311">
        <f>'Rate Class Customer Model'!E12</f>
        <v>402</v>
      </c>
      <c r="F201" s="311">
        <f>'Rate Class Customer Model'!F12</f>
        <v>8846</v>
      </c>
      <c r="G201" s="311">
        <f>'Rate Class Customer Model'!G12</f>
        <v>19</v>
      </c>
      <c r="H201" s="311">
        <f t="shared" si="64"/>
        <v>42160</v>
      </c>
      <c r="I201" s="246"/>
      <c r="J201" s="246"/>
    </row>
    <row r="202" spans="1:10" s="299" customFormat="1" x14ac:dyDescent="0.3">
      <c r="A202" s="302">
        <v>2012</v>
      </c>
      <c r="B202" s="311">
        <f>'Rate Class Customer Model'!B13</f>
        <v>29327</v>
      </c>
      <c r="C202" s="311">
        <f>'Rate Class Customer Model'!C13</f>
        <v>3448</v>
      </c>
      <c r="D202" s="311">
        <f>'Rate Class Customer Model'!D13</f>
        <v>366</v>
      </c>
      <c r="E202" s="311">
        <f>'Rate Class Customer Model'!E13</f>
        <v>392</v>
      </c>
      <c r="F202" s="311">
        <f>'Rate Class Customer Model'!F13</f>
        <v>8846</v>
      </c>
      <c r="G202" s="311">
        <f>'Rate Class Customer Model'!G13</f>
        <v>21</v>
      </c>
      <c r="H202" s="311">
        <f t="shared" si="64"/>
        <v>42400</v>
      </c>
      <c r="I202" s="246"/>
      <c r="J202" s="246"/>
    </row>
    <row r="203" spans="1:10" s="299" customFormat="1" x14ac:dyDescent="0.3">
      <c r="A203" s="302">
        <v>2013</v>
      </c>
      <c r="B203" s="311">
        <f>'Rate Class Customer Model'!B14</f>
        <v>29504</v>
      </c>
      <c r="C203" s="311">
        <f>'Rate Class Customer Model'!C14</f>
        <v>3474</v>
      </c>
      <c r="D203" s="311">
        <f>'Rate Class Customer Model'!D14</f>
        <v>373</v>
      </c>
      <c r="E203" s="311">
        <f>'Rate Class Customer Model'!E14</f>
        <v>374</v>
      </c>
      <c r="F203" s="311">
        <f>'Rate Class Customer Model'!F14</f>
        <v>8846</v>
      </c>
      <c r="G203" s="311">
        <f>'Rate Class Customer Model'!G14</f>
        <v>21</v>
      </c>
      <c r="H203" s="311">
        <f t="shared" si="64"/>
        <v>42592</v>
      </c>
      <c r="I203" s="246"/>
      <c r="J203" s="246"/>
    </row>
    <row r="204" spans="1:10" s="299" customFormat="1" x14ac:dyDescent="0.3">
      <c r="A204" s="302">
        <v>2014</v>
      </c>
      <c r="B204" s="311">
        <f>'Rate Class Customer Model'!B15</f>
        <v>29514</v>
      </c>
      <c r="C204" s="311">
        <f>'Rate Class Customer Model'!C15</f>
        <v>3464</v>
      </c>
      <c r="D204" s="311">
        <f>'Rate Class Customer Model'!D15</f>
        <v>370</v>
      </c>
      <c r="E204" s="311">
        <f>'Rate Class Customer Model'!E15</f>
        <v>362</v>
      </c>
      <c r="F204" s="311">
        <f>'Rate Class Customer Model'!F15</f>
        <v>8846</v>
      </c>
      <c r="G204" s="311">
        <f>'Rate Class Customer Model'!G15</f>
        <v>21</v>
      </c>
      <c r="H204" s="311">
        <f t="shared" si="64"/>
        <v>42577</v>
      </c>
      <c r="I204" s="246"/>
      <c r="J204" s="246"/>
    </row>
    <row r="205" spans="1:10" s="299" customFormat="1" x14ac:dyDescent="0.3">
      <c r="A205" s="302">
        <v>2015</v>
      </c>
      <c r="B205" s="311">
        <f>'Rate Class Customer Model'!B16</f>
        <v>29566</v>
      </c>
      <c r="C205" s="311">
        <f>'Rate Class Customer Model'!C16</f>
        <v>3431</v>
      </c>
      <c r="D205" s="311">
        <f>'Rate Class Customer Model'!D16</f>
        <v>373</v>
      </c>
      <c r="E205" s="311">
        <f>'Rate Class Customer Model'!E16</f>
        <v>360</v>
      </c>
      <c r="F205" s="311">
        <f>'Rate Class Customer Model'!F16</f>
        <v>8839</v>
      </c>
      <c r="G205" s="311">
        <f>'Rate Class Customer Model'!G16</f>
        <v>21</v>
      </c>
      <c r="H205" s="311">
        <f t="shared" si="64"/>
        <v>42590</v>
      </c>
      <c r="I205" s="246"/>
      <c r="J205" s="246"/>
    </row>
    <row r="206" spans="1:10" s="299" customFormat="1" x14ac:dyDescent="0.3">
      <c r="A206" s="302">
        <v>2016</v>
      </c>
      <c r="B206" s="311">
        <f>'Rate Class Customer Model'!B17</f>
        <v>29620</v>
      </c>
      <c r="C206" s="311">
        <f>'Rate Class Customer Model'!C17</f>
        <v>3414</v>
      </c>
      <c r="D206" s="311">
        <f>'Rate Class Customer Model'!D17</f>
        <v>361</v>
      </c>
      <c r="E206" s="311">
        <f>'Rate Class Customer Model'!E17</f>
        <v>362</v>
      </c>
      <c r="F206" s="311">
        <f>'Rate Class Customer Model'!F17</f>
        <v>8872</v>
      </c>
      <c r="G206" s="311">
        <f>'Rate Class Customer Model'!G17</f>
        <v>21</v>
      </c>
      <c r="H206" s="311">
        <f t="shared" si="64"/>
        <v>42650</v>
      </c>
      <c r="I206" s="246"/>
      <c r="J206" s="246"/>
    </row>
    <row r="207" spans="1:10" s="299" customFormat="1" x14ac:dyDescent="0.3">
      <c r="A207" s="304"/>
      <c r="B207" s="305"/>
      <c r="C207" s="305"/>
      <c r="D207" s="305"/>
      <c r="E207" s="305"/>
      <c r="F207" s="305"/>
      <c r="G207" s="305"/>
      <c r="H207" s="305"/>
      <c r="I207" s="305"/>
      <c r="J207" s="305"/>
    </row>
    <row r="208" spans="1:10" s="299" customFormat="1" x14ac:dyDescent="0.3"/>
    <row r="209" spans="1:10" s="299" customFormat="1" x14ac:dyDescent="0.3">
      <c r="A209" s="423" t="s">
        <v>240</v>
      </c>
      <c r="B209" s="424"/>
      <c r="C209" s="424"/>
      <c r="D209" s="424"/>
      <c r="E209" s="424"/>
      <c r="F209" s="424"/>
    </row>
    <row r="210" spans="1:10" s="299" customFormat="1" ht="46.8" x14ac:dyDescent="0.3">
      <c r="A210" s="276" t="s">
        <v>142</v>
      </c>
      <c r="B210" s="277" t="str">
        <f t="shared" ref="B210:G210" si="65">B191</f>
        <v xml:space="preserve">Residential </v>
      </c>
      <c r="C210" s="277" t="str">
        <f t="shared" si="65"/>
        <v>General Service &lt; 50 kW</v>
      </c>
      <c r="D210" s="277" t="str">
        <f t="shared" si="65"/>
        <v>General Service 50 to 4,999 kW</v>
      </c>
      <c r="E210" s="277" t="str">
        <f t="shared" si="65"/>
        <v>Sentinel Lighting</v>
      </c>
      <c r="F210" s="277" t="str">
        <f t="shared" si="65"/>
        <v>Street Lights</v>
      </c>
      <c r="G210" s="277" t="str">
        <f t="shared" si="65"/>
        <v xml:space="preserve">Unmetered Scattered Load </v>
      </c>
      <c r="H210"/>
      <c r="I210"/>
      <c r="J210"/>
    </row>
    <row r="211" spans="1:10" s="299" customFormat="1" x14ac:dyDescent="0.3">
      <c r="A211" s="436" t="s">
        <v>157</v>
      </c>
      <c r="B211" s="436"/>
      <c r="C211" s="436"/>
      <c r="D211" s="436"/>
      <c r="E211" s="436"/>
      <c r="F211" s="436"/>
      <c r="G211" s="436"/>
      <c r="H211"/>
      <c r="I211"/>
      <c r="J211"/>
    </row>
    <row r="212" spans="1:10" s="299" customFormat="1" x14ac:dyDescent="0.3">
      <c r="A212" s="306">
        <f t="shared" ref="A212:A215" si="66">A193</f>
        <v>2003</v>
      </c>
      <c r="B212" s="313"/>
      <c r="C212" s="313"/>
      <c r="D212" s="313"/>
      <c r="E212" s="313"/>
      <c r="F212" s="313"/>
      <c r="G212" s="313"/>
      <c r="H212"/>
      <c r="I212"/>
      <c r="J212"/>
    </row>
    <row r="213" spans="1:10" s="299" customFormat="1" x14ac:dyDescent="0.3">
      <c r="A213" s="306">
        <f t="shared" si="66"/>
        <v>2004</v>
      </c>
      <c r="B213" s="307">
        <f>B194/B193-1</f>
        <v>5.605381165918466E-4</v>
      </c>
      <c r="C213" s="307">
        <f t="shared" ref="C213:G213" si="67">C194/C193-1</f>
        <v>5.2631578947368585E-3</v>
      </c>
      <c r="D213" s="307">
        <f t="shared" si="67"/>
        <v>1.193317422434359E-2</v>
      </c>
      <c r="E213" s="307">
        <f t="shared" si="67"/>
        <v>0</v>
      </c>
      <c r="F213" s="307">
        <f t="shared" si="67"/>
        <v>1.8563638473141353E-3</v>
      </c>
      <c r="G213" s="307">
        <f t="shared" si="67"/>
        <v>0.58333333333333326</v>
      </c>
      <c r="H213"/>
      <c r="I213"/>
      <c r="J213"/>
    </row>
    <row r="214" spans="1:10" s="299" customFormat="1" x14ac:dyDescent="0.3">
      <c r="A214" s="306">
        <f t="shared" si="66"/>
        <v>2005</v>
      </c>
      <c r="B214" s="307">
        <f t="shared" ref="B214:G225" si="68">B195/B194-1</f>
        <v>5.6022408963585235E-4</v>
      </c>
      <c r="C214" s="307">
        <f t="shared" si="68"/>
        <v>8.3153680320295909E-3</v>
      </c>
      <c r="D214" s="307">
        <f t="shared" si="68"/>
        <v>1.6509433962264231E-2</v>
      </c>
      <c r="E214" s="307">
        <f t="shared" si="68"/>
        <v>-1.5021459227467782E-2</v>
      </c>
      <c r="F214" s="307">
        <f t="shared" si="68"/>
        <v>8.1065431383908759E-4</v>
      </c>
      <c r="G214" s="307">
        <f t="shared" si="68"/>
        <v>0.42105263157894735</v>
      </c>
      <c r="H214"/>
      <c r="I214"/>
      <c r="J214"/>
    </row>
    <row r="215" spans="1:10" s="299" customFormat="1" x14ac:dyDescent="0.3">
      <c r="A215" s="306">
        <f t="shared" si="66"/>
        <v>2006</v>
      </c>
      <c r="B215" s="307">
        <f t="shared" si="68"/>
        <v>6.9988801791720512E-4</v>
      </c>
      <c r="C215" s="307">
        <f t="shared" si="68"/>
        <v>8.2467929138667628E-3</v>
      </c>
      <c r="D215" s="307">
        <f t="shared" si="68"/>
        <v>2.3201856148491462E-3</v>
      </c>
      <c r="E215" s="307">
        <f t="shared" si="68"/>
        <v>-2.1786492374727628E-2</v>
      </c>
      <c r="F215" s="307">
        <f t="shared" si="68"/>
        <v>2.4299930571627382E-3</v>
      </c>
      <c r="G215" s="307">
        <f t="shared" si="68"/>
        <v>3.7037037037036979E-2</v>
      </c>
      <c r="H215"/>
      <c r="I215"/>
      <c r="J215"/>
    </row>
    <row r="216" spans="1:10" s="299" customFormat="1" x14ac:dyDescent="0.3">
      <c r="A216" s="306">
        <f t="shared" ref="A216:A225" si="69">A197</f>
        <v>2007</v>
      </c>
      <c r="B216" s="307">
        <f t="shared" si="68"/>
        <v>1.1889774793676366E-3</v>
      </c>
      <c r="C216" s="307">
        <f t="shared" si="68"/>
        <v>3.0293850348384055E-4</v>
      </c>
      <c r="D216" s="307">
        <f t="shared" si="68"/>
        <v>-6.9444444444444198E-3</v>
      </c>
      <c r="E216" s="307">
        <f t="shared" si="68"/>
        <v>-1.3363028953229383E-2</v>
      </c>
      <c r="F216" s="307">
        <f t="shared" si="68"/>
        <v>5.079071915041089E-3</v>
      </c>
      <c r="G216" s="307">
        <f t="shared" si="68"/>
        <v>-3.5714285714285698E-2</v>
      </c>
      <c r="H216"/>
      <c r="I216"/>
      <c r="J216"/>
    </row>
    <row r="217" spans="1:10" s="299" customFormat="1" x14ac:dyDescent="0.3">
      <c r="A217" s="306">
        <f t="shared" si="69"/>
        <v>2008</v>
      </c>
      <c r="B217" s="307">
        <f t="shared" si="68"/>
        <v>5.239259517988204E-3</v>
      </c>
      <c r="C217" s="307">
        <f t="shared" si="68"/>
        <v>6.9654754694123966E-3</v>
      </c>
      <c r="D217" s="307">
        <f t="shared" si="68"/>
        <v>-6.9930069930069783E-3</v>
      </c>
      <c r="E217" s="307">
        <f t="shared" si="68"/>
        <v>-1.8058690744920947E-2</v>
      </c>
      <c r="F217" s="307">
        <f t="shared" si="68"/>
        <v>3.9049041001493201E-3</v>
      </c>
      <c r="G217" s="307">
        <f t="shared" si="68"/>
        <v>-0.18518518518518523</v>
      </c>
      <c r="H217"/>
      <c r="I217"/>
      <c r="J217"/>
    </row>
    <row r="218" spans="1:10" s="299" customFormat="1" x14ac:dyDescent="0.3">
      <c r="A218" s="306">
        <f t="shared" si="69"/>
        <v>2009</v>
      </c>
      <c r="B218" s="307">
        <f t="shared" si="68"/>
        <v>6.636553161917913E-3</v>
      </c>
      <c r="C218" s="307">
        <f t="shared" si="68"/>
        <v>8.1203007518797499E-3</v>
      </c>
      <c r="D218" s="307">
        <f t="shared" si="68"/>
        <v>1.6431924882629012E-2</v>
      </c>
      <c r="E218" s="307">
        <f t="shared" si="68"/>
        <v>-2.7586206896551779E-2</v>
      </c>
      <c r="F218" s="307">
        <f t="shared" si="68"/>
        <v>6.6353964077336958E-3</v>
      </c>
      <c r="G218" s="307">
        <f t="shared" si="68"/>
        <v>-0.22727272727272729</v>
      </c>
      <c r="H218"/>
      <c r="I218"/>
      <c r="J218"/>
    </row>
    <row r="219" spans="1:10" s="299" customFormat="1" x14ac:dyDescent="0.3">
      <c r="A219" s="306">
        <f t="shared" si="69"/>
        <v>2010</v>
      </c>
      <c r="B219" s="307">
        <f t="shared" si="68"/>
        <v>2.9684857271063958E-3</v>
      </c>
      <c r="C219" s="307">
        <f t="shared" si="68"/>
        <v>-2.0883054892600894E-3</v>
      </c>
      <c r="D219" s="307">
        <f t="shared" si="68"/>
        <v>4.6189376443417363E-3</v>
      </c>
      <c r="E219" s="307">
        <f t="shared" si="68"/>
        <v>-2.8368794326241176E-2</v>
      </c>
      <c r="F219" s="307">
        <f t="shared" si="68"/>
        <v>5.341516081372788E-3</v>
      </c>
      <c r="G219" s="307">
        <f t="shared" si="68"/>
        <v>-5.8823529411764719E-2</v>
      </c>
      <c r="H219"/>
      <c r="I219"/>
      <c r="J219"/>
    </row>
    <row r="220" spans="1:10" s="299" customFormat="1" x14ac:dyDescent="0.3">
      <c r="A220" s="306">
        <f t="shared" si="69"/>
        <v>2011</v>
      </c>
      <c r="B220" s="307">
        <f t="shared" si="68"/>
        <v>2.3058127129436112E-3</v>
      </c>
      <c r="C220" s="307">
        <f t="shared" si="68"/>
        <v>6.2780269058295701E-3</v>
      </c>
      <c r="D220" s="307">
        <f t="shared" si="68"/>
        <v>-7.3563218390804597E-2</v>
      </c>
      <c r="E220" s="307">
        <f t="shared" si="68"/>
        <v>-2.1897810218978075E-2</v>
      </c>
      <c r="F220" s="307">
        <f t="shared" si="68"/>
        <v>0</v>
      </c>
      <c r="G220" s="307">
        <f t="shared" si="68"/>
        <v>0.1875</v>
      </c>
      <c r="H220"/>
      <c r="I220"/>
      <c r="J220"/>
    </row>
    <row r="221" spans="1:10" s="299" customFormat="1" x14ac:dyDescent="0.3">
      <c r="A221" s="306">
        <f t="shared" si="69"/>
        <v>2012</v>
      </c>
      <c r="B221" s="307">
        <f t="shared" si="68"/>
        <v>6.9701964015931317E-3</v>
      </c>
      <c r="C221" s="307">
        <f t="shared" si="68"/>
        <v>2.4361259655377276E-2</v>
      </c>
      <c r="D221" s="307">
        <f t="shared" si="68"/>
        <v>-9.1811414392059532E-2</v>
      </c>
      <c r="E221" s="307">
        <f t="shared" si="68"/>
        <v>-2.4875621890547261E-2</v>
      </c>
      <c r="F221" s="307">
        <f t="shared" si="68"/>
        <v>0</v>
      </c>
      <c r="G221" s="307">
        <f t="shared" si="68"/>
        <v>0.10526315789473695</v>
      </c>
      <c r="H221"/>
      <c r="I221"/>
      <c r="J221"/>
    </row>
    <row r="222" spans="1:10" s="299" customFormat="1" x14ac:dyDescent="0.3">
      <c r="A222" s="306">
        <f t="shared" si="69"/>
        <v>2013</v>
      </c>
      <c r="B222" s="307">
        <f t="shared" si="68"/>
        <v>6.0353940055239974E-3</v>
      </c>
      <c r="C222" s="307">
        <f t="shared" si="68"/>
        <v>7.5406032482598917E-3</v>
      </c>
      <c r="D222" s="307">
        <f t="shared" si="68"/>
        <v>1.91256830601092E-2</v>
      </c>
      <c r="E222" s="307">
        <f t="shared" si="68"/>
        <v>-4.5918367346938771E-2</v>
      </c>
      <c r="F222" s="307">
        <f t="shared" si="68"/>
        <v>0</v>
      </c>
      <c r="G222" s="307">
        <f t="shared" si="68"/>
        <v>0</v>
      </c>
      <c r="H222"/>
      <c r="I222"/>
      <c r="J222"/>
    </row>
    <row r="223" spans="1:10" s="299" customFormat="1" x14ac:dyDescent="0.3">
      <c r="A223" s="306">
        <f t="shared" si="69"/>
        <v>2014</v>
      </c>
      <c r="B223" s="307">
        <f t="shared" si="68"/>
        <v>3.3893709327559307E-4</v>
      </c>
      <c r="C223" s="307">
        <f t="shared" si="68"/>
        <v>-2.8785261945883933E-3</v>
      </c>
      <c r="D223" s="307">
        <f t="shared" si="68"/>
        <v>-8.0428954423592547E-3</v>
      </c>
      <c r="E223" s="307">
        <f t="shared" si="68"/>
        <v>-3.208556149732622E-2</v>
      </c>
      <c r="F223" s="307">
        <f t="shared" si="68"/>
        <v>0</v>
      </c>
      <c r="G223" s="307">
        <f t="shared" si="68"/>
        <v>0</v>
      </c>
      <c r="H223"/>
      <c r="I223"/>
      <c r="J223"/>
    </row>
    <row r="224" spans="1:10" s="299" customFormat="1" x14ac:dyDescent="0.3">
      <c r="A224" s="306">
        <f t="shared" si="69"/>
        <v>2015</v>
      </c>
      <c r="B224" s="307">
        <f t="shared" si="68"/>
        <v>1.7618757199973079E-3</v>
      </c>
      <c r="C224" s="307">
        <f t="shared" si="68"/>
        <v>-9.5265588914549282E-3</v>
      </c>
      <c r="D224" s="307">
        <f t="shared" si="68"/>
        <v>8.1081081081080253E-3</v>
      </c>
      <c r="E224" s="307">
        <f t="shared" si="68"/>
        <v>-5.5248618784530246E-3</v>
      </c>
      <c r="F224" s="307">
        <f t="shared" si="68"/>
        <v>-7.9131810988020135E-4</v>
      </c>
      <c r="G224" s="307">
        <f t="shared" si="68"/>
        <v>0</v>
      </c>
      <c r="H224"/>
      <c r="I224"/>
      <c r="J224"/>
    </row>
    <row r="225" spans="1:10" s="299" customFormat="1" x14ac:dyDescent="0.3">
      <c r="A225" s="306">
        <f t="shared" si="69"/>
        <v>2016</v>
      </c>
      <c r="B225" s="307">
        <f t="shared" si="68"/>
        <v>1.8264222417641029E-3</v>
      </c>
      <c r="C225" s="307">
        <f t="shared" si="68"/>
        <v>-4.9548236665695189E-3</v>
      </c>
      <c r="D225" s="307">
        <f t="shared" si="68"/>
        <v>-3.2171581769437019E-2</v>
      </c>
      <c r="E225" s="307">
        <f t="shared" si="68"/>
        <v>5.5555555555555358E-3</v>
      </c>
      <c r="F225" s="307">
        <f t="shared" si="68"/>
        <v>3.7334540106346292E-3</v>
      </c>
      <c r="G225" s="307">
        <f t="shared" si="68"/>
        <v>0</v>
      </c>
      <c r="H225"/>
      <c r="I225"/>
      <c r="J225"/>
    </row>
    <row r="226" spans="1:10" s="299" customFormat="1" x14ac:dyDescent="0.3">
      <c r="A226" s="308" t="s">
        <v>229</v>
      </c>
      <c r="B226" s="307">
        <f>'Rate Class Customer Model'!B40-1</f>
        <v>2.9096708981783959E-3</v>
      </c>
      <c r="C226" s="307">
        <f>'Rate Class Customer Model'!C40-1</f>
        <v>4.0281509859076969E-3</v>
      </c>
      <c r="D226" s="307">
        <f>'Rate Class Customer Model'!D40-1</f>
        <v>-1.0585924903955934E-2</v>
      </c>
      <c r="E226" s="307">
        <f>'Rate Class Customer Model'!E40-1</f>
        <v>-1.8070988108269126E-2</v>
      </c>
      <c r="F226" s="307">
        <f>'Rate Class Customer Model'!F40-1</f>
        <v>-4.6900803757096154E-3</v>
      </c>
      <c r="G226" s="307">
        <f>'Rate Class Customer Model'!G40-1</f>
        <v>4.078221086601852E-2</v>
      </c>
      <c r="H226"/>
      <c r="I226"/>
      <c r="J226"/>
    </row>
    <row r="227" spans="1:10" s="299" customFormat="1" x14ac:dyDescent="0.3">
      <c r="A227" s="304"/>
      <c r="B227" s="312"/>
      <c r="C227" s="312"/>
      <c r="D227" s="312"/>
      <c r="E227" s="312"/>
      <c r="F227" s="312"/>
      <c r="G227" s="312"/>
      <c r="H227" s="312"/>
      <c r="I227" s="312"/>
      <c r="J227" s="312"/>
    </row>
    <row r="228" spans="1:10" s="299" customFormat="1" x14ac:dyDescent="0.3">
      <c r="A228" s="425" t="s">
        <v>241</v>
      </c>
      <c r="B228" s="425"/>
      <c r="C228" s="425"/>
      <c r="D228" s="425"/>
      <c r="E228" s="425"/>
      <c r="F228" s="425"/>
      <c r="G228" s="425"/>
      <c r="H228" s="425"/>
      <c r="I228" s="425"/>
    </row>
    <row r="229" spans="1:10" s="299" customFormat="1" ht="46.8" x14ac:dyDescent="0.3">
      <c r="A229" s="276" t="str">
        <f t="shared" ref="A229:H229" si="70">A191</f>
        <v>Year</v>
      </c>
      <c r="B229" s="277" t="str">
        <f t="shared" si="70"/>
        <v xml:space="preserve">Residential </v>
      </c>
      <c r="C229" s="277" t="str">
        <f t="shared" si="70"/>
        <v>General Service &lt; 50 kW</v>
      </c>
      <c r="D229" s="277" t="str">
        <f t="shared" si="70"/>
        <v>General Service 50 to 4,999 kW</v>
      </c>
      <c r="E229" s="277" t="str">
        <f t="shared" si="70"/>
        <v>Sentinel Lighting</v>
      </c>
      <c r="F229" s="277" t="str">
        <f t="shared" si="70"/>
        <v>Street Lights</v>
      </c>
      <c r="G229" s="277" t="str">
        <f t="shared" si="70"/>
        <v xml:space="preserve">Unmetered Scattered Load </v>
      </c>
      <c r="H229" s="277" t="str">
        <f t="shared" si="70"/>
        <v>Total</v>
      </c>
      <c r="I229"/>
      <c r="J229"/>
    </row>
    <row r="230" spans="1:10" s="299" customFormat="1" x14ac:dyDescent="0.3">
      <c r="A230" s="436" t="s">
        <v>230</v>
      </c>
      <c r="B230" s="436"/>
      <c r="C230" s="436"/>
      <c r="D230" s="436"/>
      <c r="E230" s="436"/>
      <c r="F230" s="436"/>
      <c r="G230" s="436"/>
      <c r="H230" s="436"/>
      <c r="I230"/>
      <c r="J230"/>
    </row>
    <row r="231" spans="1:10" s="299" customFormat="1" x14ac:dyDescent="0.3">
      <c r="A231" s="309" t="str">
        <f>A186</f>
        <v>2017 Bridge</v>
      </c>
      <c r="B231" s="303">
        <f>'Rate Class Customer Model'!B18</f>
        <v>29729</v>
      </c>
      <c r="C231" s="303">
        <f>'Rate Class Customer Model'!C18</f>
        <v>3417</v>
      </c>
      <c r="D231" s="303">
        <f>'Rate Class Customer Model'!D18</f>
        <v>361</v>
      </c>
      <c r="E231" s="303">
        <f>'Rate Class Customer Model'!E18</f>
        <v>361</v>
      </c>
      <c r="F231" s="303">
        <f>'Rate Class Customer Model'!F18</f>
        <v>8070</v>
      </c>
      <c r="G231" s="303">
        <f>'Rate Class Customer Model'!G18</f>
        <v>21</v>
      </c>
      <c r="H231" s="303">
        <f>SUM(B231:G231)</f>
        <v>41959</v>
      </c>
      <c r="I231"/>
      <c r="J231"/>
    </row>
    <row r="232" spans="1:10" s="299" customFormat="1" x14ac:dyDescent="0.3">
      <c r="A232" s="309" t="str">
        <f>A187</f>
        <v>2018 Test</v>
      </c>
      <c r="B232" s="303">
        <f>'Rate Class Customer Model'!B19</f>
        <v>29815.501606131944</v>
      </c>
      <c r="C232" s="303">
        <f>'Rate Class Customer Model'!C19</f>
        <v>3430.7641919188468</v>
      </c>
      <c r="D232" s="303">
        <f>'Rate Class Customer Model'!D19</f>
        <v>357.17848110967191</v>
      </c>
      <c r="E232" s="303">
        <f>'Rate Class Customer Model'!E19</f>
        <v>354.47637329291484</v>
      </c>
      <c r="F232" s="303">
        <f>'Rate Class Customer Model'!F19</f>
        <v>8070</v>
      </c>
      <c r="G232" s="303">
        <f>'Rate Class Customer Model'!G19</f>
        <v>21.856426428186388</v>
      </c>
      <c r="H232" s="303">
        <f>SUM(B232:G232)</f>
        <v>42049.777078881569</v>
      </c>
      <c r="I232"/>
      <c r="J232"/>
    </row>
    <row r="233" spans="1:10" s="299" customFormat="1" x14ac:dyDescent="0.3"/>
    <row r="234" spans="1:10" s="299" customFormat="1" x14ac:dyDescent="0.3">
      <c r="A234" s="300" t="s">
        <v>242</v>
      </c>
      <c r="B234" s="301"/>
      <c r="C234" s="301"/>
      <c r="D234" s="301"/>
      <c r="E234" s="301"/>
      <c r="F234" s="301"/>
      <c r="G234" s="301"/>
      <c r="H234"/>
      <c r="I234"/>
      <c r="J234"/>
    </row>
    <row r="235" spans="1:10" s="299" customFormat="1" ht="46.8" x14ac:dyDescent="0.3">
      <c r="A235" s="276" t="s">
        <v>142</v>
      </c>
      <c r="B235" s="277" t="str">
        <f>B229</f>
        <v xml:space="preserve">Residential </v>
      </c>
      <c r="C235" s="277" t="str">
        <f t="shared" ref="C235:G235" si="71">C229</f>
        <v>General Service &lt; 50 kW</v>
      </c>
      <c r="D235" s="277" t="str">
        <f t="shared" si="71"/>
        <v>General Service 50 to 4,999 kW</v>
      </c>
      <c r="E235" s="277" t="str">
        <f t="shared" si="71"/>
        <v>Sentinel Lighting</v>
      </c>
      <c r="F235" s="277" t="str">
        <f t="shared" si="71"/>
        <v>Street Lights</v>
      </c>
      <c r="G235" s="277" t="str">
        <f t="shared" si="71"/>
        <v xml:space="preserve">Unmetered Scattered Load </v>
      </c>
      <c r="H235"/>
      <c r="I235"/>
      <c r="J235"/>
    </row>
    <row r="236" spans="1:10" s="299" customFormat="1" x14ac:dyDescent="0.3">
      <c r="A236" s="436" t="s">
        <v>231</v>
      </c>
      <c r="B236" s="436"/>
      <c r="C236" s="436"/>
      <c r="D236" s="436"/>
      <c r="E236" s="436"/>
      <c r="F236" s="436"/>
      <c r="G236" s="436"/>
      <c r="H236"/>
      <c r="I236"/>
      <c r="J236"/>
    </row>
    <row r="237" spans="1:10" s="299" customFormat="1" x14ac:dyDescent="0.3">
      <c r="A237" s="302">
        <v>2016</v>
      </c>
      <c r="B237" s="303">
        <f>'Rate Class Energy Model'!H49</f>
        <v>9748.3621336934502</v>
      </c>
      <c r="C237" s="303">
        <f>'Rate Class Energy Model'!I49</f>
        <v>26999.120093731693</v>
      </c>
      <c r="D237" s="303">
        <f>'Rate Class Energy Model'!J49</f>
        <v>692396.6149584488</v>
      </c>
      <c r="E237" s="303">
        <f>'Rate Class Energy Model'!K49</f>
        <v>627.22596685082874</v>
      </c>
      <c r="F237" s="303">
        <f>'Rate Class Energy Model'!L49</f>
        <v>548.83646302975649</v>
      </c>
      <c r="G237" s="303">
        <f>'Rate Class Energy Model'!M49</f>
        <v>43011.934761904762</v>
      </c>
      <c r="H237"/>
      <c r="I237"/>
      <c r="J237"/>
    </row>
    <row r="238" spans="1:10" s="299" customFormat="1" x14ac:dyDescent="0.3">
      <c r="A238" s="304"/>
      <c r="B238" s="305"/>
      <c r="C238" s="305"/>
      <c r="D238" s="305"/>
      <c r="E238" s="305"/>
      <c r="F238" s="305"/>
      <c r="G238" s="305"/>
    </row>
    <row r="239" spans="1:10" s="299" customFormat="1" x14ac:dyDescent="0.3"/>
    <row r="240" spans="1:10" s="299" customFormat="1" x14ac:dyDescent="0.3">
      <c r="A240" s="296" t="s">
        <v>243</v>
      </c>
      <c r="B240" s="297"/>
      <c r="C240" s="297"/>
      <c r="D240" s="297"/>
      <c r="E240" s="297"/>
      <c r="F240" s="297"/>
      <c r="G240" s="297"/>
    </row>
    <row r="241" spans="1:10" s="299" customFormat="1" ht="46.8" x14ac:dyDescent="0.3">
      <c r="A241" s="276" t="str">
        <f>A235</f>
        <v>Year</v>
      </c>
      <c r="B241" s="277" t="str">
        <f t="shared" ref="B241:G241" si="72">B235</f>
        <v xml:space="preserve">Residential </v>
      </c>
      <c r="C241" s="277" t="str">
        <f t="shared" si="72"/>
        <v>General Service &lt; 50 kW</v>
      </c>
      <c r="D241" s="277" t="str">
        <f t="shared" si="72"/>
        <v>General Service 50 to 4,999 kW</v>
      </c>
      <c r="E241" s="277" t="str">
        <f t="shared" si="72"/>
        <v>Sentinel Lighting</v>
      </c>
      <c r="F241" s="277" t="str">
        <f t="shared" si="72"/>
        <v>Street Lights</v>
      </c>
      <c r="G241" s="277" t="str">
        <f t="shared" si="72"/>
        <v xml:space="preserve">Unmetered Scattered Load </v>
      </c>
      <c r="H241"/>
      <c r="I241"/>
      <c r="J241"/>
    </row>
    <row r="242" spans="1:10" s="299" customFormat="1" x14ac:dyDescent="0.3">
      <c r="A242" s="436" t="s">
        <v>232</v>
      </c>
      <c r="B242" s="436"/>
      <c r="C242" s="436"/>
      <c r="D242" s="436"/>
      <c r="E242" s="436"/>
      <c r="F242" s="436"/>
      <c r="G242" s="436"/>
      <c r="H242"/>
      <c r="I242"/>
      <c r="J242"/>
    </row>
    <row r="243" spans="1:10" s="299" customFormat="1" x14ac:dyDescent="0.3">
      <c r="A243" s="309" t="str">
        <f>A231</f>
        <v>2017 Bridge</v>
      </c>
      <c r="B243" s="303">
        <f>B237</f>
        <v>9748.3621336934502</v>
      </c>
      <c r="C243" s="303">
        <f t="shared" ref="C243:G243" si="73">C237</f>
        <v>26999.120093731693</v>
      </c>
      <c r="D243" s="303">
        <f t="shared" si="73"/>
        <v>692396.6149584488</v>
      </c>
      <c r="E243" s="303">
        <f t="shared" si="73"/>
        <v>627.22596685082874</v>
      </c>
      <c r="F243" s="303">
        <f t="shared" si="73"/>
        <v>548.83646302975649</v>
      </c>
      <c r="G243" s="303">
        <f t="shared" si="73"/>
        <v>43011.934761904762</v>
      </c>
      <c r="H243"/>
      <c r="I243"/>
      <c r="J243"/>
    </row>
    <row r="244" spans="1:10" s="299" customFormat="1" x14ac:dyDescent="0.3">
      <c r="A244" s="309" t="str">
        <f>A232</f>
        <v>2018 Test</v>
      </c>
      <c r="B244" s="303">
        <f>B243</f>
        <v>9748.3621336934502</v>
      </c>
      <c r="C244" s="303">
        <f t="shared" ref="C244:G244" si="74">C243</f>
        <v>26999.120093731693</v>
      </c>
      <c r="D244" s="303">
        <f t="shared" si="74"/>
        <v>692396.6149584488</v>
      </c>
      <c r="E244" s="303">
        <f t="shared" si="74"/>
        <v>627.22596685082874</v>
      </c>
      <c r="F244" s="303">
        <f t="shared" si="74"/>
        <v>548.83646302975649</v>
      </c>
      <c r="G244" s="303">
        <f t="shared" si="74"/>
        <v>43011.934761904762</v>
      </c>
      <c r="H244"/>
      <c r="I244"/>
      <c r="J244"/>
    </row>
    <row r="245" spans="1:10" s="299" customFormat="1" x14ac:dyDescent="0.3"/>
    <row r="246" spans="1:10" s="299" customFormat="1" x14ac:dyDescent="0.3">
      <c r="A246" s="296" t="s">
        <v>244</v>
      </c>
      <c r="B246" s="297"/>
      <c r="C246" s="297"/>
      <c r="D246" s="297"/>
      <c r="E246" s="297"/>
      <c r="F246" s="297"/>
      <c r="G246" s="297"/>
    </row>
    <row r="247" spans="1:10" s="299" customFormat="1" ht="46.8" x14ac:dyDescent="0.3">
      <c r="A247" s="276" t="str">
        <f>A229</f>
        <v>Year</v>
      </c>
      <c r="B247" s="277" t="str">
        <f t="shared" ref="B247:G247" si="75">B229</f>
        <v xml:space="preserve">Residential </v>
      </c>
      <c r="C247" s="277" t="str">
        <f t="shared" si="75"/>
        <v>General Service &lt; 50 kW</v>
      </c>
      <c r="D247" s="277" t="str">
        <f t="shared" si="75"/>
        <v>General Service 50 to 4,999 kW</v>
      </c>
      <c r="E247" s="277" t="str">
        <f t="shared" si="75"/>
        <v>Sentinel Lighting</v>
      </c>
      <c r="F247" s="277" t="str">
        <f t="shared" si="75"/>
        <v>Street Lights</v>
      </c>
      <c r="G247" s="277" t="str">
        <f t="shared" si="75"/>
        <v xml:space="preserve">Unmetered Scattered Load </v>
      </c>
      <c r="H247" s="277" t="str">
        <f>H229</f>
        <v>Total</v>
      </c>
      <c r="I247"/>
      <c r="J247"/>
    </row>
    <row r="248" spans="1:10" s="299" customFormat="1" x14ac:dyDescent="0.3">
      <c r="A248" s="300" t="s">
        <v>233</v>
      </c>
      <c r="B248" s="301"/>
      <c r="C248" s="301"/>
      <c r="D248" s="301"/>
      <c r="E248" s="301"/>
      <c r="F248" s="301"/>
      <c r="G248" s="301"/>
      <c r="H248" s="314"/>
      <c r="I248"/>
      <c r="J248"/>
    </row>
    <row r="249" spans="1:10" s="299" customFormat="1" x14ac:dyDescent="0.3">
      <c r="A249" s="306" t="str">
        <f>A243</f>
        <v>2017 Bridge</v>
      </c>
      <c r="B249" s="310" t="e">
        <f>'Rate Class Energy Model'!#REF!/1000000</f>
        <v>#REF!</v>
      </c>
      <c r="C249" s="310" t="e">
        <f>'Rate Class Energy Model'!#REF!/1000000</f>
        <v>#REF!</v>
      </c>
      <c r="D249" s="310" t="e">
        <f>'Rate Class Energy Model'!#REF!/1000000</f>
        <v>#REF!</v>
      </c>
      <c r="E249" s="310" t="e">
        <f>'Rate Class Energy Model'!#REF!/1000000</f>
        <v>#REF!</v>
      </c>
      <c r="F249" s="310" t="e">
        <f>'Rate Class Energy Model'!#REF!/1000000</f>
        <v>#REF!</v>
      </c>
      <c r="G249" s="310" t="e">
        <f>'Rate Class Energy Model'!#REF!/1000000</f>
        <v>#REF!</v>
      </c>
      <c r="H249" s="310" t="e">
        <f>SUM(B249:G249)</f>
        <v>#REF!</v>
      </c>
      <c r="I249"/>
      <c r="J249"/>
    </row>
    <row r="250" spans="1:10" s="299" customFormat="1" x14ac:dyDescent="0.3">
      <c r="A250" s="306" t="str">
        <f>A244</f>
        <v>2018 Test</v>
      </c>
      <c r="B250" s="310">
        <f>'Rate Class Energy Model'!H73/1000000</f>
        <v>283.64346161472179</v>
      </c>
      <c r="C250" s="310">
        <f>'Rate Class Energy Model'!I73/1000000</f>
        <v>91.595061933817988</v>
      </c>
      <c r="D250" s="310">
        <f>'Rate Class Energy Model'!J73/1000000</f>
        <v>242.57106295680614</v>
      </c>
      <c r="E250" s="310">
        <f>'Rate Class Energy Model'!K73/1000000</f>
        <v>0.20980013099560146</v>
      </c>
      <c r="F250" s="310">
        <f>'Rate Class Energy Model'!L73/1000000</f>
        <v>2.3982212999999999</v>
      </c>
      <c r="G250" s="310">
        <f>'Rate Class Energy Model'!M73/1000000</f>
        <v>0.94473143889360511</v>
      </c>
      <c r="H250" s="310">
        <f>SUM(B250:G250)</f>
        <v>621.36233937523525</v>
      </c>
      <c r="I250"/>
      <c r="J250"/>
    </row>
    <row r="251" spans="1:10" s="299" customFormat="1" x14ac:dyDescent="0.3"/>
    <row r="252" spans="1:10" s="299" customFormat="1" x14ac:dyDescent="0.3">
      <c r="B252" s="425" t="s">
        <v>245</v>
      </c>
      <c r="C252" s="425"/>
      <c r="D252" s="425"/>
      <c r="E252" s="425"/>
    </row>
    <row r="253" spans="1:10" s="299" customFormat="1" ht="46.8" x14ac:dyDescent="0.3">
      <c r="B253" s="277" t="str">
        <f>B247</f>
        <v xml:space="preserve">Residential </v>
      </c>
      <c r="C253" s="277" t="str">
        <f t="shared" ref="C253:G253" si="76">C247</f>
        <v>General Service &lt; 50 kW</v>
      </c>
      <c r="D253" s="277" t="str">
        <f t="shared" si="76"/>
        <v>General Service 50 to 4,999 kW</v>
      </c>
      <c r="E253" s="277" t="str">
        <f t="shared" si="76"/>
        <v>Sentinel Lighting</v>
      </c>
      <c r="F253" s="277" t="str">
        <f t="shared" si="76"/>
        <v>Street Lights</v>
      </c>
      <c r="G253" s="277" t="str">
        <f t="shared" si="76"/>
        <v xml:space="preserve">Unmetered Scattered Load </v>
      </c>
      <c r="H253"/>
      <c r="I253"/>
      <c r="J253"/>
    </row>
    <row r="254" spans="1:10" s="299" customFormat="1" x14ac:dyDescent="0.3">
      <c r="B254" s="300" t="s">
        <v>234</v>
      </c>
      <c r="C254" s="301"/>
      <c r="D254" s="301"/>
      <c r="E254" s="301"/>
      <c r="F254" s="301"/>
      <c r="G254" s="301"/>
      <c r="H254"/>
      <c r="I254"/>
      <c r="J254"/>
    </row>
    <row r="255" spans="1:10" s="299" customFormat="1" x14ac:dyDescent="0.3">
      <c r="B255" s="315">
        <f>'Rate Class Energy Model'!H78</f>
        <v>0.92649999999999999</v>
      </c>
      <c r="C255" s="315">
        <f>'Rate Class Energy Model'!I78</f>
        <v>0.92649999999999999</v>
      </c>
      <c r="D255" s="315">
        <f>'Rate Class Energy Model'!J78</f>
        <v>0.85299999999999998</v>
      </c>
      <c r="E255" s="315">
        <f>'Rate Class Energy Model'!K78</f>
        <v>0</v>
      </c>
      <c r="F255" s="315">
        <f>'Rate Class Energy Model'!L78</f>
        <v>0</v>
      </c>
      <c r="G255" s="315">
        <f>'Rate Class Energy Model'!M78</f>
        <v>0</v>
      </c>
      <c r="H255"/>
      <c r="I255"/>
      <c r="J255"/>
    </row>
    <row r="257" spans="1:5" x14ac:dyDescent="0.3">
      <c r="B257" s="258"/>
      <c r="C257" s="258"/>
      <c r="D257" s="258"/>
      <c r="E257" s="258"/>
    </row>
    <row r="258" spans="1:5" x14ac:dyDescent="0.3">
      <c r="A258" s="416" t="s">
        <v>246</v>
      </c>
      <c r="B258" s="417"/>
      <c r="C258" s="417"/>
      <c r="D258" s="417"/>
      <c r="E258" s="417"/>
    </row>
    <row r="259" spans="1:5" x14ac:dyDescent="0.3">
      <c r="A259" s="277"/>
      <c r="B259" s="277">
        <v>2017</v>
      </c>
      <c r="C259" s="277">
        <v>2018</v>
      </c>
      <c r="D259" s="246"/>
    </row>
    <row r="260" spans="1:5" x14ac:dyDescent="0.3">
      <c r="A260" s="259" t="s">
        <v>186</v>
      </c>
      <c r="B260" s="247" t="e">
        <f>'CDM Activity'!#REF!</f>
        <v>#REF!</v>
      </c>
      <c r="C260" s="247" t="e">
        <f>'CDM Activity'!#REF!</f>
        <v>#REF!</v>
      </c>
      <c r="D260" s="246"/>
    </row>
    <row r="261" spans="1:5" x14ac:dyDescent="0.3">
      <c r="A261" s="259" t="s">
        <v>187</v>
      </c>
      <c r="B261" s="247"/>
      <c r="C261" s="247">
        <f>'CDM Activity'!S5</f>
        <v>4645200</v>
      </c>
      <c r="D261" s="246"/>
    </row>
    <row r="262" spans="1:5" x14ac:dyDescent="0.3">
      <c r="A262" s="260" t="s">
        <v>208</v>
      </c>
      <c r="B262" s="247" t="e">
        <f>SUM(B260:B261)</f>
        <v>#REF!</v>
      </c>
      <c r="C262" s="247" t="e">
        <f>SUM(C260:C261)</f>
        <v>#REF!</v>
      </c>
      <c r="D262" s="246"/>
    </row>
    <row r="264" spans="1:5" x14ac:dyDescent="0.3">
      <c r="A264" s="416" t="s">
        <v>247</v>
      </c>
      <c r="B264" s="417"/>
      <c r="C264" s="417"/>
      <c r="D264" s="417"/>
      <c r="E264" s="417"/>
    </row>
    <row r="265" spans="1:5" s="246" customFormat="1" x14ac:dyDescent="0.3">
      <c r="A265" s="277"/>
      <c r="B265" s="277">
        <v>2017</v>
      </c>
      <c r="C265" s="277">
        <v>2018</v>
      </c>
    </row>
    <row r="266" spans="1:5" s="246" customFormat="1" x14ac:dyDescent="0.3">
      <c r="A266" s="259" t="s">
        <v>186</v>
      </c>
      <c r="B266" s="247" t="e">
        <f>'CDM Activity'!#REF!</f>
        <v>#REF!</v>
      </c>
      <c r="C266" s="247" t="e">
        <f>'CDM Activity'!#REF!</f>
        <v>#REF!</v>
      </c>
    </row>
    <row r="267" spans="1:5" s="246" customFormat="1" x14ac:dyDescent="0.3">
      <c r="A267" s="259" t="s">
        <v>187</v>
      </c>
      <c r="B267" s="247"/>
      <c r="C267" s="247">
        <f>'CDM Activity'!S10</f>
        <v>1411975.3671820988</v>
      </c>
    </row>
    <row r="268" spans="1:5" s="246" customFormat="1" x14ac:dyDescent="0.3">
      <c r="A268" s="260" t="s">
        <v>208</v>
      </c>
      <c r="B268" s="247" t="e">
        <f>SUM(B266:B267)</f>
        <v>#REF!</v>
      </c>
      <c r="C268" s="247" t="e">
        <f>SUM(C266:C267)</f>
        <v>#REF!</v>
      </c>
    </row>
    <row r="269" spans="1:5" s="246" customFormat="1" x14ac:dyDescent="0.3"/>
    <row r="271" spans="1:5" x14ac:dyDescent="0.3">
      <c r="A271" s="416" t="s">
        <v>248</v>
      </c>
      <c r="B271" s="417"/>
      <c r="C271" s="417"/>
      <c r="D271" s="417"/>
      <c r="E271" s="417"/>
    </row>
    <row r="272" spans="1:5" x14ac:dyDescent="0.3">
      <c r="A272" s="277"/>
      <c r="B272" s="277">
        <v>2017</v>
      </c>
      <c r="C272" s="277">
        <v>2018</v>
      </c>
      <c r="D272" s="246"/>
    </row>
    <row r="273" spans="1:5" x14ac:dyDescent="0.3">
      <c r="A273" s="259" t="s">
        <v>186</v>
      </c>
      <c r="B273" s="247" t="e">
        <f>'CDM Activity'!#REF!</f>
        <v>#REF!</v>
      </c>
      <c r="C273" s="247" t="e">
        <f>'CDM Activity'!#REF!</f>
        <v>#REF!</v>
      </c>
      <c r="D273" s="246"/>
    </row>
    <row r="274" spans="1:5" x14ac:dyDescent="0.3">
      <c r="A274" s="259" t="s">
        <v>187</v>
      </c>
      <c r="B274" s="247"/>
      <c r="C274" s="247">
        <f>'CDM Activity'!S15</f>
        <v>952640.50015559536</v>
      </c>
      <c r="D274" s="246"/>
    </row>
    <row r="275" spans="1:5" x14ac:dyDescent="0.3">
      <c r="A275" s="260" t="s">
        <v>208</v>
      </c>
      <c r="B275" s="247" t="e">
        <f>SUM(B273:B274)</f>
        <v>#REF!</v>
      </c>
      <c r="C275" s="247" t="e">
        <f>SUM(C273:C274)</f>
        <v>#REF!</v>
      </c>
      <c r="D275" s="246"/>
    </row>
    <row r="276" spans="1:5" x14ac:dyDescent="0.3">
      <c r="A276" s="246"/>
      <c r="B276" s="246"/>
      <c r="C276" s="246"/>
      <c r="D276" s="246"/>
    </row>
    <row r="278" spans="1:5" x14ac:dyDescent="0.3">
      <c r="A278" s="416" t="s">
        <v>249</v>
      </c>
      <c r="B278" s="417"/>
      <c r="C278" s="417"/>
      <c r="D278" s="417"/>
      <c r="E278" s="417"/>
    </row>
    <row r="279" spans="1:5" x14ac:dyDescent="0.3">
      <c r="A279" s="277"/>
      <c r="B279" s="277">
        <v>2017</v>
      </c>
      <c r="C279" s="277">
        <v>2018</v>
      </c>
      <c r="D279" s="246"/>
    </row>
    <row r="280" spans="1:5" x14ac:dyDescent="0.3">
      <c r="A280" s="259" t="s">
        <v>186</v>
      </c>
      <c r="B280" s="247" t="e">
        <f>'CDM Activity'!#REF!</f>
        <v>#REF!</v>
      </c>
      <c r="C280" s="247" t="e">
        <f>'CDM Activity'!#REF!</f>
        <v>#REF!</v>
      </c>
      <c r="D280" s="246"/>
    </row>
    <row r="281" spans="1:5" x14ac:dyDescent="0.3">
      <c r="A281" s="259" t="s">
        <v>187</v>
      </c>
      <c r="B281" s="247"/>
      <c r="C281" s="247">
        <f>'CDM Activity'!S20</f>
        <v>2280584.1326623056</v>
      </c>
      <c r="D281" s="246"/>
    </row>
    <row r="282" spans="1:5" x14ac:dyDescent="0.3">
      <c r="A282" s="260" t="s">
        <v>208</v>
      </c>
      <c r="B282" s="247" t="e">
        <f>SUM(B280:B281)</f>
        <v>#REF!</v>
      </c>
      <c r="C282" s="247" t="e">
        <f>SUM(C280:C281)</f>
        <v>#REF!</v>
      </c>
      <c r="D282" s="246"/>
    </row>
    <row r="283" spans="1:5" x14ac:dyDescent="0.3">
      <c r="A283" s="246"/>
      <c r="B283" s="246"/>
      <c r="C283" s="246"/>
      <c r="D283" s="246"/>
    </row>
    <row r="285" spans="1:5" x14ac:dyDescent="0.3">
      <c r="A285" s="416" t="s">
        <v>250</v>
      </c>
      <c r="B285" s="417"/>
      <c r="C285" s="417"/>
      <c r="D285" s="417"/>
      <c r="E285" s="417"/>
    </row>
    <row r="286" spans="1:5" ht="44.4" customHeight="1" x14ac:dyDescent="0.3">
      <c r="A286" s="277" t="s">
        <v>142</v>
      </c>
      <c r="B286" s="277" t="str">
        <f>B253</f>
        <v xml:space="preserve">Residential </v>
      </c>
      <c r="C286" s="277" t="str">
        <f t="shared" ref="C286:D286" si="77">C253</f>
        <v>General Service &lt; 50 kW</v>
      </c>
      <c r="D286" s="277" t="str">
        <f t="shared" si="77"/>
        <v>General Service 50 to 4,999 kW</v>
      </c>
      <c r="E286" s="277" t="s">
        <v>12</v>
      </c>
    </row>
    <row r="287" spans="1:5" x14ac:dyDescent="0.3">
      <c r="A287" s="259" t="str">
        <f>A186</f>
        <v>2017 Bridge</v>
      </c>
      <c r="B287" s="247" t="e">
        <f>B266*0.5</f>
        <v>#REF!</v>
      </c>
      <c r="C287" s="247" t="e">
        <f>B273*0.5</f>
        <v>#REF!</v>
      </c>
      <c r="D287" s="247" t="e">
        <f>B280*0.5</f>
        <v>#REF!</v>
      </c>
      <c r="E287" s="247" t="e">
        <f>SUM(B287:D287)</f>
        <v>#REF!</v>
      </c>
    </row>
    <row r="288" spans="1:5" x14ac:dyDescent="0.3">
      <c r="A288" s="259" t="str">
        <f>A187</f>
        <v>2018 Test</v>
      </c>
      <c r="B288" s="247" t="e">
        <f>C266+C267*0.5</f>
        <v>#REF!</v>
      </c>
      <c r="C288" s="247" t="e">
        <f>C273+C274*0.5</f>
        <v>#REF!</v>
      </c>
      <c r="D288" s="247" t="e">
        <f>C280+C281*0.5</f>
        <v>#REF!</v>
      </c>
      <c r="E288" s="247" t="e">
        <f>SUM(B288:D288)</f>
        <v>#REF!</v>
      </c>
    </row>
    <row r="290" spans="1:8" ht="33" customHeight="1" x14ac:dyDescent="0.3">
      <c r="A290" s="418" t="s">
        <v>251</v>
      </c>
      <c r="B290" s="419"/>
      <c r="C290" s="419"/>
      <c r="D290" s="419"/>
      <c r="E290" s="419"/>
    </row>
    <row r="291" spans="1:8" ht="31.2" x14ac:dyDescent="0.3">
      <c r="A291" s="277" t="s">
        <v>142</v>
      </c>
      <c r="B291" s="277" t="str">
        <f>B286</f>
        <v xml:space="preserve">Residential </v>
      </c>
      <c r="C291" s="277" t="str">
        <f t="shared" ref="C291:D291" si="78">C286</f>
        <v>General Service &lt; 50 kW</v>
      </c>
      <c r="D291" s="277" t="str">
        <f t="shared" si="78"/>
        <v>General Service 50 to 4,999 kW</v>
      </c>
      <c r="E291" s="277" t="s">
        <v>12</v>
      </c>
    </row>
    <row r="292" spans="1:8" x14ac:dyDescent="0.3">
      <c r="A292" s="259" t="s">
        <v>209</v>
      </c>
      <c r="B292" s="247" t="e">
        <f>C268</f>
        <v>#REF!</v>
      </c>
      <c r="C292" s="247" t="e">
        <f>C275</f>
        <v>#REF!</v>
      </c>
      <c r="D292" s="247" t="e">
        <f>C282</f>
        <v>#REF!</v>
      </c>
      <c r="E292" s="247" t="e">
        <f>SUM(B292:D292)</f>
        <v>#REF!</v>
      </c>
    </row>
    <row r="293" spans="1:8" x14ac:dyDescent="0.3">
      <c r="A293" s="437" t="s">
        <v>210</v>
      </c>
      <c r="B293" s="438"/>
      <c r="C293" s="439"/>
      <c r="D293" s="247" t="e">
        <f>D292*B349</f>
        <v>#REF!</v>
      </c>
      <c r="E293" s="247" t="e">
        <f>SUM(B293:D293)</f>
        <v>#REF!</v>
      </c>
    </row>
    <row r="294" spans="1:8" x14ac:dyDescent="0.3">
      <c r="A294" s="437" t="s">
        <v>211</v>
      </c>
      <c r="B294" s="438"/>
      <c r="C294" s="439"/>
      <c r="D294" s="247" t="e">
        <f>D293/12</f>
        <v>#REF!</v>
      </c>
      <c r="E294" s="247" t="e">
        <f>SUM(B294:D294)</f>
        <v>#REF!</v>
      </c>
    </row>
    <row r="295" spans="1:8" x14ac:dyDescent="0.3">
      <c r="B295" s="258"/>
      <c r="C295" s="258"/>
      <c r="D295" s="258"/>
      <c r="E295" s="258"/>
    </row>
    <row r="297" spans="1:8" x14ac:dyDescent="0.3">
      <c r="A297" s="415" t="s">
        <v>253</v>
      </c>
      <c r="B297" s="415"/>
      <c r="C297" s="415"/>
      <c r="D297" s="415"/>
      <c r="E297" s="415"/>
      <c r="F297" s="415"/>
      <c r="G297" s="415"/>
      <c r="H297" s="415"/>
    </row>
    <row r="298" spans="1:8" ht="46.8" x14ac:dyDescent="0.3">
      <c r="A298" s="276" t="str">
        <f>A247</f>
        <v>Year</v>
      </c>
      <c r="B298" s="277" t="str">
        <f t="shared" ref="B298:G298" si="79">B247</f>
        <v xml:space="preserve">Residential </v>
      </c>
      <c r="C298" s="277" t="str">
        <f t="shared" si="79"/>
        <v>General Service &lt; 50 kW</v>
      </c>
      <c r="D298" s="277" t="str">
        <f t="shared" si="79"/>
        <v>General Service 50 to 4,999 kW</v>
      </c>
      <c r="E298" s="277" t="str">
        <f t="shared" si="79"/>
        <v>Sentinel Lighting</v>
      </c>
      <c r="F298" s="277" t="str">
        <f t="shared" si="79"/>
        <v>Street Lights</v>
      </c>
      <c r="G298" s="277" t="str">
        <f t="shared" si="79"/>
        <v xml:space="preserve">Unmetered Scattered Load </v>
      </c>
      <c r="H298" s="277" t="s">
        <v>12</v>
      </c>
    </row>
    <row r="299" spans="1:8" x14ac:dyDescent="0.3">
      <c r="A299" s="433" t="s">
        <v>158</v>
      </c>
      <c r="B299" s="434"/>
      <c r="C299" s="434"/>
      <c r="D299" s="434"/>
      <c r="E299" s="434"/>
      <c r="F299" s="434"/>
      <c r="G299" s="434"/>
      <c r="H299" s="435"/>
    </row>
    <row r="300" spans="1:8" x14ac:dyDescent="0.3">
      <c r="A300" s="227" t="str">
        <f>A287</f>
        <v>2017 Bridge</v>
      </c>
      <c r="B300" s="261" t="e">
        <f>B249</f>
        <v>#REF!</v>
      </c>
      <c r="C300" s="261" t="e">
        <f t="shared" ref="C300:G301" si="80">C249</f>
        <v>#REF!</v>
      </c>
      <c r="D300" s="261" t="e">
        <f t="shared" si="80"/>
        <v>#REF!</v>
      </c>
      <c r="E300" s="261" t="e">
        <f t="shared" si="80"/>
        <v>#REF!</v>
      </c>
      <c r="F300" s="261" t="e">
        <f t="shared" si="80"/>
        <v>#REF!</v>
      </c>
      <c r="G300" s="261" t="e">
        <f t="shared" si="80"/>
        <v>#REF!</v>
      </c>
      <c r="H300" s="262" t="e">
        <f>SUM(B300:G300)</f>
        <v>#REF!</v>
      </c>
    </row>
    <row r="301" spans="1:8" x14ac:dyDescent="0.3">
      <c r="A301" s="227" t="str">
        <f>A288</f>
        <v>2018 Test</v>
      </c>
      <c r="B301" s="261">
        <f>B250</f>
        <v>283.64346161472179</v>
      </c>
      <c r="C301" s="261">
        <f t="shared" si="80"/>
        <v>91.595061933817988</v>
      </c>
      <c r="D301" s="261">
        <f t="shared" si="80"/>
        <v>242.57106295680614</v>
      </c>
      <c r="E301" s="261">
        <f t="shared" si="80"/>
        <v>0.20980013099560146</v>
      </c>
      <c r="F301" s="261">
        <f t="shared" si="80"/>
        <v>2.3982212999999999</v>
      </c>
      <c r="G301" s="261">
        <f t="shared" si="80"/>
        <v>0.94473143889360511</v>
      </c>
      <c r="H301" s="262">
        <f>SUM(B301:G301)</f>
        <v>621.36233937523525</v>
      </c>
    </row>
    <row r="302" spans="1:8" x14ac:dyDescent="0.3">
      <c r="A302" s="433" t="s">
        <v>212</v>
      </c>
      <c r="B302" s="434"/>
      <c r="C302" s="434"/>
      <c r="D302" s="434"/>
      <c r="E302" s="434"/>
      <c r="F302" s="434"/>
      <c r="G302" s="434"/>
      <c r="H302" s="435"/>
    </row>
    <row r="303" spans="1:8" x14ac:dyDescent="0.3">
      <c r="A303" s="234" t="str">
        <f>A300</f>
        <v>2017 Bridge</v>
      </c>
      <c r="B303" s="262" t="e">
        <f>'Rate Class Energy Model'!#REF!/1000000</f>
        <v>#REF!</v>
      </c>
      <c r="C303" s="262" t="e">
        <f>'Rate Class Energy Model'!#REF!/1000000</f>
        <v>#REF!</v>
      </c>
      <c r="D303" s="262" t="e">
        <f>'Rate Class Energy Model'!#REF!/1000000</f>
        <v>#REF!</v>
      </c>
      <c r="E303" s="262" t="e">
        <f>'Rate Class Energy Model'!#REF!/1000000</f>
        <v>#REF!</v>
      </c>
      <c r="F303" s="262" t="e">
        <f>'Rate Class Energy Model'!#REF!/1000000</f>
        <v>#REF!</v>
      </c>
      <c r="G303" s="262" t="e">
        <f>'Rate Class Energy Model'!#REF!/1000000</f>
        <v>#REF!</v>
      </c>
      <c r="H303" s="262" t="e">
        <f>SUM(B303:G303)</f>
        <v>#REF!</v>
      </c>
    </row>
    <row r="304" spans="1:8" x14ac:dyDescent="0.3">
      <c r="A304" s="234" t="str">
        <f>A301</f>
        <v>2018 Test</v>
      </c>
      <c r="B304" s="262">
        <f>'Rate Class Energy Model'!H82/1000000</f>
        <v>4.3112555240082848</v>
      </c>
      <c r="C304" s="262">
        <f>'Rate Class Energy Model'!I82/1000000</f>
        <v>1.3922045461088042</v>
      </c>
      <c r="D304" s="262">
        <f>'Rate Class Energy Model'!J82/1000000</f>
        <v>3.394482591451673</v>
      </c>
      <c r="E304" s="262">
        <f>'Rate Class Energy Model'!K82/1000000</f>
        <v>0</v>
      </c>
      <c r="F304" s="262">
        <f>'Rate Class Energy Model'!L82/1000000</f>
        <v>0</v>
      </c>
      <c r="G304" s="262">
        <f>'Rate Class Energy Model'!M82/1000000</f>
        <v>0</v>
      </c>
      <c r="H304" s="262">
        <f t="shared" ref="H304:H310" si="81">SUM(B304:G304)</f>
        <v>9.0979426615687622</v>
      </c>
    </row>
    <row r="305" spans="1:9" x14ac:dyDescent="0.3">
      <c r="A305" s="433" t="s">
        <v>213</v>
      </c>
      <c r="B305" s="434"/>
      <c r="C305" s="434"/>
      <c r="D305" s="434"/>
      <c r="E305" s="434"/>
      <c r="F305" s="434"/>
      <c r="G305" s="434"/>
      <c r="H305" s="435"/>
    </row>
    <row r="306" spans="1:9" ht="15" customHeight="1" x14ac:dyDescent="0.3">
      <c r="A306" s="234" t="str">
        <f>A303</f>
        <v>2017 Bridge</v>
      </c>
      <c r="B306" s="262" t="e">
        <f>-B287/1000000</f>
        <v>#REF!</v>
      </c>
      <c r="C306" s="262" t="e">
        <f t="shared" ref="C306:D307" si="82">-C287/1000000</f>
        <v>#REF!</v>
      </c>
      <c r="D306" s="262" t="e">
        <f t="shared" si="82"/>
        <v>#REF!</v>
      </c>
      <c r="E306" s="262"/>
      <c r="F306" s="262"/>
      <c r="G306" s="262"/>
      <c r="H306" s="262" t="e">
        <f t="shared" si="81"/>
        <v>#REF!</v>
      </c>
    </row>
    <row r="307" spans="1:9" x14ac:dyDescent="0.3">
      <c r="A307" s="234" t="str">
        <f>A304</f>
        <v>2018 Test</v>
      </c>
      <c r="B307" s="262" t="e">
        <f>-B288/1000000</f>
        <v>#REF!</v>
      </c>
      <c r="C307" s="262" t="e">
        <f t="shared" si="82"/>
        <v>#REF!</v>
      </c>
      <c r="D307" s="262" t="e">
        <f t="shared" si="82"/>
        <v>#REF!</v>
      </c>
      <c r="E307" s="262"/>
      <c r="F307" s="262"/>
      <c r="G307" s="262"/>
      <c r="H307" s="262" t="e">
        <f t="shared" si="81"/>
        <v>#REF!</v>
      </c>
    </row>
    <row r="308" spans="1:9" x14ac:dyDescent="0.3">
      <c r="A308" s="433" t="s">
        <v>159</v>
      </c>
      <c r="B308" s="434"/>
      <c r="C308" s="434"/>
      <c r="D308" s="434"/>
      <c r="E308" s="434"/>
      <c r="F308" s="434"/>
      <c r="G308" s="434"/>
      <c r="H308" s="435"/>
    </row>
    <row r="309" spans="1:9" x14ac:dyDescent="0.3">
      <c r="A309" s="227" t="str">
        <f>A306</f>
        <v>2017 Bridge</v>
      </c>
      <c r="B309" s="263" t="e">
        <f>B300+B303+B306</f>
        <v>#REF!</v>
      </c>
      <c r="C309" s="263" t="e">
        <f t="shared" ref="C309:G309" si="83">C300+C303+C306</f>
        <v>#REF!</v>
      </c>
      <c r="D309" s="263" t="e">
        <f t="shared" si="83"/>
        <v>#REF!</v>
      </c>
      <c r="E309" s="263" t="e">
        <f t="shared" si="83"/>
        <v>#REF!</v>
      </c>
      <c r="F309" s="263" t="e">
        <f t="shared" si="83"/>
        <v>#REF!</v>
      </c>
      <c r="G309" s="263" t="e">
        <f t="shared" si="83"/>
        <v>#REF!</v>
      </c>
      <c r="H309" s="262" t="e">
        <f t="shared" si="81"/>
        <v>#REF!</v>
      </c>
    </row>
    <row r="310" spans="1:9" x14ac:dyDescent="0.3">
      <c r="A310" s="227" t="str">
        <f>A307</f>
        <v>2018 Test</v>
      </c>
      <c r="B310" s="263" t="e">
        <f>B301+B304+B307</f>
        <v>#REF!</v>
      </c>
      <c r="C310" s="263" t="e">
        <f t="shared" ref="C310:G310" si="84">C301+C304+C307</f>
        <v>#REF!</v>
      </c>
      <c r="D310" s="263" t="e">
        <f t="shared" si="84"/>
        <v>#REF!</v>
      </c>
      <c r="E310" s="263">
        <f t="shared" si="84"/>
        <v>0.20980013099560146</v>
      </c>
      <c r="F310" s="263">
        <f t="shared" si="84"/>
        <v>2.3982212999999999</v>
      </c>
      <c r="G310" s="263">
        <f t="shared" si="84"/>
        <v>0.94473143889360511</v>
      </c>
      <c r="H310" s="262" t="e">
        <f t="shared" si="81"/>
        <v>#REF!</v>
      </c>
    </row>
    <row r="312" spans="1:9" x14ac:dyDescent="0.3">
      <c r="A312" s="414" t="s">
        <v>254</v>
      </c>
      <c r="B312" s="414"/>
      <c r="C312" s="414"/>
      <c r="D312" s="414"/>
      <c r="E312" s="414"/>
      <c r="F312" s="414"/>
      <c r="G312" s="414"/>
    </row>
    <row r="313" spans="1:9" ht="46.8" x14ac:dyDescent="0.3">
      <c r="A313" s="276" t="s">
        <v>142</v>
      </c>
      <c r="B313" s="277" t="str">
        <f>D298</f>
        <v>General Service 50 to 4,999 kW</v>
      </c>
      <c r="C313" s="277" t="str">
        <f t="shared" ref="C313:D313" si="85">E298</f>
        <v>Sentinel Lighting</v>
      </c>
      <c r="D313" s="277" t="str">
        <f t="shared" si="85"/>
        <v>Street Lights</v>
      </c>
      <c r="E313" s="277" t="str">
        <f>H298</f>
        <v>Total</v>
      </c>
      <c r="F313" s="277" t="str">
        <f>B313</f>
        <v>General Service 50 to 4,999 kW</v>
      </c>
      <c r="G313" s="277" t="str">
        <f t="shared" ref="G313:I313" si="86">C313</f>
        <v>Sentinel Lighting</v>
      </c>
      <c r="H313" s="277" t="str">
        <f t="shared" si="86"/>
        <v>Street Lights</v>
      </c>
      <c r="I313" s="277" t="str">
        <f t="shared" si="86"/>
        <v>Total</v>
      </c>
    </row>
    <row r="314" spans="1:9" x14ac:dyDescent="0.3">
      <c r="A314" s="415" t="s">
        <v>160</v>
      </c>
      <c r="B314" s="415"/>
      <c r="C314" s="415"/>
      <c r="D314" s="415"/>
      <c r="E314" s="415"/>
      <c r="F314" s="415"/>
      <c r="G314" s="415"/>
      <c r="H314" s="415"/>
      <c r="I314" s="415"/>
    </row>
    <row r="315" spans="1:9" x14ac:dyDescent="0.3">
      <c r="A315" s="318"/>
      <c r="B315" s="428" t="s">
        <v>214</v>
      </c>
      <c r="C315" s="429"/>
      <c r="D315" s="429"/>
      <c r="E315" s="430"/>
      <c r="F315" s="431" t="s">
        <v>67</v>
      </c>
      <c r="G315" s="431"/>
      <c r="H315" s="431"/>
      <c r="I315" s="431"/>
    </row>
    <row r="316" spans="1:9" x14ac:dyDescent="0.3">
      <c r="A316" s="294">
        <v>2003</v>
      </c>
      <c r="B316" s="264">
        <f>'Rate Class Load Model'!B4</f>
        <v>659827</v>
      </c>
      <c r="C316" s="264">
        <f>'Rate Class Load Model'!C4</f>
        <v>768</v>
      </c>
      <c r="D316" s="264">
        <f>'Rate Class Load Model'!D4</f>
        <v>21295</v>
      </c>
      <c r="E316" s="264">
        <f>SUM(B316:D316)</f>
        <v>681890</v>
      </c>
      <c r="F316" s="264">
        <f>B316*F172</f>
        <v>646589.16473711445</v>
      </c>
      <c r="G316" s="264">
        <f>C316*F172</f>
        <v>752.59193473153402</v>
      </c>
      <c r="H316" s="264">
        <f>D316*F172</f>
        <v>20867.767252744816</v>
      </c>
      <c r="I316" s="264">
        <f>SUM(F316:H316)</f>
        <v>668209.52392459079</v>
      </c>
    </row>
    <row r="317" spans="1:9" x14ac:dyDescent="0.3">
      <c r="A317" s="294">
        <v>2004</v>
      </c>
      <c r="B317" s="264">
        <f>'Rate Class Load Model'!B5</f>
        <v>673069</v>
      </c>
      <c r="C317" s="264">
        <f>'Rate Class Load Model'!C5</f>
        <v>873</v>
      </c>
      <c r="D317" s="264">
        <f>'Rate Class Load Model'!D5</f>
        <v>21340</v>
      </c>
      <c r="E317" s="264">
        <f t="shared" ref="E317:E329" si="87">SUM(B317:D317)</f>
        <v>695282</v>
      </c>
      <c r="F317" s="264">
        <f t="shared" ref="F317:F329" si="88">B317*F173</f>
        <v>664229.33214312117</v>
      </c>
      <c r="G317" s="264">
        <f t="shared" ref="G317:G329" si="89">C317*F173</f>
        <v>861.53456326311982</v>
      </c>
      <c r="H317" s="264">
        <f t="shared" ref="H317:H329" si="90">D317*F173</f>
        <v>21059.733768654038</v>
      </c>
      <c r="I317" s="264">
        <f t="shared" ref="I317:I329" si="91">SUM(F317:H317)</f>
        <v>686150.60047503829</v>
      </c>
    </row>
    <row r="318" spans="1:9" x14ac:dyDescent="0.3">
      <c r="A318" s="294">
        <v>2005</v>
      </c>
      <c r="B318" s="264">
        <f>'Rate Class Load Model'!B6</f>
        <v>682195</v>
      </c>
      <c r="C318" s="264">
        <f>'Rate Class Load Model'!C6</f>
        <v>784</v>
      </c>
      <c r="D318" s="264">
        <f>'Rate Class Load Model'!D6</f>
        <v>21295</v>
      </c>
      <c r="E318" s="264">
        <f t="shared" si="87"/>
        <v>704274</v>
      </c>
      <c r="F318" s="264">
        <f t="shared" si="88"/>
        <v>676303.91733113339</v>
      </c>
      <c r="G318" s="264">
        <f t="shared" si="89"/>
        <v>777.22978208226175</v>
      </c>
      <c r="H318" s="264">
        <f t="shared" si="90"/>
        <v>21111.107410002252</v>
      </c>
      <c r="I318" s="264">
        <f t="shared" si="91"/>
        <v>698192.25452321791</v>
      </c>
    </row>
    <row r="319" spans="1:9" x14ac:dyDescent="0.3">
      <c r="A319" s="294">
        <v>2006</v>
      </c>
      <c r="B319" s="264">
        <f>'Rate Class Load Model'!B7</f>
        <v>657827</v>
      </c>
      <c r="C319" s="264">
        <f>'Rate Class Load Model'!C7</f>
        <v>766</v>
      </c>
      <c r="D319" s="264">
        <f>'Rate Class Load Model'!D7</f>
        <v>23029</v>
      </c>
      <c r="E319" s="264">
        <f t="shared" si="87"/>
        <v>681622</v>
      </c>
      <c r="F319" s="264">
        <f t="shared" si="88"/>
        <v>668684.52046893944</v>
      </c>
      <c r="G319" s="264">
        <f t="shared" si="89"/>
        <v>778.64292994846301</v>
      </c>
      <c r="H319" s="264">
        <f t="shared" si="90"/>
        <v>23409.096649847459</v>
      </c>
      <c r="I319" s="264">
        <f t="shared" si="91"/>
        <v>692872.26004873542</v>
      </c>
    </row>
    <row r="320" spans="1:9" x14ac:dyDescent="0.3">
      <c r="A320" s="227">
        <v>2007</v>
      </c>
      <c r="B320" s="264">
        <f>'Rate Class Load Model'!B8</f>
        <v>657184</v>
      </c>
      <c r="C320" s="264">
        <f>'Rate Class Load Model'!C8</f>
        <v>747</v>
      </c>
      <c r="D320" s="264">
        <f>'Rate Class Load Model'!D8</f>
        <v>21406</v>
      </c>
      <c r="E320" s="264">
        <f t="shared" si="87"/>
        <v>679337</v>
      </c>
      <c r="F320" s="264">
        <f t="shared" si="88"/>
        <v>653971.66866551002</v>
      </c>
      <c r="G320" s="264">
        <f t="shared" si="89"/>
        <v>743.34864587868231</v>
      </c>
      <c r="H320" s="264">
        <f t="shared" si="90"/>
        <v>21301.366952716297</v>
      </c>
      <c r="I320" s="264">
        <f t="shared" si="91"/>
        <v>676016.384264105</v>
      </c>
    </row>
    <row r="321" spans="1:10" x14ac:dyDescent="0.3">
      <c r="A321" s="227">
        <v>2008</v>
      </c>
      <c r="B321" s="264">
        <f>'Rate Class Load Model'!B9</f>
        <v>650699</v>
      </c>
      <c r="C321" s="264">
        <f>'Rate Class Load Model'!C9</f>
        <v>744</v>
      </c>
      <c r="D321" s="264">
        <f>'Rate Class Load Model'!D9</f>
        <v>21317</v>
      </c>
      <c r="E321" s="264">
        <f t="shared" si="87"/>
        <v>672760</v>
      </c>
      <c r="F321" s="264">
        <f t="shared" si="88"/>
        <v>641857.32011803624</v>
      </c>
      <c r="G321" s="264">
        <f t="shared" si="89"/>
        <v>733.89054872962606</v>
      </c>
      <c r="H321" s="264">
        <f t="shared" si="90"/>
        <v>21027.345197942792</v>
      </c>
      <c r="I321" s="264">
        <f t="shared" si="91"/>
        <v>663618.55586470861</v>
      </c>
    </row>
    <row r="322" spans="1:10" x14ac:dyDescent="0.3">
      <c r="A322" s="227">
        <v>2009</v>
      </c>
      <c r="B322" s="264">
        <f>'Rate Class Load Model'!B10</f>
        <v>637622</v>
      </c>
      <c r="C322" s="264">
        <f>'Rate Class Load Model'!C10</f>
        <v>730</v>
      </c>
      <c r="D322" s="264">
        <f>'Rate Class Load Model'!D10</f>
        <v>21346</v>
      </c>
      <c r="E322" s="264">
        <f t="shared" si="87"/>
        <v>659698</v>
      </c>
      <c r="F322" s="264">
        <f t="shared" si="88"/>
        <v>629404.44901148474</v>
      </c>
      <c r="G322" s="264">
        <f t="shared" si="89"/>
        <v>720.59189892817983</v>
      </c>
      <c r="H322" s="264">
        <f t="shared" si="90"/>
        <v>21070.89681441223</v>
      </c>
      <c r="I322" s="264">
        <f t="shared" si="91"/>
        <v>651195.93772482511</v>
      </c>
    </row>
    <row r="323" spans="1:10" x14ac:dyDescent="0.3">
      <c r="A323" s="227">
        <v>2010</v>
      </c>
      <c r="B323" s="264">
        <f>'Rate Class Load Model'!B11</f>
        <v>635104</v>
      </c>
      <c r="C323" s="264">
        <f>'Rate Class Load Model'!C11</f>
        <v>714</v>
      </c>
      <c r="D323" s="264">
        <f>'Rate Class Load Model'!D11</f>
        <v>23264</v>
      </c>
      <c r="E323" s="264">
        <f t="shared" si="87"/>
        <v>659082</v>
      </c>
      <c r="F323" s="264">
        <f t="shared" si="88"/>
        <v>642201.23177412595</v>
      </c>
      <c r="G323" s="264">
        <f t="shared" si="89"/>
        <v>721.97888768882876</v>
      </c>
      <c r="H323" s="264">
        <f t="shared" si="90"/>
        <v>23523.973169737972</v>
      </c>
      <c r="I323" s="264">
        <f t="shared" si="91"/>
        <v>666447.18383155274</v>
      </c>
    </row>
    <row r="324" spans="1:10" x14ac:dyDescent="0.3">
      <c r="A324" s="227">
        <v>2011</v>
      </c>
      <c r="B324" s="264">
        <f>'Rate Class Load Model'!B12</f>
        <v>629024</v>
      </c>
      <c r="C324" s="264">
        <f>'Rate Class Load Model'!C12</f>
        <v>703</v>
      </c>
      <c r="D324" s="264">
        <f>'Rate Class Load Model'!D12</f>
        <v>21619</v>
      </c>
      <c r="E324" s="264">
        <f t="shared" si="87"/>
        <v>651346</v>
      </c>
      <c r="F324" s="264">
        <f t="shared" si="88"/>
        <v>629076.24022121681</v>
      </c>
      <c r="G324" s="264">
        <f t="shared" si="89"/>
        <v>703.05838390191059</v>
      </c>
      <c r="H324" s="264">
        <f t="shared" si="90"/>
        <v>21620.795450320631</v>
      </c>
      <c r="I324" s="264">
        <f t="shared" si="91"/>
        <v>651400.09405543935</v>
      </c>
    </row>
    <row r="325" spans="1:10" x14ac:dyDescent="0.3">
      <c r="A325" s="227">
        <v>2012</v>
      </c>
      <c r="B325" s="264">
        <f>'Rate Class Load Model'!B13</f>
        <v>627836</v>
      </c>
      <c r="C325" s="264">
        <f>'Rate Class Load Model'!C13</f>
        <v>687</v>
      </c>
      <c r="D325" s="264">
        <f>'Rate Class Load Model'!D13</f>
        <v>21596</v>
      </c>
      <c r="E325" s="264">
        <f t="shared" si="87"/>
        <v>650119</v>
      </c>
      <c r="F325" s="264">
        <f t="shared" si="88"/>
        <v>656508.03694378329</v>
      </c>
      <c r="G325" s="264">
        <f t="shared" si="89"/>
        <v>718.37394061566897</v>
      </c>
      <c r="H325" s="264">
        <f t="shared" si="90"/>
        <v>22582.246901799106</v>
      </c>
      <c r="I325" s="264">
        <f t="shared" si="91"/>
        <v>679808.65778619808</v>
      </c>
    </row>
    <row r="326" spans="1:10" x14ac:dyDescent="0.3">
      <c r="A326" s="227">
        <v>2013</v>
      </c>
      <c r="B326" s="264">
        <f>'Rate Class Load Model'!B14</f>
        <v>656137</v>
      </c>
      <c r="C326" s="264">
        <f>'Rate Class Load Model'!C14</f>
        <v>660</v>
      </c>
      <c r="D326" s="264">
        <f>'Rate Class Load Model'!D14</f>
        <v>21588</v>
      </c>
      <c r="E326" s="264">
        <f t="shared" si="87"/>
        <v>678385</v>
      </c>
      <c r="F326" s="264">
        <f t="shared" si="88"/>
        <v>665097.80736017588</v>
      </c>
      <c r="G326" s="264">
        <f t="shared" si="89"/>
        <v>669.01356402354406</v>
      </c>
      <c r="H326" s="264">
        <f t="shared" si="90"/>
        <v>21882.825485061014</v>
      </c>
      <c r="I326" s="264">
        <f t="shared" si="91"/>
        <v>687649.64640926046</v>
      </c>
    </row>
    <row r="327" spans="1:10" x14ac:dyDescent="0.3">
      <c r="A327" s="227">
        <v>2014</v>
      </c>
      <c r="B327" s="264">
        <f>'Rate Class Load Model'!B15</f>
        <v>634289</v>
      </c>
      <c r="C327" s="264">
        <f>'Rate Class Load Model'!C15</f>
        <v>676</v>
      </c>
      <c r="D327" s="264">
        <f>'Rate Class Load Model'!D15</f>
        <v>21876</v>
      </c>
      <c r="E327" s="264">
        <f t="shared" si="87"/>
        <v>656841</v>
      </c>
      <c r="F327" s="264">
        <f t="shared" si="88"/>
        <v>608494.41360450326</v>
      </c>
      <c r="G327" s="264">
        <f t="shared" si="89"/>
        <v>648.5091552851211</v>
      </c>
      <c r="H327" s="264">
        <f t="shared" si="90"/>
        <v>20986.370238191288</v>
      </c>
      <c r="I327" s="264">
        <f t="shared" si="91"/>
        <v>630129.29299797968</v>
      </c>
    </row>
    <row r="328" spans="1:10" x14ac:dyDescent="0.3">
      <c r="A328" s="227">
        <v>2015</v>
      </c>
      <c r="B328" s="264">
        <f>'Rate Class Load Model'!B16</f>
        <v>711311</v>
      </c>
      <c r="C328" s="264">
        <f>'Rate Class Load Model'!C16</f>
        <v>752</v>
      </c>
      <c r="D328" s="264">
        <f>'Rate Class Load Model'!D16</f>
        <v>21794</v>
      </c>
      <c r="E328" s="264">
        <f t="shared" si="87"/>
        <v>733857</v>
      </c>
      <c r="F328" s="264">
        <f t="shared" si="88"/>
        <v>698762.67770397849</v>
      </c>
      <c r="G328" s="264">
        <f t="shared" si="89"/>
        <v>738.73387819588311</v>
      </c>
      <c r="H328" s="264">
        <f t="shared" si="90"/>
        <v>21409.529443352498</v>
      </c>
      <c r="I328" s="264">
        <f t="shared" si="91"/>
        <v>720910.94102552684</v>
      </c>
    </row>
    <row r="329" spans="1:10" x14ac:dyDescent="0.3">
      <c r="A329" s="227">
        <v>2016</v>
      </c>
      <c r="B329" s="264">
        <f>'Rate Class Load Model'!B17</f>
        <v>622066.30000000005</v>
      </c>
      <c r="C329" s="264">
        <f>'Rate Class Load Model'!C17</f>
        <v>630</v>
      </c>
      <c r="D329" s="264">
        <f>'Rate Class Load Model'!D17</f>
        <v>14262.4</v>
      </c>
      <c r="E329" s="264">
        <f t="shared" si="87"/>
        <v>636958.70000000007</v>
      </c>
      <c r="F329" s="264">
        <f t="shared" si="88"/>
        <v>628532.15048890782</v>
      </c>
      <c r="G329" s="264">
        <f t="shared" si="89"/>
        <v>636.54831455748672</v>
      </c>
      <c r="H329" s="264">
        <f t="shared" si="90"/>
        <v>14410.645526261425</v>
      </c>
      <c r="I329" s="264">
        <f t="shared" si="91"/>
        <v>643579.34432972677</v>
      </c>
    </row>
    <row r="330" spans="1:10" x14ac:dyDescent="0.3">
      <c r="A330" s="265"/>
      <c r="B330" s="266"/>
      <c r="C330" s="266"/>
      <c r="D330" s="266"/>
      <c r="E330" s="266"/>
      <c r="F330" s="266"/>
      <c r="G330" s="266"/>
      <c r="H330" s="266"/>
      <c r="I330" s="266"/>
    </row>
    <row r="331" spans="1:10" s="319" customFormat="1" ht="15" customHeight="1" x14ac:dyDescent="0.25">
      <c r="A331" s="363" t="s">
        <v>258</v>
      </c>
      <c r="B331" s="363"/>
      <c r="C331" s="363"/>
      <c r="D331" s="363"/>
      <c r="E331" s="362"/>
      <c r="F331"/>
      <c r="G331"/>
      <c r="H331"/>
    </row>
    <row r="332" spans="1:10" s="319" customFormat="1" ht="46.8" x14ac:dyDescent="0.25">
      <c r="A332" s="317" t="str">
        <f>A313</f>
        <v>Year</v>
      </c>
      <c r="B332" s="277" t="str">
        <f t="shared" ref="B332:D332" si="92">B313</f>
        <v>General Service 50 to 4,999 kW</v>
      </c>
      <c r="C332" s="277" t="str">
        <f t="shared" si="92"/>
        <v>Sentinel Lighting</v>
      </c>
      <c r="D332" s="277" t="str">
        <f t="shared" si="92"/>
        <v>Street Lights</v>
      </c>
      <c r="E332"/>
      <c r="F332"/>
      <c r="G332"/>
      <c r="H332"/>
      <c r="I332" s="320"/>
      <c r="J332" s="320"/>
    </row>
    <row r="333" spans="1:10" s="319" customFormat="1" ht="13.8" x14ac:dyDescent="0.25">
      <c r="A333" s="323" t="s">
        <v>255</v>
      </c>
      <c r="B333" s="323"/>
      <c r="C333" s="323"/>
      <c r="D333" s="323"/>
      <c r="E333"/>
      <c r="F333"/>
      <c r="G333"/>
      <c r="H333"/>
    </row>
    <row r="334" spans="1:10" s="319" customFormat="1" x14ac:dyDescent="0.25">
      <c r="A334" s="321">
        <f t="shared" ref="A334:A339" si="93">A316</f>
        <v>2003</v>
      </c>
      <c r="B334" s="322">
        <f>'Rate Class Load Model'!B24</f>
        <v>2.5015886788689306E-3</v>
      </c>
      <c r="C334" s="322">
        <f>'Rate Class Load Model'!C24</f>
        <v>2.7769541730244935E-3</v>
      </c>
      <c r="D334" s="322">
        <f>'Rate Class Load Model'!D24</f>
        <v>2.9607060981647515E-3</v>
      </c>
      <c r="E334"/>
      <c r="F334"/>
      <c r="G334"/>
      <c r="H334"/>
    </row>
    <row r="335" spans="1:10" s="319" customFormat="1" x14ac:dyDescent="0.25">
      <c r="A335" s="321">
        <f t="shared" si="93"/>
        <v>2004</v>
      </c>
      <c r="B335" s="322">
        <f>'Rate Class Load Model'!B25</f>
        <v>2.5247651822724346E-3</v>
      </c>
      <c r="C335" s="322">
        <f>'Rate Class Load Model'!C25</f>
        <v>2.9976513247352591E-3</v>
      </c>
      <c r="D335" s="322">
        <f>'Rate Class Load Model'!D25</f>
        <v>2.8935094948195467E-3</v>
      </c>
      <c r="E335"/>
      <c r="F335"/>
      <c r="G335"/>
      <c r="H335"/>
    </row>
    <row r="336" spans="1:10" s="319" customFormat="1" x14ac:dyDescent="0.25">
      <c r="A336" s="321">
        <f t="shared" si="93"/>
        <v>2005</v>
      </c>
      <c r="B336" s="322">
        <f>'Rate Class Load Model'!B26</f>
        <v>2.563951226480057E-3</v>
      </c>
      <c r="C336" s="322">
        <f>'Rate Class Load Model'!C26</f>
        <v>2.7860102485377002E-3</v>
      </c>
      <c r="D336" s="322">
        <f>'Rate Class Load Model'!D26</f>
        <v>2.7587316544992716E-3</v>
      </c>
      <c r="E336"/>
      <c r="F336"/>
      <c r="G336"/>
      <c r="H336"/>
    </row>
    <row r="337" spans="1:10" s="319" customFormat="1" x14ac:dyDescent="0.25">
      <c r="A337" s="321">
        <f t="shared" si="93"/>
        <v>2006</v>
      </c>
      <c r="B337" s="322">
        <f>'Rate Class Load Model'!B27</f>
        <v>2.4708193209704715E-3</v>
      </c>
      <c r="C337" s="322">
        <f>'Rate Class Load Model'!C27</f>
        <v>2.7955286140236269E-3</v>
      </c>
      <c r="D337" s="322">
        <f>'Rate Class Load Model'!D27</f>
        <v>3.0278113193258219E-3</v>
      </c>
      <c r="E337"/>
      <c r="F337"/>
      <c r="G337"/>
      <c r="H337"/>
    </row>
    <row r="338" spans="1:10" s="319" customFormat="1" x14ac:dyDescent="0.25">
      <c r="A338" s="321">
        <f t="shared" si="93"/>
        <v>2007</v>
      </c>
      <c r="B338" s="322">
        <f>'Rate Class Load Model'!B28</f>
        <v>2.5283075485402146E-3</v>
      </c>
      <c r="C338" s="322">
        <f>'Rate Class Load Model'!C28</f>
        <v>2.7763943297627984E-3</v>
      </c>
      <c r="D338" s="322">
        <f>'Rate Class Load Model'!D28</f>
        <v>2.8027393156529181E-3</v>
      </c>
      <c r="E338"/>
      <c r="F338"/>
      <c r="G338"/>
      <c r="H338"/>
    </row>
    <row r="339" spans="1:10" s="319" customFormat="1" x14ac:dyDescent="0.25">
      <c r="A339" s="321">
        <f t="shared" si="93"/>
        <v>2008</v>
      </c>
      <c r="B339" s="322">
        <f>'Rate Class Load Model'!B29</f>
        <v>2.4919162430699338E-3</v>
      </c>
      <c r="C339" s="322">
        <f>'Rate Class Load Model'!C29</f>
        <v>2.7682381875481373E-3</v>
      </c>
      <c r="D339" s="322">
        <f>'Rate Class Load Model'!D29</f>
        <v>2.797431302701174E-3</v>
      </c>
      <c r="E339"/>
      <c r="F339"/>
      <c r="G339"/>
      <c r="H339"/>
    </row>
    <row r="340" spans="1:10" s="319" customFormat="1" x14ac:dyDescent="0.25">
      <c r="A340" s="321">
        <f t="shared" ref="A340:A347" si="94">A322</f>
        <v>2009</v>
      </c>
      <c r="B340" s="322">
        <f>'Rate Class Load Model'!B30</f>
        <v>2.4618786742565848E-3</v>
      </c>
      <c r="C340" s="322">
        <f>'Rate Class Load Model'!C30</f>
        <v>2.78071933018947E-3</v>
      </c>
      <c r="D340" s="322">
        <f>'Rate Class Load Model'!D30</f>
        <v>2.8075726334139549E-3</v>
      </c>
      <c r="E340"/>
      <c r="F340"/>
      <c r="G340"/>
      <c r="H340"/>
      <c r="I340" s="320"/>
    </row>
    <row r="341" spans="1:10" s="319" customFormat="1" x14ac:dyDescent="0.25">
      <c r="A341" s="321">
        <f t="shared" si="94"/>
        <v>2010</v>
      </c>
      <c r="B341" s="322">
        <f>'Rate Class Load Model'!B31</f>
        <v>2.4708677924042168E-3</v>
      </c>
      <c r="C341" s="322">
        <f>'Rate Class Load Model'!C31</f>
        <v>2.7658659600925052E-3</v>
      </c>
      <c r="D341" s="322">
        <f>'Rate Class Load Model'!D31</f>
        <v>3.0000304335962144E-3</v>
      </c>
      <c r="E341"/>
      <c r="F341"/>
      <c r="G341"/>
      <c r="H341"/>
    </row>
    <row r="342" spans="1:10" s="319" customFormat="1" x14ac:dyDescent="0.25">
      <c r="A342" s="321">
        <f t="shared" si="94"/>
        <v>2011</v>
      </c>
      <c r="B342" s="322">
        <f>'Rate Class Load Model'!B32</f>
        <v>2.4574286460270749E-3</v>
      </c>
      <c r="C342" s="322">
        <f>'Rate Class Load Model'!C32</f>
        <v>2.7000868022215223E-3</v>
      </c>
      <c r="D342" s="322">
        <f>'Rate Class Load Model'!D32</f>
        <v>2.7664048228267361E-3</v>
      </c>
      <c r="E342"/>
      <c r="F342"/>
      <c r="G342"/>
      <c r="H342"/>
    </row>
    <row r="343" spans="1:10" s="319" customFormat="1" x14ac:dyDescent="0.25">
      <c r="A343" s="321">
        <f t="shared" si="94"/>
        <v>2012</v>
      </c>
      <c r="B343" s="322">
        <f>'Rate Class Load Model'!B33</f>
        <v>2.4687425199532891E-3</v>
      </c>
      <c r="C343" s="322">
        <f>'Rate Class Load Model'!C33</f>
        <v>2.7868825858376064E-3</v>
      </c>
      <c r="D343" s="322">
        <f>'Rate Class Load Model'!D33</f>
        <v>2.7914579525335818E-3</v>
      </c>
      <c r="E343"/>
      <c r="F343"/>
      <c r="G343"/>
      <c r="H343"/>
    </row>
    <row r="344" spans="1:10" s="319" customFormat="1" x14ac:dyDescent="0.25">
      <c r="A344" s="321">
        <f t="shared" si="94"/>
        <v>2013</v>
      </c>
      <c r="B344" s="322">
        <f>'Rate Class Load Model'!B34</f>
        <v>2.5328707434411476E-3</v>
      </c>
      <c r="C344" s="322">
        <f>'Rate Class Load Model'!C34</f>
        <v>2.7811137096264457E-3</v>
      </c>
      <c r="D344" s="322">
        <f>'Rate Class Load Model'!D34</f>
        <v>2.6692741176854618E-3</v>
      </c>
      <c r="E344"/>
      <c r="F344"/>
      <c r="G344"/>
      <c r="H344"/>
    </row>
    <row r="345" spans="1:10" s="319" customFormat="1" x14ac:dyDescent="0.25">
      <c r="A345" s="321">
        <f t="shared" si="94"/>
        <v>2014</v>
      </c>
      <c r="B345" s="322">
        <f>'Rate Class Load Model'!B35</f>
        <v>2.4508107038338058E-3</v>
      </c>
      <c r="C345" s="322">
        <f>'Rate Class Load Model'!C35</f>
        <v>2.7779033404698602E-3</v>
      </c>
      <c r="D345" s="322">
        <f>'Rate Class Load Model'!D35</f>
        <v>2.8002659971083374E-3</v>
      </c>
      <c r="E345"/>
      <c r="F345"/>
      <c r="G345"/>
      <c r="H345"/>
    </row>
    <row r="346" spans="1:10" s="319" customFormat="1" x14ac:dyDescent="0.25">
      <c r="A346" s="321">
        <f t="shared" si="94"/>
        <v>2015</v>
      </c>
      <c r="B346" s="322">
        <f>'Rate Class Load Model'!B36</f>
        <v>2.79181354647602E-3</v>
      </c>
      <c r="C346" s="322">
        <f>'Rate Class Load Model'!C36</f>
        <v>3.1967624278390395E-3</v>
      </c>
      <c r="D346" s="322">
        <f>'Rate Class Load Model'!D36</f>
        <v>2.9872750908354227E-3</v>
      </c>
      <c r="E346"/>
      <c r="F346"/>
      <c r="G346"/>
      <c r="H346"/>
    </row>
    <row r="347" spans="1:10" s="319" customFormat="1" x14ac:dyDescent="0.25">
      <c r="A347" s="321">
        <f t="shared" si="94"/>
        <v>2016</v>
      </c>
      <c r="B347" s="322">
        <f>'Rate Class Load Model'!B37</f>
        <v>2.4887113960887822E-3</v>
      </c>
      <c r="C347" s="322">
        <f>'Rate Class Load Model'!C37</f>
        <v>2.7746483463536279E-3</v>
      </c>
      <c r="D347" s="322">
        <f>'Rate Class Load Model'!D37</f>
        <v>2.9290590178160125E-3</v>
      </c>
      <c r="E347"/>
      <c r="F347"/>
      <c r="G347"/>
      <c r="H347"/>
    </row>
    <row r="348" spans="1:10" s="319" customFormat="1" x14ac:dyDescent="0.25">
      <c r="A348" s="321" t="s">
        <v>284</v>
      </c>
      <c r="B348" s="322">
        <f>'Rate Class Load Model'!B40</f>
        <v>2.5130463443122099E-3</v>
      </c>
      <c r="C348" s="322">
        <f>'Rate Class Load Model'!C40</f>
        <v>2.82418702971435E-3</v>
      </c>
      <c r="D348" s="322">
        <f>'Rate Class Load Model'!D40</f>
        <v>2.8615766735964796E-3</v>
      </c>
      <c r="E348"/>
      <c r="F348"/>
      <c r="G348"/>
      <c r="H348"/>
    </row>
    <row r="349" spans="1:10" s="319" customFormat="1" ht="31.2" x14ac:dyDescent="0.25">
      <c r="A349" s="321" t="s">
        <v>256</v>
      </c>
      <c r="B349" s="322">
        <f>B348</f>
        <v>2.5130463443122099E-3</v>
      </c>
      <c r="C349" s="322">
        <f t="shared" ref="C349" si="95">C348</f>
        <v>2.82418702971435E-3</v>
      </c>
      <c r="D349" s="322" t="s">
        <v>283</v>
      </c>
      <c r="E349"/>
      <c r="F349"/>
      <c r="G349"/>
      <c r="H349"/>
    </row>
    <row r="350" spans="1:10" s="319" customFormat="1" ht="13.8" x14ac:dyDescent="0.25"/>
    <row r="351" spans="1:10" s="319" customFormat="1" x14ac:dyDescent="0.25">
      <c r="A351" s="412" t="s">
        <v>259</v>
      </c>
      <c r="B351" s="413"/>
      <c r="C351" s="413"/>
      <c r="D351" s="413"/>
      <c r="E351" s="413"/>
      <c r="F351"/>
      <c r="G351"/>
      <c r="H351"/>
      <c r="I351"/>
      <c r="J351"/>
    </row>
    <row r="352" spans="1:10" s="319" customFormat="1" ht="46.8" x14ac:dyDescent="0.25">
      <c r="A352" s="276" t="str">
        <f>A332</f>
        <v>Year</v>
      </c>
      <c r="B352" s="277" t="str">
        <f t="shared" ref="B352:D352" si="96">B332</f>
        <v>General Service 50 to 4,999 kW</v>
      </c>
      <c r="C352" s="277" t="str">
        <f t="shared" si="96"/>
        <v>Sentinel Lighting</v>
      </c>
      <c r="D352" s="277" t="str">
        <f t="shared" si="96"/>
        <v>Street Lights</v>
      </c>
      <c r="E352" s="277" t="str">
        <f>E313</f>
        <v>Total</v>
      </c>
      <c r="F352"/>
      <c r="G352"/>
      <c r="H352"/>
      <c r="I352"/>
    </row>
    <row r="353" spans="1:10" s="319" customFormat="1" x14ac:dyDescent="0.25">
      <c r="A353" s="412" t="s">
        <v>257</v>
      </c>
      <c r="B353" s="413"/>
      <c r="C353" s="413"/>
      <c r="D353" s="413"/>
      <c r="E353" s="432"/>
      <c r="F353"/>
      <c r="G353"/>
      <c r="H353"/>
      <c r="I353"/>
    </row>
    <row r="354" spans="1:10" s="319" customFormat="1" x14ac:dyDescent="0.25">
      <c r="A354" s="302" t="str">
        <f>A309</f>
        <v>2017 Bridge</v>
      </c>
      <c r="B354" s="303" t="e">
        <f>B349*D309*1000000</f>
        <v>#REF!</v>
      </c>
      <c r="C354" s="303" t="e">
        <f t="shared" ref="C354" si="97">C349*E309*1000000</f>
        <v>#REF!</v>
      </c>
      <c r="D354" s="303">
        <f>'Rate Class Load Model'!D18</f>
        <v>7030.1</v>
      </c>
      <c r="E354" s="303" t="e">
        <f>SUM(B354:D354)</f>
        <v>#REF!</v>
      </c>
      <c r="F354"/>
      <c r="G354"/>
      <c r="H354"/>
      <c r="I354"/>
      <c r="J354" s="320"/>
    </row>
    <row r="355" spans="1:10" s="319" customFormat="1" x14ac:dyDescent="0.25">
      <c r="A355" s="302" t="str">
        <f>A310</f>
        <v>2018 Test</v>
      </c>
      <c r="B355" s="303" t="e">
        <f>B349*D310*1000000</f>
        <v>#REF!</v>
      </c>
      <c r="C355" s="303">
        <f t="shared" ref="C355" si="98">C349*E310*1000000</f>
        <v>592.51480879014923</v>
      </c>
      <c r="D355" s="303">
        <f>D354</f>
        <v>7030.1</v>
      </c>
      <c r="E355" s="303" t="e">
        <f>SUM(B355:D355)</f>
        <v>#REF!</v>
      </c>
      <c r="F355"/>
      <c r="G355"/>
      <c r="H355"/>
      <c r="I355"/>
      <c r="J355" s="320"/>
    </row>
    <row r="356" spans="1:10" x14ac:dyDescent="0.3">
      <c r="A356" s="265"/>
      <c r="B356" s="266"/>
      <c r="C356" s="266"/>
      <c r="D356" s="266"/>
      <c r="E356" s="266"/>
      <c r="F356" s="266"/>
      <c r="G356" s="266"/>
      <c r="H356" s="266"/>
      <c r="I356" s="266"/>
    </row>
    <row r="357" spans="1:10" x14ac:dyDescent="0.3">
      <c r="A357" s="265"/>
      <c r="B357" s="266"/>
      <c r="C357" s="266"/>
      <c r="D357" s="266"/>
      <c r="E357" s="266"/>
      <c r="F357" s="266"/>
      <c r="G357" s="266"/>
      <c r="H357" s="266"/>
      <c r="I357" s="266"/>
    </row>
    <row r="358" spans="1:10" x14ac:dyDescent="0.3">
      <c r="A358" s="364" t="s">
        <v>297</v>
      </c>
      <c r="B358" s="363"/>
      <c r="C358" s="363"/>
      <c r="D358" s="363"/>
      <c r="E358" s="266"/>
      <c r="F358" s="266"/>
      <c r="G358" s="266"/>
      <c r="H358" s="266"/>
      <c r="I358" s="266"/>
    </row>
    <row r="359" spans="1:10" ht="31.2" x14ac:dyDescent="0.3">
      <c r="A359" s="317" t="s">
        <v>296</v>
      </c>
      <c r="B359" s="277" t="s">
        <v>188</v>
      </c>
      <c r="C359" s="277" t="s">
        <v>269</v>
      </c>
      <c r="D359" s="277" t="s">
        <v>298</v>
      </c>
      <c r="E359" s="365" t="s">
        <v>299</v>
      </c>
      <c r="F359" s="266"/>
      <c r="G359" s="266"/>
      <c r="H359" s="266"/>
      <c r="I359" s="266"/>
    </row>
    <row r="360" spans="1:10" x14ac:dyDescent="0.3">
      <c r="A360" s="368" t="s">
        <v>1</v>
      </c>
      <c r="B360" s="378">
        <f t="shared" ref="B360:C365" si="99">+B4</f>
        <v>9069512</v>
      </c>
      <c r="C360" s="378">
        <f t="shared" si="99"/>
        <v>8383231.0899999999</v>
      </c>
      <c r="D360" s="378">
        <f>+C360-B360</f>
        <v>-686280.91000000015</v>
      </c>
      <c r="E360" s="379">
        <f>+D360/B360</f>
        <v>-7.5669000713599596E-2</v>
      </c>
      <c r="F360" s="266"/>
      <c r="G360" s="266"/>
      <c r="H360" s="266"/>
      <c r="I360" s="266"/>
    </row>
    <row r="361" spans="1:10" x14ac:dyDescent="0.3">
      <c r="A361" s="321" t="s">
        <v>288</v>
      </c>
      <c r="B361" s="370">
        <f t="shared" si="99"/>
        <v>2664966</v>
      </c>
      <c r="C361" s="378">
        <f t="shared" si="99"/>
        <v>2479550.11</v>
      </c>
      <c r="D361" s="378">
        <f t="shared" ref="D361:D365" si="100">+C361-B361</f>
        <v>-185415.89000000013</v>
      </c>
      <c r="E361" s="379">
        <f t="shared" ref="E361:E366" si="101">+D361/B361</f>
        <v>-6.9575330416973474E-2</v>
      </c>
      <c r="F361" s="266"/>
      <c r="G361" s="266"/>
      <c r="H361" s="266"/>
      <c r="I361" s="266"/>
    </row>
    <row r="362" spans="1:10" x14ac:dyDescent="0.3">
      <c r="A362" s="366" t="s">
        <v>316</v>
      </c>
      <c r="B362" s="370">
        <f t="shared" si="99"/>
        <v>3725714</v>
      </c>
      <c r="C362" s="378">
        <f t="shared" si="99"/>
        <v>3723727.25</v>
      </c>
      <c r="D362" s="378">
        <f t="shared" si="100"/>
        <v>-1986.75</v>
      </c>
      <c r="E362" s="379">
        <f t="shared" si="101"/>
        <v>-5.3325349181391807E-4</v>
      </c>
      <c r="F362" s="266"/>
      <c r="G362" s="266"/>
      <c r="H362" s="266"/>
      <c r="I362" s="266"/>
    </row>
    <row r="363" spans="1:10" x14ac:dyDescent="0.3">
      <c r="A363" s="321" t="s">
        <v>147</v>
      </c>
      <c r="B363" s="370">
        <f t="shared" si="99"/>
        <v>31753</v>
      </c>
      <c r="C363" s="378">
        <f t="shared" si="99"/>
        <v>28613.17</v>
      </c>
      <c r="D363" s="378">
        <f t="shared" si="100"/>
        <v>-3139.8300000000017</v>
      </c>
      <c r="E363" s="379">
        <f t="shared" si="101"/>
        <v>-9.8882940194627331E-2</v>
      </c>
      <c r="F363" s="266"/>
      <c r="G363" s="266"/>
      <c r="H363" s="266"/>
      <c r="I363" s="266"/>
    </row>
    <row r="364" spans="1:10" x14ac:dyDescent="0.3">
      <c r="A364" s="321" t="s">
        <v>289</v>
      </c>
      <c r="B364" s="370">
        <f t="shared" si="99"/>
        <v>720198</v>
      </c>
      <c r="C364" s="378">
        <f t="shared" si="99"/>
        <v>663165.81999999995</v>
      </c>
      <c r="D364" s="378">
        <f t="shared" si="100"/>
        <v>-57032.180000000051</v>
      </c>
      <c r="E364" s="379">
        <f t="shared" si="101"/>
        <v>-7.918958397551791E-2</v>
      </c>
      <c r="F364" s="266"/>
      <c r="G364" s="266"/>
      <c r="H364" s="266"/>
      <c r="I364" s="266"/>
    </row>
    <row r="365" spans="1:10" x14ac:dyDescent="0.3">
      <c r="A365" s="321" t="s">
        <v>290</v>
      </c>
      <c r="B365" s="370">
        <f t="shared" si="99"/>
        <v>29206</v>
      </c>
      <c r="C365" s="378">
        <f t="shared" si="99"/>
        <v>27443</v>
      </c>
      <c r="D365" s="378">
        <f t="shared" si="100"/>
        <v>-1763</v>
      </c>
      <c r="E365" s="379">
        <f t="shared" si="101"/>
        <v>-6.0364308703691021E-2</v>
      </c>
      <c r="F365" s="266"/>
      <c r="G365" s="266"/>
      <c r="H365" s="266"/>
      <c r="I365" s="266"/>
    </row>
    <row r="366" spans="1:10" x14ac:dyDescent="0.3">
      <c r="A366" s="367" t="s">
        <v>12</v>
      </c>
      <c r="B366" s="372">
        <f>SUM(B360:B365)</f>
        <v>16241349</v>
      </c>
      <c r="C366" s="372">
        <f>SUM(C360:C365)</f>
        <v>15305730.439999999</v>
      </c>
      <c r="D366" s="372">
        <f>SUM(D360:D365)</f>
        <v>-935618.56000000029</v>
      </c>
      <c r="E366" s="380">
        <f t="shared" si="101"/>
        <v>-5.7607195067355565E-2</v>
      </c>
      <c r="F366" s="266"/>
      <c r="G366" s="266"/>
      <c r="H366" s="266"/>
      <c r="I366" s="266"/>
    </row>
    <row r="367" spans="1:10" x14ac:dyDescent="0.3">
      <c r="A367" s="265"/>
      <c r="B367" s="266"/>
      <c r="C367" s="266"/>
      <c r="D367" s="266"/>
      <c r="E367" s="266"/>
      <c r="F367" s="266"/>
      <c r="G367" s="266"/>
      <c r="H367" s="266"/>
      <c r="I367" s="266"/>
    </row>
    <row r="368" spans="1:10" x14ac:dyDescent="0.3">
      <c r="A368" s="364" t="s">
        <v>300</v>
      </c>
      <c r="B368" s="363"/>
      <c r="C368" s="363"/>
      <c r="D368" s="363"/>
      <c r="E368" s="266"/>
      <c r="F368" s="266"/>
      <c r="G368" s="266"/>
      <c r="H368" s="266"/>
      <c r="I368" s="266"/>
    </row>
    <row r="369" spans="1:9" ht="31.2" x14ac:dyDescent="0.3">
      <c r="A369" s="317" t="s">
        <v>296</v>
      </c>
      <c r="B369" s="277" t="s">
        <v>269</v>
      </c>
      <c r="C369" s="365" t="s">
        <v>272</v>
      </c>
      <c r="D369" s="277" t="s">
        <v>298</v>
      </c>
      <c r="E369" s="365" t="s">
        <v>299</v>
      </c>
      <c r="F369" s="266"/>
      <c r="G369" s="266"/>
      <c r="H369" s="266"/>
      <c r="I369" s="266"/>
    </row>
    <row r="370" spans="1:9" x14ac:dyDescent="0.3">
      <c r="A370" s="368" t="s">
        <v>1</v>
      </c>
      <c r="B370" s="371">
        <f>+C360</f>
        <v>8383231.0899999999</v>
      </c>
      <c r="C370" s="371">
        <f t="shared" ref="C370:C375" si="102">+D4</f>
        <v>9058873.4199999999</v>
      </c>
      <c r="D370" s="371">
        <f>+C370-B370</f>
        <v>675642.33000000007</v>
      </c>
      <c r="E370" s="375">
        <f>+D370/B370</f>
        <v>8.0594501421527687E-2</v>
      </c>
      <c r="F370" s="266"/>
      <c r="G370" s="266"/>
      <c r="H370" s="266"/>
      <c r="I370" s="266"/>
    </row>
    <row r="371" spans="1:9" x14ac:dyDescent="0.3">
      <c r="A371" s="321" t="s">
        <v>288</v>
      </c>
      <c r="B371" s="371">
        <f t="shared" ref="B371:B375" si="103">+C361</f>
        <v>2479550.11</v>
      </c>
      <c r="C371" s="371">
        <f t="shared" si="102"/>
        <v>2662132.09</v>
      </c>
      <c r="D371" s="371">
        <f t="shared" ref="D371:D375" si="104">+C371-B371</f>
        <v>182581.97999999998</v>
      </c>
      <c r="E371" s="375">
        <f t="shared" ref="E371:E376" si="105">+D371/B371</f>
        <v>7.3635124074987943E-2</v>
      </c>
      <c r="F371" s="266"/>
      <c r="G371" s="266"/>
      <c r="H371" s="266"/>
      <c r="I371" s="266"/>
    </row>
    <row r="372" spans="1:9" x14ac:dyDescent="0.3">
      <c r="A372" s="366" t="s">
        <v>316</v>
      </c>
      <c r="B372" s="371">
        <f t="shared" si="103"/>
        <v>3723727.25</v>
      </c>
      <c r="C372" s="371">
        <f t="shared" si="102"/>
        <v>3753659.93</v>
      </c>
      <c r="D372" s="371">
        <f t="shared" si="104"/>
        <v>29932.680000000168</v>
      </c>
      <c r="E372" s="375">
        <f t="shared" si="105"/>
        <v>8.0383653233464317E-3</v>
      </c>
      <c r="F372" s="266"/>
      <c r="G372" s="266"/>
      <c r="H372" s="266"/>
      <c r="I372" s="266"/>
    </row>
    <row r="373" spans="1:9" x14ac:dyDescent="0.3">
      <c r="A373" s="321" t="s">
        <v>147</v>
      </c>
      <c r="B373" s="371">
        <f t="shared" si="103"/>
        <v>28613.17</v>
      </c>
      <c r="C373" s="371">
        <f t="shared" si="102"/>
        <v>31254.59</v>
      </c>
      <c r="D373" s="371">
        <f t="shared" si="104"/>
        <v>2641.4200000000019</v>
      </c>
      <c r="E373" s="375">
        <f t="shared" si="105"/>
        <v>9.2314832645246994E-2</v>
      </c>
      <c r="F373" s="266"/>
      <c r="G373" s="266"/>
      <c r="H373" s="266"/>
      <c r="I373" s="266"/>
    </row>
    <row r="374" spans="1:9" x14ac:dyDescent="0.3">
      <c r="A374" s="321" t="s">
        <v>289</v>
      </c>
      <c r="B374" s="371">
        <f t="shared" si="103"/>
        <v>663165.81999999995</v>
      </c>
      <c r="C374" s="371">
        <f t="shared" si="102"/>
        <v>702906.23</v>
      </c>
      <c r="D374" s="371">
        <f t="shared" si="104"/>
        <v>39740.410000000033</v>
      </c>
      <c r="E374" s="375">
        <f>+D374/B374</f>
        <v>5.9925298924483228E-2</v>
      </c>
      <c r="F374" s="266"/>
      <c r="G374" s="266"/>
      <c r="H374" s="266"/>
      <c r="I374" s="266"/>
    </row>
    <row r="375" spans="1:9" x14ac:dyDescent="0.3">
      <c r="A375" s="321" t="s">
        <v>290</v>
      </c>
      <c r="B375" s="371">
        <f t="shared" si="103"/>
        <v>27443</v>
      </c>
      <c r="C375" s="371">
        <f t="shared" si="102"/>
        <v>29446.14</v>
      </c>
      <c r="D375" s="371">
        <f t="shared" si="104"/>
        <v>2003.1399999999994</v>
      </c>
      <c r="E375" s="375">
        <f t="shared" si="105"/>
        <v>7.2992748606201918E-2</v>
      </c>
      <c r="F375" s="266"/>
      <c r="G375" s="266"/>
      <c r="H375" s="266"/>
      <c r="I375" s="266"/>
    </row>
    <row r="376" spans="1:9" x14ac:dyDescent="0.3">
      <c r="A376" s="367" t="s">
        <v>12</v>
      </c>
      <c r="B376" s="372">
        <f>SUM(B370:B375)</f>
        <v>15305730.439999999</v>
      </c>
      <c r="C376" s="372">
        <f>SUM(C370:C375)</f>
        <v>16238272.4</v>
      </c>
      <c r="D376" s="372">
        <f>SUM(D370:D375)</f>
        <v>932541.96000000031</v>
      </c>
      <c r="E376" s="376">
        <f t="shared" si="105"/>
        <v>6.092763515309893E-2</v>
      </c>
      <c r="F376" s="266"/>
      <c r="G376" s="266"/>
      <c r="H376" s="266"/>
      <c r="I376" s="266"/>
    </row>
    <row r="377" spans="1:9" x14ac:dyDescent="0.3">
      <c r="A377" s="265"/>
      <c r="B377" s="266"/>
      <c r="C377" s="266"/>
      <c r="D377" s="266"/>
      <c r="E377" s="266"/>
      <c r="F377" s="266"/>
      <c r="G377" s="266"/>
      <c r="H377" s="266"/>
      <c r="I377" s="266"/>
    </row>
    <row r="378" spans="1:9" x14ac:dyDescent="0.3">
      <c r="A378" s="364" t="s">
        <v>301</v>
      </c>
      <c r="B378" s="363"/>
      <c r="C378" s="363"/>
      <c r="D378" s="363"/>
      <c r="E378" s="266"/>
      <c r="F378" s="266"/>
      <c r="G378" s="374"/>
      <c r="H378" s="266"/>
      <c r="I378" s="266"/>
    </row>
    <row r="379" spans="1:9" ht="31.2" x14ac:dyDescent="0.3">
      <c r="A379" s="317" t="s">
        <v>296</v>
      </c>
      <c r="B379" s="365" t="s">
        <v>272</v>
      </c>
      <c r="C379" s="365" t="s">
        <v>173</v>
      </c>
      <c r="D379" s="277" t="s">
        <v>298</v>
      </c>
      <c r="E379" s="365" t="s">
        <v>299</v>
      </c>
      <c r="F379" s="266"/>
      <c r="G379" s="266"/>
      <c r="H379" s="266"/>
      <c r="I379" s="266"/>
    </row>
    <row r="380" spans="1:9" x14ac:dyDescent="0.3">
      <c r="A380" s="368" t="s">
        <v>1</v>
      </c>
      <c r="B380" s="371">
        <f>+C370</f>
        <v>9058873.4199999999</v>
      </c>
      <c r="C380" s="371">
        <f t="shared" ref="C380:C385" si="106">+E4</f>
        <v>8805835.6899999995</v>
      </c>
      <c r="D380" s="371">
        <f t="shared" ref="D380:D385" si="107">+C380-B380</f>
        <v>-253037.73000000045</v>
      </c>
      <c r="E380" s="375">
        <f t="shared" ref="E380:E386" si="108">+D380/B380</f>
        <v>-2.7932582592593555E-2</v>
      </c>
      <c r="F380" s="266"/>
      <c r="G380" s="266"/>
      <c r="H380" s="266"/>
      <c r="I380" s="266"/>
    </row>
    <row r="381" spans="1:9" x14ac:dyDescent="0.3">
      <c r="A381" s="321" t="s">
        <v>288</v>
      </c>
      <c r="B381" s="371">
        <f t="shared" ref="B381:B385" si="109">+C371</f>
        <v>2662132.09</v>
      </c>
      <c r="C381" s="371">
        <f t="shared" si="106"/>
        <v>2636670.63</v>
      </c>
      <c r="D381" s="371">
        <f t="shared" si="107"/>
        <v>-25461.459999999963</v>
      </c>
      <c r="E381" s="375">
        <f t="shared" si="108"/>
        <v>-9.5643112885506615E-3</v>
      </c>
      <c r="F381" s="266"/>
      <c r="G381" s="266"/>
      <c r="H381" s="266"/>
      <c r="I381" s="266"/>
    </row>
    <row r="382" spans="1:9" x14ac:dyDescent="0.3">
      <c r="A382" s="366" t="s">
        <v>316</v>
      </c>
      <c r="B382" s="371">
        <f t="shared" si="109"/>
        <v>3753659.93</v>
      </c>
      <c r="C382" s="371">
        <f t="shared" si="106"/>
        <v>4011125.36</v>
      </c>
      <c r="D382" s="371">
        <f t="shared" si="107"/>
        <v>257465.4299999997</v>
      </c>
      <c r="E382" s="375">
        <f t="shared" si="108"/>
        <v>6.859050494752722E-2</v>
      </c>
      <c r="F382" s="266"/>
      <c r="G382" s="266"/>
      <c r="H382" s="266"/>
      <c r="I382" s="266"/>
    </row>
    <row r="383" spans="1:9" x14ac:dyDescent="0.3">
      <c r="A383" s="321" t="s">
        <v>147</v>
      </c>
      <c r="B383" s="371">
        <f t="shared" si="109"/>
        <v>31254.59</v>
      </c>
      <c r="C383" s="371">
        <f t="shared" si="106"/>
        <v>28967.18</v>
      </c>
      <c r="D383" s="371">
        <f t="shared" si="107"/>
        <v>-2287.41</v>
      </c>
      <c r="E383" s="375">
        <f t="shared" si="108"/>
        <v>-7.3186370385917715E-2</v>
      </c>
      <c r="F383" s="266"/>
      <c r="G383" s="266"/>
      <c r="H383" s="266"/>
      <c r="I383" s="266"/>
    </row>
    <row r="384" spans="1:9" x14ac:dyDescent="0.3">
      <c r="A384" s="321" t="s">
        <v>289</v>
      </c>
      <c r="B384" s="371">
        <f t="shared" si="109"/>
        <v>702906.23</v>
      </c>
      <c r="C384" s="371">
        <f t="shared" si="106"/>
        <v>727781.03</v>
      </c>
      <c r="D384" s="371">
        <f t="shared" si="107"/>
        <v>24874.800000000047</v>
      </c>
      <c r="E384" s="375">
        <f t="shared" si="108"/>
        <v>3.5388504096769843E-2</v>
      </c>
      <c r="F384" s="266"/>
      <c r="G384" s="266"/>
      <c r="H384" s="266"/>
      <c r="I384" s="266"/>
    </row>
    <row r="385" spans="1:9" x14ac:dyDescent="0.3">
      <c r="A385" s="321" t="s">
        <v>290</v>
      </c>
      <c r="B385" s="371">
        <f t="shared" si="109"/>
        <v>29446.14</v>
      </c>
      <c r="C385" s="371">
        <f t="shared" si="106"/>
        <v>30918.73</v>
      </c>
      <c r="D385" s="371">
        <f t="shared" si="107"/>
        <v>1472.5900000000001</v>
      </c>
      <c r="E385" s="375">
        <f t="shared" si="108"/>
        <v>5.0009610767319593E-2</v>
      </c>
      <c r="F385" s="266"/>
      <c r="G385" s="266"/>
      <c r="H385" s="266"/>
      <c r="I385" s="266"/>
    </row>
    <row r="386" spans="1:9" x14ac:dyDescent="0.3">
      <c r="A386" s="367" t="s">
        <v>12</v>
      </c>
      <c r="B386" s="372">
        <f>SUM(B380:B385)</f>
        <v>16238272.4</v>
      </c>
      <c r="C386" s="372">
        <f>SUM(C380:C385)</f>
        <v>16241298.619999999</v>
      </c>
      <c r="D386" s="372">
        <f>SUM(D380:D385)</f>
        <v>3026.2199999993391</v>
      </c>
      <c r="E386" s="376">
        <f t="shared" si="108"/>
        <v>1.8636342127130093E-4</v>
      </c>
      <c r="F386" s="266"/>
      <c r="G386" s="266"/>
      <c r="H386" s="266"/>
      <c r="I386" s="266"/>
    </row>
    <row r="387" spans="1:9" x14ac:dyDescent="0.3">
      <c r="A387" s="265"/>
      <c r="B387" s="266"/>
      <c r="C387" s="266"/>
      <c r="D387" s="266"/>
      <c r="E387" s="266"/>
      <c r="F387" s="266"/>
      <c r="G387" s="266"/>
      <c r="H387" s="266"/>
      <c r="I387" s="266"/>
    </row>
    <row r="388" spans="1:9" x14ac:dyDescent="0.3">
      <c r="A388" s="364" t="s">
        <v>302</v>
      </c>
      <c r="B388" s="363"/>
      <c r="C388" s="363"/>
      <c r="D388" s="363"/>
      <c r="E388" s="266"/>
      <c r="F388" s="266"/>
      <c r="G388" s="266"/>
      <c r="H388" s="266"/>
      <c r="I388" s="266"/>
    </row>
    <row r="389" spans="1:9" ht="31.2" x14ac:dyDescent="0.3">
      <c r="A389" s="317" t="s">
        <v>296</v>
      </c>
      <c r="B389" s="365" t="s">
        <v>173</v>
      </c>
      <c r="C389" s="365" t="s">
        <v>174</v>
      </c>
      <c r="D389" s="277" t="s">
        <v>298</v>
      </c>
      <c r="E389" s="365" t="s">
        <v>299</v>
      </c>
      <c r="F389" s="266"/>
      <c r="G389" s="266"/>
      <c r="H389" s="266"/>
      <c r="I389" s="266"/>
    </row>
    <row r="390" spans="1:9" x14ac:dyDescent="0.3">
      <c r="A390" s="368" t="s">
        <v>1</v>
      </c>
      <c r="B390" s="371">
        <f>+C380</f>
        <v>8805835.6899999995</v>
      </c>
      <c r="C390" s="371">
        <f t="shared" ref="C390:C395" si="110">+F4</f>
        <v>8499404.4299999997</v>
      </c>
      <c r="D390" s="371">
        <f t="shared" ref="D390" si="111">+C390-B390</f>
        <v>-306431.25999999978</v>
      </c>
      <c r="E390" s="375">
        <f t="shared" ref="E390" si="112">+D390/B390</f>
        <v>-3.4798657479833101E-2</v>
      </c>
      <c r="F390" s="266"/>
      <c r="G390" s="266"/>
      <c r="H390" s="266"/>
      <c r="I390" s="266"/>
    </row>
    <row r="391" spans="1:9" x14ac:dyDescent="0.3">
      <c r="A391" s="321" t="s">
        <v>288</v>
      </c>
      <c r="B391" s="371">
        <f t="shared" ref="B391:B395" si="113">+C381</f>
        <v>2636670.63</v>
      </c>
      <c r="C391" s="371">
        <f t="shared" si="110"/>
        <v>2537808.73</v>
      </c>
      <c r="D391" s="371">
        <f t="shared" ref="D391:D395" si="114">+C391-B391</f>
        <v>-98861.899999999907</v>
      </c>
      <c r="E391" s="375">
        <f t="shared" ref="E391:E396" si="115">+D391/B391</f>
        <v>-3.7494975244594698E-2</v>
      </c>
      <c r="F391" s="266"/>
      <c r="G391" s="266"/>
      <c r="H391" s="266"/>
      <c r="I391" s="266"/>
    </row>
    <row r="392" spans="1:9" x14ac:dyDescent="0.3">
      <c r="A392" s="366" t="s">
        <v>316</v>
      </c>
      <c r="B392" s="371">
        <f t="shared" si="113"/>
        <v>4011125.36</v>
      </c>
      <c r="C392" s="371">
        <f t="shared" si="110"/>
        <v>3820757.83</v>
      </c>
      <c r="D392" s="371">
        <f t="shared" si="114"/>
        <v>-190367.5299999998</v>
      </c>
      <c r="E392" s="375">
        <f t="shared" si="115"/>
        <v>-4.7459880436147676E-2</v>
      </c>
      <c r="F392" s="266"/>
      <c r="G392" s="266"/>
      <c r="H392" s="266"/>
      <c r="I392" s="266"/>
    </row>
    <row r="393" spans="1:9" x14ac:dyDescent="0.3">
      <c r="A393" s="321" t="s">
        <v>147</v>
      </c>
      <c r="B393" s="371">
        <f t="shared" si="113"/>
        <v>28967.18</v>
      </c>
      <c r="C393" s="371">
        <f t="shared" si="110"/>
        <v>29440.080000000002</v>
      </c>
      <c r="D393" s="371">
        <f t="shared" si="114"/>
        <v>472.90000000000146</v>
      </c>
      <c r="E393" s="375">
        <f t="shared" si="115"/>
        <v>1.6325372369695685E-2</v>
      </c>
      <c r="F393" s="266"/>
      <c r="G393" s="266"/>
      <c r="H393" s="266"/>
      <c r="I393" s="266"/>
    </row>
    <row r="394" spans="1:9" x14ac:dyDescent="0.3">
      <c r="A394" s="321" t="s">
        <v>289</v>
      </c>
      <c r="B394" s="371">
        <f t="shared" si="113"/>
        <v>727781.03</v>
      </c>
      <c r="C394" s="371">
        <f t="shared" si="110"/>
        <v>577770.6</v>
      </c>
      <c r="D394" s="371">
        <f t="shared" si="114"/>
        <v>-150010.43000000005</v>
      </c>
      <c r="E394" s="375">
        <f t="shared" si="115"/>
        <v>-0.2061202804365484</v>
      </c>
      <c r="F394" s="266"/>
      <c r="G394" s="266"/>
      <c r="H394" s="266"/>
      <c r="I394" s="266"/>
    </row>
    <row r="395" spans="1:9" x14ac:dyDescent="0.3">
      <c r="A395" s="321" t="s">
        <v>290</v>
      </c>
      <c r="B395" s="371">
        <f t="shared" si="113"/>
        <v>30918.73</v>
      </c>
      <c r="C395" s="371">
        <f t="shared" si="110"/>
        <v>30762.16</v>
      </c>
      <c r="D395" s="371">
        <f t="shared" si="114"/>
        <v>-156.56999999999971</v>
      </c>
      <c r="E395" s="375">
        <f t="shared" si="115"/>
        <v>-5.0639208014041882E-3</v>
      </c>
      <c r="F395" s="266"/>
      <c r="G395" s="266"/>
      <c r="H395" s="266"/>
      <c r="I395" s="266"/>
    </row>
    <row r="396" spans="1:9" x14ac:dyDescent="0.3">
      <c r="A396" s="367" t="s">
        <v>12</v>
      </c>
      <c r="B396" s="372">
        <f>SUM(B390:B395)</f>
        <v>16241298.619999999</v>
      </c>
      <c r="C396" s="372">
        <f>SUM(C390:C395)</f>
        <v>15495943.83</v>
      </c>
      <c r="D396" s="372">
        <f>SUM(D390:D395)</f>
        <v>-745354.78999999946</v>
      </c>
      <c r="E396" s="376">
        <f t="shared" si="115"/>
        <v>-4.5892561145458421E-2</v>
      </c>
      <c r="F396" s="266"/>
      <c r="G396" s="266"/>
      <c r="H396" s="266"/>
      <c r="I396" s="266"/>
    </row>
    <row r="397" spans="1:9" x14ac:dyDescent="0.3">
      <c r="A397" s="265"/>
      <c r="B397" s="266"/>
      <c r="C397" s="266"/>
      <c r="D397" s="266"/>
      <c r="E397" s="266"/>
      <c r="F397" s="266"/>
      <c r="G397" s="266"/>
      <c r="H397" s="266"/>
      <c r="I397" s="266"/>
    </row>
    <row r="398" spans="1:9" x14ac:dyDescent="0.3">
      <c r="A398" s="364" t="s">
        <v>303</v>
      </c>
      <c r="B398" s="363"/>
      <c r="C398" s="363"/>
      <c r="D398" s="363"/>
      <c r="E398" s="266"/>
      <c r="F398" s="266"/>
      <c r="G398" s="266"/>
      <c r="H398" s="266"/>
      <c r="I398" s="266"/>
    </row>
    <row r="399" spans="1:9" ht="31.2" x14ac:dyDescent="0.3">
      <c r="A399" s="317" t="s">
        <v>296</v>
      </c>
      <c r="B399" s="365" t="s">
        <v>174</v>
      </c>
      <c r="C399" s="365" t="s">
        <v>198</v>
      </c>
      <c r="D399" s="277" t="s">
        <v>298</v>
      </c>
      <c r="E399" s="365" t="s">
        <v>299</v>
      </c>
      <c r="F399" s="266"/>
      <c r="G399" s="266"/>
      <c r="H399" s="266"/>
      <c r="I399" s="266"/>
    </row>
    <row r="400" spans="1:9" x14ac:dyDescent="0.3">
      <c r="A400" s="368" t="s">
        <v>1</v>
      </c>
      <c r="B400" s="373">
        <f>+C390</f>
        <v>8499404.4299999997</v>
      </c>
      <c r="C400" s="369">
        <f t="shared" ref="C400:C405" si="116">+G4</f>
        <v>9399840.5899999999</v>
      </c>
      <c r="D400" s="371">
        <f t="shared" ref="D400" si="117">+C400-B400</f>
        <v>900436.16000000015</v>
      </c>
      <c r="E400" s="375">
        <f t="shared" ref="E400" si="118">+D400/B400</f>
        <v>0.10594108886285815</v>
      </c>
      <c r="F400" s="266"/>
      <c r="G400" s="266"/>
      <c r="H400" s="266"/>
      <c r="I400" s="266"/>
    </row>
    <row r="401" spans="1:9" x14ac:dyDescent="0.3">
      <c r="A401" s="321" t="s">
        <v>288</v>
      </c>
      <c r="B401" s="373">
        <f t="shared" ref="B401:B405" si="119">+C391</f>
        <v>2537808.73</v>
      </c>
      <c r="C401" s="369">
        <f t="shared" si="116"/>
        <v>2685304.73</v>
      </c>
      <c r="D401" s="371">
        <f t="shared" ref="D401:D405" si="120">+C401-B401</f>
        <v>147496</v>
      </c>
      <c r="E401" s="375">
        <f t="shared" ref="E401:E406" si="121">+D401/B401</f>
        <v>5.8119431246499022E-2</v>
      </c>
      <c r="F401" s="266"/>
      <c r="G401" s="266"/>
      <c r="H401" s="266"/>
      <c r="I401" s="266"/>
    </row>
    <row r="402" spans="1:9" x14ac:dyDescent="0.3">
      <c r="A402" s="366" t="s">
        <v>316</v>
      </c>
      <c r="B402" s="373">
        <f t="shared" si="119"/>
        <v>3820757.83</v>
      </c>
      <c r="C402" s="369">
        <f t="shared" si="116"/>
        <v>3836106.59</v>
      </c>
      <c r="D402" s="371">
        <f t="shared" si="120"/>
        <v>15348.759999999776</v>
      </c>
      <c r="E402" s="375">
        <f t="shared" si="121"/>
        <v>4.0172030479094182E-3</v>
      </c>
      <c r="F402" s="266"/>
      <c r="G402" s="266"/>
      <c r="H402" s="266"/>
      <c r="I402" s="266"/>
    </row>
    <row r="403" spans="1:9" x14ac:dyDescent="0.3">
      <c r="A403" s="321" t="s">
        <v>147</v>
      </c>
      <c r="B403" s="373">
        <f t="shared" si="119"/>
        <v>29440.080000000002</v>
      </c>
      <c r="C403" s="369">
        <f t="shared" si="116"/>
        <v>29795.58</v>
      </c>
      <c r="D403" s="371">
        <f t="shared" si="120"/>
        <v>355.5</v>
      </c>
      <c r="E403" s="375">
        <f t="shared" si="121"/>
        <v>1.2075374795177186E-2</v>
      </c>
      <c r="F403" s="266"/>
      <c r="G403" s="266"/>
      <c r="H403" s="266"/>
      <c r="I403" s="266"/>
    </row>
    <row r="404" spans="1:9" x14ac:dyDescent="0.3">
      <c r="A404" s="321" t="s">
        <v>289</v>
      </c>
      <c r="B404" s="373">
        <f t="shared" si="119"/>
        <v>577770.6</v>
      </c>
      <c r="C404" s="369">
        <f t="shared" si="116"/>
        <v>456676</v>
      </c>
      <c r="D404" s="371">
        <f t="shared" si="120"/>
        <v>-121094.59999999998</v>
      </c>
      <c r="E404" s="375">
        <f t="shared" si="121"/>
        <v>-0.20958941143768822</v>
      </c>
      <c r="F404" s="266"/>
      <c r="G404" s="266"/>
      <c r="H404" s="266"/>
      <c r="I404" s="266"/>
    </row>
    <row r="405" spans="1:9" x14ac:dyDescent="0.3">
      <c r="A405" s="321" t="s">
        <v>290</v>
      </c>
      <c r="B405" s="373">
        <f t="shared" si="119"/>
        <v>30762.16</v>
      </c>
      <c r="C405" s="369">
        <f t="shared" si="116"/>
        <v>31815.09</v>
      </c>
      <c r="D405" s="371">
        <f t="shared" si="120"/>
        <v>1052.9300000000003</v>
      </c>
      <c r="E405" s="375">
        <f t="shared" si="121"/>
        <v>3.4228090615223389E-2</v>
      </c>
      <c r="F405" s="266"/>
      <c r="G405" s="266"/>
      <c r="H405" s="266"/>
      <c r="I405" s="266"/>
    </row>
    <row r="406" spans="1:9" x14ac:dyDescent="0.3">
      <c r="A406" s="367" t="s">
        <v>12</v>
      </c>
      <c r="B406" s="372">
        <f>SUM(B400:B405)</f>
        <v>15495943.83</v>
      </c>
      <c r="C406" s="372">
        <f>SUM(C400:C405)</f>
        <v>16439538.58</v>
      </c>
      <c r="D406" s="372">
        <f>SUM(D400:D405)</f>
        <v>943594.75</v>
      </c>
      <c r="E406" s="376">
        <f t="shared" si="121"/>
        <v>6.0893015640209637E-2</v>
      </c>
      <c r="F406" s="266"/>
      <c r="G406" s="266"/>
      <c r="H406" s="266"/>
      <c r="I406" s="266"/>
    </row>
    <row r="407" spans="1:9" x14ac:dyDescent="0.3">
      <c r="A407" s="265"/>
      <c r="B407" s="266"/>
      <c r="C407" s="266"/>
      <c r="D407" s="266"/>
      <c r="E407" s="266"/>
      <c r="F407" s="266"/>
      <c r="G407" s="266"/>
      <c r="H407" s="266"/>
      <c r="I407" s="266"/>
    </row>
    <row r="408" spans="1:9" x14ac:dyDescent="0.3">
      <c r="A408" s="364" t="s">
        <v>304</v>
      </c>
      <c r="B408" s="363"/>
      <c r="C408" s="363"/>
      <c r="D408" s="363"/>
      <c r="E408" s="266"/>
      <c r="F408" s="266"/>
      <c r="G408" s="266"/>
      <c r="H408" s="266"/>
      <c r="I408" s="266"/>
    </row>
    <row r="409" spans="1:9" ht="31.2" x14ac:dyDescent="0.3">
      <c r="A409" s="317" t="s">
        <v>296</v>
      </c>
      <c r="B409" s="365" t="s">
        <v>198</v>
      </c>
      <c r="C409" s="365" t="s">
        <v>199</v>
      </c>
      <c r="D409" s="277" t="s">
        <v>298</v>
      </c>
      <c r="E409" s="365" t="s">
        <v>299</v>
      </c>
      <c r="F409" s="266"/>
      <c r="G409" s="266"/>
      <c r="H409" s="266"/>
      <c r="I409" s="266"/>
    </row>
    <row r="410" spans="1:9" x14ac:dyDescent="0.3">
      <c r="A410" s="368" t="s">
        <v>1</v>
      </c>
      <c r="B410" s="369">
        <f>+C400</f>
        <v>9399840.5899999999</v>
      </c>
      <c r="C410" s="369">
        <f t="shared" ref="C410:C415" si="122">+I4</f>
        <v>11487469</v>
      </c>
      <c r="D410" s="371">
        <f t="shared" ref="D410" si="123">+C410-B410</f>
        <v>2087628.4100000001</v>
      </c>
      <c r="E410" s="375">
        <f t="shared" ref="E410" si="124">+D410/B410</f>
        <v>0.22209189507116953</v>
      </c>
      <c r="F410" s="266"/>
      <c r="G410" s="266"/>
      <c r="H410" s="266"/>
      <c r="I410" s="266"/>
    </row>
    <row r="411" spans="1:9" x14ac:dyDescent="0.3">
      <c r="A411" s="321" t="s">
        <v>288</v>
      </c>
      <c r="B411" s="369">
        <f t="shared" ref="B411:B415" si="125">+C401</f>
        <v>2685304.73</v>
      </c>
      <c r="C411" s="369">
        <f t="shared" si="122"/>
        <v>3247287</v>
      </c>
      <c r="D411" s="371">
        <f t="shared" ref="D411:D415" si="126">+C411-B411</f>
        <v>561982.27</v>
      </c>
      <c r="E411" s="375">
        <f t="shared" ref="E411:E416" si="127">+D411/B411</f>
        <v>0.20928063162499996</v>
      </c>
      <c r="F411" s="266"/>
      <c r="G411" s="266"/>
      <c r="H411" s="266"/>
      <c r="I411" s="266"/>
    </row>
    <row r="412" spans="1:9" x14ac:dyDescent="0.3">
      <c r="A412" s="366" t="s">
        <v>316</v>
      </c>
      <c r="B412" s="369">
        <f t="shared" si="125"/>
        <v>3836106.59</v>
      </c>
      <c r="C412" s="369">
        <f t="shared" si="122"/>
        <v>4670305</v>
      </c>
      <c r="D412" s="371">
        <f t="shared" si="126"/>
        <v>834198.41000000015</v>
      </c>
      <c r="E412" s="375">
        <f t="shared" si="127"/>
        <v>0.21745965353898056</v>
      </c>
      <c r="F412" s="266"/>
      <c r="G412" s="266"/>
      <c r="H412" s="266"/>
      <c r="I412" s="266"/>
    </row>
    <row r="413" spans="1:9" x14ac:dyDescent="0.3">
      <c r="A413" s="321" t="s">
        <v>147</v>
      </c>
      <c r="B413" s="369">
        <f t="shared" si="125"/>
        <v>29795.58</v>
      </c>
      <c r="C413" s="369">
        <f t="shared" si="122"/>
        <v>35771</v>
      </c>
      <c r="D413" s="371">
        <f t="shared" si="126"/>
        <v>5975.4199999999983</v>
      </c>
      <c r="E413" s="375">
        <f t="shared" si="127"/>
        <v>0.20054719525513509</v>
      </c>
      <c r="F413" s="266"/>
      <c r="G413" s="266"/>
      <c r="H413" s="266"/>
      <c r="I413" s="266"/>
    </row>
    <row r="414" spans="1:9" x14ac:dyDescent="0.3">
      <c r="A414" s="321" t="s">
        <v>289</v>
      </c>
      <c r="B414" s="369">
        <f t="shared" si="125"/>
        <v>456676</v>
      </c>
      <c r="C414" s="369">
        <f t="shared" si="122"/>
        <v>203298</v>
      </c>
      <c r="D414" s="371">
        <f t="shared" si="126"/>
        <v>-253378</v>
      </c>
      <c r="E414" s="375">
        <f t="shared" si="127"/>
        <v>-0.55483099615482312</v>
      </c>
      <c r="F414" s="266"/>
      <c r="G414" s="266"/>
      <c r="H414" s="266"/>
      <c r="I414" s="266"/>
    </row>
    <row r="415" spans="1:9" x14ac:dyDescent="0.3">
      <c r="A415" s="321" t="s">
        <v>290</v>
      </c>
      <c r="B415" s="369">
        <f t="shared" si="125"/>
        <v>31815.09</v>
      </c>
      <c r="C415" s="369">
        <f t="shared" si="122"/>
        <v>47454</v>
      </c>
      <c r="D415" s="371">
        <f t="shared" si="126"/>
        <v>15638.91</v>
      </c>
      <c r="E415" s="375">
        <f t="shared" si="127"/>
        <v>0.49155636523423318</v>
      </c>
      <c r="F415" s="266"/>
      <c r="G415" s="266"/>
      <c r="H415" s="266"/>
      <c r="I415" s="266"/>
    </row>
    <row r="416" spans="1:9" x14ac:dyDescent="0.3">
      <c r="A416" s="367" t="s">
        <v>12</v>
      </c>
      <c r="B416" s="372">
        <f>SUM(B410:B415)</f>
        <v>16439538.58</v>
      </c>
      <c r="C416" s="372">
        <f>SUM(C410:C415)</f>
        <v>19691584</v>
      </c>
      <c r="D416" s="372">
        <f>SUM(D410:D415)</f>
        <v>3252045.4200000004</v>
      </c>
      <c r="E416" s="376">
        <f t="shared" si="127"/>
        <v>0.19781853390680751</v>
      </c>
      <c r="F416" s="266"/>
      <c r="G416" s="266"/>
      <c r="H416" s="266"/>
      <c r="I416" s="266"/>
    </row>
    <row r="417" spans="1:9" x14ac:dyDescent="0.3">
      <c r="A417" s="265"/>
      <c r="B417" s="266"/>
      <c r="C417" s="266"/>
      <c r="D417" s="266"/>
      <c r="E417" s="266"/>
      <c r="F417" s="266"/>
      <c r="G417" s="266"/>
      <c r="H417" s="266"/>
      <c r="I417" s="266"/>
    </row>
    <row r="418" spans="1:9" x14ac:dyDescent="0.3">
      <c r="A418" s="364" t="s">
        <v>305</v>
      </c>
      <c r="B418" s="363"/>
      <c r="C418" s="363"/>
      <c r="D418" s="363"/>
      <c r="E418" s="266"/>
      <c r="F418" s="266"/>
      <c r="G418" s="266"/>
      <c r="H418" s="266"/>
      <c r="I418" s="266"/>
    </row>
    <row r="419" spans="1:9" ht="31.2" x14ac:dyDescent="0.3">
      <c r="A419" s="317" t="s">
        <v>306</v>
      </c>
      <c r="B419" s="365" t="s">
        <v>188</v>
      </c>
      <c r="C419" s="365" t="s">
        <v>269</v>
      </c>
      <c r="D419" s="277" t="s">
        <v>298</v>
      </c>
      <c r="E419" s="365" t="s">
        <v>299</v>
      </c>
      <c r="F419" s="266"/>
      <c r="G419" s="266"/>
      <c r="H419" s="266"/>
      <c r="I419" s="266"/>
    </row>
    <row r="420" spans="1:9" x14ac:dyDescent="0.3">
      <c r="A420" s="368" t="s">
        <v>307</v>
      </c>
      <c r="B420" s="369">
        <f>+B15</f>
        <v>232090</v>
      </c>
      <c r="C420" s="369">
        <f>+C15</f>
        <v>247215</v>
      </c>
      <c r="D420" s="371">
        <f t="shared" ref="D420:D423" si="128">+C420-B420</f>
        <v>15125</v>
      </c>
      <c r="E420" s="375">
        <f t="shared" ref="E420:E424" si="129">+D420/B420</f>
        <v>6.5168684562023349E-2</v>
      </c>
      <c r="F420" s="266"/>
      <c r="G420" s="266"/>
      <c r="H420" s="266"/>
      <c r="I420" s="266"/>
    </row>
    <row r="421" spans="1:9" x14ac:dyDescent="0.3">
      <c r="A421" s="321" t="s">
        <v>291</v>
      </c>
      <c r="B421" s="369">
        <f>+B14</f>
        <v>250000</v>
      </c>
      <c r="C421" s="369">
        <f>+C14</f>
        <v>245293</v>
      </c>
      <c r="D421" s="371">
        <f t="shared" si="128"/>
        <v>-4707</v>
      </c>
      <c r="E421" s="375">
        <f t="shared" si="129"/>
        <v>-1.8828000000000001E-2</v>
      </c>
      <c r="F421" s="266"/>
      <c r="G421" s="266"/>
      <c r="H421" s="266"/>
      <c r="I421" s="266"/>
    </row>
    <row r="422" spans="1:9" x14ac:dyDescent="0.3">
      <c r="A422" s="366" t="s">
        <v>293</v>
      </c>
      <c r="B422" s="369">
        <f>+B16</f>
        <v>1848340</v>
      </c>
      <c r="C422" s="369">
        <f>+C16</f>
        <v>2812268</v>
      </c>
      <c r="D422" s="371">
        <f t="shared" si="128"/>
        <v>963928</v>
      </c>
      <c r="E422" s="375">
        <f t="shared" si="129"/>
        <v>0.52151011177597195</v>
      </c>
      <c r="F422" s="266"/>
      <c r="G422" s="266"/>
      <c r="H422" s="266"/>
      <c r="I422" s="266"/>
    </row>
    <row r="423" spans="1:9" x14ac:dyDescent="0.3">
      <c r="A423" s="321" t="s">
        <v>294</v>
      </c>
      <c r="B423" s="369">
        <f>+B17</f>
        <v>269570</v>
      </c>
      <c r="C423" s="369">
        <f>+C17</f>
        <v>227694</v>
      </c>
      <c r="D423" s="371">
        <f t="shared" si="128"/>
        <v>-41876</v>
      </c>
      <c r="E423" s="375">
        <f t="shared" si="129"/>
        <v>-0.15534369551507957</v>
      </c>
      <c r="F423" s="266"/>
      <c r="G423" s="266"/>
      <c r="H423" s="266"/>
      <c r="I423" s="266"/>
    </row>
    <row r="424" spans="1:9" x14ac:dyDescent="0.3">
      <c r="A424" s="367" t="s">
        <v>12</v>
      </c>
      <c r="B424" s="372">
        <f>SUM(B420:B423)</f>
        <v>2600000</v>
      </c>
      <c r="C424" s="372">
        <f>SUM(C420:C423)</f>
        <v>3532470</v>
      </c>
      <c r="D424" s="372">
        <f>SUM(D420:D423)</f>
        <v>932470</v>
      </c>
      <c r="E424" s="376">
        <f t="shared" si="129"/>
        <v>0.3586423076923077</v>
      </c>
      <c r="F424" s="266"/>
      <c r="G424" s="266"/>
      <c r="H424" s="266"/>
      <c r="I424" s="266"/>
    </row>
    <row r="425" spans="1:9" x14ac:dyDescent="0.3">
      <c r="A425" s="265"/>
      <c r="B425" s="266"/>
      <c r="C425" s="266"/>
      <c r="D425" s="266"/>
      <c r="E425" s="266"/>
      <c r="F425" s="266"/>
      <c r="G425" s="266"/>
      <c r="H425" s="266"/>
      <c r="I425" s="266"/>
    </row>
    <row r="426" spans="1:9" x14ac:dyDescent="0.3">
      <c r="A426" s="364" t="s">
        <v>308</v>
      </c>
      <c r="B426" s="363"/>
      <c r="C426" s="363"/>
      <c r="D426" s="363"/>
      <c r="E426" s="266"/>
      <c r="F426" s="266"/>
      <c r="G426" s="266"/>
      <c r="H426" s="266"/>
      <c r="I426" s="266"/>
    </row>
    <row r="427" spans="1:9" x14ac:dyDescent="0.3">
      <c r="A427" s="317" t="s">
        <v>306</v>
      </c>
      <c r="B427" s="365" t="s">
        <v>269</v>
      </c>
      <c r="C427" s="365" t="s">
        <v>272</v>
      </c>
      <c r="D427" s="277" t="s">
        <v>298</v>
      </c>
      <c r="E427" s="365" t="s">
        <v>299</v>
      </c>
      <c r="F427" s="266"/>
      <c r="G427" s="266"/>
      <c r="H427" s="266"/>
      <c r="I427" s="266"/>
    </row>
    <row r="428" spans="1:9" x14ac:dyDescent="0.3">
      <c r="A428" s="368" t="s">
        <v>307</v>
      </c>
      <c r="B428" s="369">
        <f>+C420</f>
        <v>247215</v>
      </c>
      <c r="C428" s="369">
        <f>+D15</f>
        <v>238812</v>
      </c>
      <c r="D428" s="371">
        <f t="shared" ref="D428:D431" si="130">+C428-B428</f>
        <v>-8403</v>
      </c>
      <c r="E428" s="375">
        <f t="shared" ref="E428:E432" si="131">+D428/B428</f>
        <v>-3.3990655906801774E-2</v>
      </c>
      <c r="F428" s="266"/>
      <c r="G428" s="266"/>
      <c r="H428" s="266"/>
      <c r="I428" s="266"/>
    </row>
    <row r="429" spans="1:9" x14ac:dyDescent="0.3">
      <c r="A429" s="321" t="s">
        <v>291</v>
      </c>
      <c r="B429" s="369">
        <f>+C421</f>
        <v>245293</v>
      </c>
      <c r="C429" s="369">
        <f>+D14</f>
        <v>270758</v>
      </c>
      <c r="D429" s="371">
        <f t="shared" si="130"/>
        <v>25465</v>
      </c>
      <c r="E429" s="375">
        <f t="shared" si="131"/>
        <v>0.10381462169731709</v>
      </c>
      <c r="F429" s="266"/>
      <c r="G429" s="266"/>
      <c r="H429" s="266"/>
      <c r="I429" s="266"/>
    </row>
    <row r="430" spans="1:9" x14ac:dyDescent="0.3">
      <c r="A430" s="366" t="s">
        <v>293</v>
      </c>
      <c r="B430" s="369">
        <f>+C422</f>
        <v>2812268</v>
      </c>
      <c r="C430" s="369">
        <f>+D16</f>
        <v>1758306</v>
      </c>
      <c r="D430" s="371">
        <f t="shared" si="130"/>
        <v>-1053962</v>
      </c>
      <c r="E430" s="375">
        <f t="shared" si="131"/>
        <v>-0.37477295904942204</v>
      </c>
      <c r="F430" s="266"/>
      <c r="G430" s="266"/>
      <c r="H430" s="266"/>
      <c r="I430" s="266"/>
    </row>
    <row r="431" spans="1:9" x14ac:dyDescent="0.3">
      <c r="A431" s="321" t="s">
        <v>294</v>
      </c>
      <c r="B431" s="369">
        <f>+C423</f>
        <v>227694</v>
      </c>
      <c r="C431" s="369">
        <f>+D17</f>
        <v>-74745</v>
      </c>
      <c r="D431" s="371">
        <f t="shared" si="130"/>
        <v>-302439</v>
      </c>
      <c r="E431" s="375">
        <f t="shared" si="131"/>
        <v>-1.3282695196184353</v>
      </c>
      <c r="F431" s="266"/>
      <c r="G431" s="266"/>
      <c r="H431" s="266"/>
      <c r="I431" s="266"/>
    </row>
    <row r="432" spans="1:9" x14ac:dyDescent="0.3">
      <c r="A432" s="367" t="s">
        <v>12</v>
      </c>
      <c r="B432" s="372">
        <f>SUM(B428:B431)</f>
        <v>3532470</v>
      </c>
      <c r="C432" s="372">
        <f>SUM(C428:C431)</f>
        <v>2193131</v>
      </c>
      <c r="D432" s="372">
        <f>SUM(D428:D431)</f>
        <v>-1339339</v>
      </c>
      <c r="E432" s="376">
        <f t="shared" si="131"/>
        <v>-0.37915084912256863</v>
      </c>
      <c r="F432" s="266"/>
      <c r="G432" s="266"/>
      <c r="H432" s="266"/>
      <c r="I432" s="266"/>
    </row>
    <row r="433" spans="1:9" x14ac:dyDescent="0.3">
      <c r="A433" s="265"/>
      <c r="B433" s="266"/>
      <c r="C433" s="266"/>
      <c r="D433" s="266"/>
      <c r="E433" s="266"/>
      <c r="F433" s="266"/>
      <c r="G433" s="266"/>
      <c r="H433" s="266"/>
      <c r="I433" s="266"/>
    </row>
    <row r="434" spans="1:9" x14ac:dyDescent="0.3">
      <c r="A434" s="364" t="s">
        <v>309</v>
      </c>
      <c r="B434" s="363"/>
      <c r="C434" s="363"/>
      <c r="D434" s="363"/>
      <c r="E434" s="266"/>
      <c r="F434" s="266"/>
      <c r="G434" s="266"/>
      <c r="H434" s="266"/>
      <c r="I434" s="266"/>
    </row>
    <row r="435" spans="1:9" x14ac:dyDescent="0.3">
      <c r="A435" s="317" t="s">
        <v>306</v>
      </c>
      <c r="B435" s="365" t="s">
        <v>272</v>
      </c>
      <c r="C435" s="365" t="s">
        <v>173</v>
      </c>
      <c r="D435" s="277" t="s">
        <v>298</v>
      </c>
      <c r="E435" s="365" t="s">
        <v>299</v>
      </c>
      <c r="F435" s="266"/>
      <c r="G435" s="266"/>
      <c r="H435" s="266"/>
      <c r="I435" s="266"/>
    </row>
    <row r="436" spans="1:9" x14ac:dyDescent="0.3">
      <c r="A436" s="368" t="s">
        <v>307</v>
      </c>
      <c r="B436" s="369">
        <f>+C428</f>
        <v>238812</v>
      </c>
      <c r="C436" s="369">
        <f>+E15</f>
        <v>291424</v>
      </c>
      <c r="D436" s="371">
        <f t="shared" ref="D436:D439" si="132">+C436-B436</f>
        <v>52612</v>
      </c>
      <c r="E436" s="375">
        <f t="shared" ref="E436:E440" si="133">+D436/B436</f>
        <v>0.22030718724352211</v>
      </c>
      <c r="F436" s="266"/>
      <c r="G436" s="266"/>
      <c r="H436" s="266"/>
      <c r="I436" s="266"/>
    </row>
    <row r="437" spans="1:9" x14ac:dyDescent="0.3">
      <c r="A437" s="321" t="s">
        <v>291</v>
      </c>
      <c r="B437" s="369">
        <f>+C429</f>
        <v>270758</v>
      </c>
      <c r="C437" s="369">
        <f>+E14</f>
        <v>246557</v>
      </c>
      <c r="D437" s="371">
        <f t="shared" si="132"/>
        <v>-24201</v>
      </c>
      <c r="E437" s="375">
        <f t="shared" si="133"/>
        <v>-8.9382400520021568E-2</v>
      </c>
      <c r="F437" s="266"/>
      <c r="G437" s="266"/>
      <c r="H437" s="266"/>
      <c r="I437" s="266"/>
    </row>
    <row r="438" spans="1:9" x14ac:dyDescent="0.3">
      <c r="A438" s="366" t="s">
        <v>293</v>
      </c>
      <c r="B438" s="369">
        <f>+C430</f>
        <v>1758306</v>
      </c>
      <c r="C438" s="369">
        <f>+E16</f>
        <v>1777417</v>
      </c>
      <c r="D438" s="371">
        <f t="shared" si="132"/>
        <v>19111</v>
      </c>
      <c r="E438" s="375">
        <f t="shared" si="133"/>
        <v>1.0868984124492552E-2</v>
      </c>
      <c r="F438" s="266"/>
      <c r="G438" s="266"/>
      <c r="H438" s="266"/>
      <c r="I438" s="266"/>
    </row>
    <row r="439" spans="1:9" x14ac:dyDescent="0.3">
      <c r="A439" s="321" t="s">
        <v>294</v>
      </c>
      <c r="B439" s="369">
        <f>+C431</f>
        <v>-74745</v>
      </c>
      <c r="C439" s="369">
        <f>+E17</f>
        <v>382805</v>
      </c>
      <c r="D439" s="371">
        <f t="shared" si="132"/>
        <v>457550</v>
      </c>
      <c r="E439" s="375">
        <f t="shared" si="133"/>
        <v>-6.1214796976386383</v>
      </c>
      <c r="F439" s="266"/>
      <c r="G439" s="266"/>
      <c r="H439" s="266"/>
      <c r="I439" s="266"/>
    </row>
    <row r="440" spans="1:9" x14ac:dyDescent="0.3">
      <c r="A440" s="367" t="s">
        <v>12</v>
      </c>
      <c r="B440" s="372">
        <f>SUM(B436:B439)</f>
        <v>2193131</v>
      </c>
      <c r="C440" s="372">
        <f>SUM(C436:C439)</f>
        <v>2698203</v>
      </c>
      <c r="D440" s="372">
        <f>SUM(D436:D439)</f>
        <v>505072</v>
      </c>
      <c r="E440" s="376">
        <f t="shared" si="133"/>
        <v>0.23029723258665352</v>
      </c>
      <c r="F440" s="266"/>
      <c r="G440" s="266"/>
      <c r="H440" s="266"/>
      <c r="I440" s="266"/>
    </row>
    <row r="441" spans="1:9" x14ac:dyDescent="0.3">
      <c r="A441" s="265"/>
      <c r="B441" s="266"/>
      <c r="C441" s="266"/>
      <c r="D441" s="266"/>
      <c r="E441" s="266"/>
      <c r="F441" s="266"/>
      <c r="G441" s="266"/>
      <c r="H441" s="266"/>
      <c r="I441" s="266"/>
    </row>
    <row r="442" spans="1:9" x14ac:dyDescent="0.3">
      <c r="A442" s="364" t="s">
        <v>310</v>
      </c>
      <c r="B442" s="363"/>
      <c r="C442" s="363"/>
      <c r="D442" s="363"/>
      <c r="E442" s="266"/>
      <c r="F442" s="266"/>
      <c r="G442" s="266"/>
      <c r="H442" s="266"/>
      <c r="I442" s="266"/>
    </row>
    <row r="443" spans="1:9" x14ac:dyDescent="0.3">
      <c r="A443" s="317" t="s">
        <v>306</v>
      </c>
      <c r="B443" s="365" t="s">
        <v>173</v>
      </c>
      <c r="C443" s="365" t="s">
        <v>174</v>
      </c>
      <c r="D443" s="277" t="s">
        <v>298</v>
      </c>
      <c r="E443" s="365" t="s">
        <v>299</v>
      </c>
      <c r="F443" s="266"/>
      <c r="G443" s="266"/>
      <c r="H443" s="266"/>
      <c r="I443" s="266"/>
    </row>
    <row r="444" spans="1:9" x14ac:dyDescent="0.3">
      <c r="A444" s="368" t="s">
        <v>307</v>
      </c>
      <c r="B444" s="369">
        <f>+C436</f>
        <v>291424</v>
      </c>
      <c r="C444" s="369">
        <f>+F15</f>
        <v>316019</v>
      </c>
      <c r="D444" s="371">
        <f t="shared" ref="D444:D447" si="134">+C444-B444</f>
        <v>24595</v>
      </c>
      <c r="E444" s="375">
        <f t="shared" ref="E444:E448" si="135">+D444/B444</f>
        <v>8.4395931700889423E-2</v>
      </c>
      <c r="F444" s="266"/>
      <c r="G444" s="266"/>
      <c r="H444" s="266"/>
      <c r="I444" s="266"/>
    </row>
    <row r="445" spans="1:9" x14ac:dyDescent="0.3">
      <c r="A445" s="321" t="s">
        <v>291</v>
      </c>
      <c r="B445" s="369">
        <f>+C437</f>
        <v>246557</v>
      </c>
      <c r="C445" s="369">
        <f>+F14</f>
        <v>177225</v>
      </c>
      <c r="D445" s="371">
        <f t="shared" si="134"/>
        <v>-69332</v>
      </c>
      <c r="E445" s="375">
        <f t="shared" si="135"/>
        <v>-0.28120069598510689</v>
      </c>
      <c r="F445" s="266"/>
      <c r="G445" s="266"/>
      <c r="H445" s="266"/>
      <c r="I445" s="266"/>
    </row>
    <row r="446" spans="1:9" x14ac:dyDescent="0.3">
      <c r="A446" s="366" t="s">
        <v>293</v>
      </c>
      <c r="B446" s="369">
        <f>+C438</f>
        <v>1777417</v>
      </c>
      <c r="C446" s="369">
        <f>+F16</f>
        <v>1874741</v>
      </c>
      <c r="D446" s="371">
        <f t="shared" si="134"/>
        <v>97324</v>
      </c>
      <c r="E446" s="375">
        <f t="shared" si="135"/>
        <v>5.4755862017748229E-2</v>
      </c>
      <c r="F446" s="266"/>
      <c r="G446" s="266"/>
      <c r="H446" s="266"/>
      <c r="I446" s="266"/>
    </row>
    <row r="447" spans="1:9" x14ac:dyDescent="0.3">
      <c r="A447" s="321" t="s">
        <v>294</v>
      </c>
      <c r="B447" s="369">
        <f>+C439</f>
        <v>382805</v>
      </c>
      <c r="C447" s="369">
        <f>+F17</f>
        <v>284378</v>
      </c>
      <c r="D447" s="371">
        <f t="shared" si="134"/>
        <v>-98427</v>
      </c>
      <c r="E447" s="375">
        <f t="shared" si="135"/>
        <v>-0.25712046603362027</v>
      </c>
      <c r="F447" s="266"/>
      <c r="G447" s="266"/>
      <c r="H447" s="266"/>
      <c r="I447" s="266"/>
    </row>
    <row r="448" spans="1:9" x14ac:dyDescent="0.3">
      <c r="A448" s="367" t="s">
        <v>12</v>
      </c>
      <c r="B448" s="372">
        <f>SUM(B444:B447)</f>
        <v>2698203</v>
      </c>
      <c r="C448" s="372">
        <f>SUM(C444:C447)</f>
        <v>2652363</v>
      </c>
      <c r="D448" s="372">
        <f>SUM(D444:D447)</f>
        <v>-45840</v>
      </c>
      <c r="E448" s="376">
        <f t="shared" si="135"/>
        <v>-1.6989084957655151E-2</v>
      </c>
      <c r="F448" s="266"/>
      <c r="G448" s="266"/>
      <c r="H448" s="266"/>
      <c r="I448" s="266"/>
    </row>
    <row r="449" spans="1:9" x14ac:dyDescent="0.3">
      <c r="A449" s="265"/>
      <c r="B449" s="266"/>
      <c r="C449" s="266"/>
      <c r="D449" s="266"/>
      <c r="E449" s="266"/>
      <c r="F449" s="266"/>
      <c r="G449" s="266"/>
      <c r="H449" s="266"/>
      <c r="I449" s="266"/>
    </row>
    <row r="450" spans="1:9" x14ac:dyDescent="0.3">
      <c r="A450" s="364" t="s">
        <v>311</v>
      </c>
      <c r="B450" s="363"/>
      <c r="C450" s="363"/>
      <c r="D450" s="363"/>
      <c r="E450" s="266"/>
      <c r="F450" s="266"/>
      <c r="G450" s="266"/>
      <c r="H450" s="266"/>
      <c r="I450" s="266"/>
    </row>
    <row r="451" spans="1:9" x14ac:dyDescent="0.3">
      <c r="A451" s="317" t="s">
        <v>306</v>
      </c>
      <c r="B451" s="365" t="s">
        <v>174</v>
      </c>
      <c r="C451" s="365" t="s">
        <v>198</v>
      </c>
      <c r="D451" s="277" t="s">
        <v>298</v>
      </c>
      <c r="E451" s="365" t="s">
        <v>299</v>
      </c>
      <c r="F451" s="266"/>
      <c r="G451" s="266"/>
      <c r="H451" s="266"/>
      <c r="I451" s="266"/>
    </row>
    <row r="452" spans="1:9" x14ac:dyDescent="0.3">
      <c r="A452" s="368" t="s">
        <v>307</v>
      </c>
      <c r="B452" s="369">
        <f>+C444</f>
        <v>316019</v>
      </c>
      <c r="C452" s="369">
        <f>+G15</f>
        <v>218201</v>
      </c>
      <c r="D452" s="371">
        <f t="shared" ref="D452:D455" si="136">+C452-B452</f>
        <v>-97818</v>
      </c>
      <c r="E452" s="375">
        <f t="shared" ref="E452:E456" si="137">+D452/B452</f>
        <v>-0.30953202180881528</v>
      </c>
      <c r="F452" s="266"/>
      <c r="G452" s="266"/>
      <c r="H452" s="266"/>
      <c r="I452" s="266"/>
    </row>
    <row r="453" spans="1:9" x14ac:dyDescent="0.3">
      <c r="A453" s="321" t="s">
        <v>291</v>
      </c>
      <c r="B453" s="369">
        <f>+C445</f>
        <v>177225</v>
      </c>
      <c r="C453" s="369">
        <f>+G14</f>
        <v>244224.23</v>
      </c>
      <c r="D453" s="371">
        <f t="shared" si="136"/>
        <v>66999.23000000001</v>
      </c>
      <c r="E453" s="375">
        <f t="shared" si="137"/>
        <v>0.37804615601636343</v>
      </c>
      <c r="F453" s="266"/>
      <c r="G453" s="266"/>
      <c r="H453" s="266"/>
      <c r="I453" s="266"/>
    </row>
    <row r="454" spans="1:9" x14ac:dyDescent="0.3">
      <c r="A454" s="366" t="s">
        <v>293</v>
      </c>
      <c r="B454" s="369">
        <f>+C446</f>
        <v>1874741</v>
      </c>
      <c r="C454" s="369">
        <f>+G16</f>
        <v>1855395</v>
      </c>
      <c r="D454" s="371">
        <f t="shared" si="136"/>
        <v>-19346</v>
      </c>
      <c r="E454" s="375">
        <f t="shared" si="137"/>
        <v>-1.0319292104882754E-2</v>
      </c>
      <c r="F454" s="266"/>
      <c r="G454" s="266"/>
      <c r="H454" s="266"/>
      <c r="I454" s="266"/>
    </row>
    <row r="455" spans="1:9" x14ac:dyDescent="0.3">
      <c r="A455" s="321" t="s">
        <v>294</v>
      </c>
      <c r="B455" s="369">
        <f>+C447</f>
        <v>284378</v>
      </c>
      <c r="C455" s="369">
        <f>+G17</f>
        <v>140922</v>
      </c>
      <c r="D455" s="371">
        <f t="shared" si="136"/>
        <v>-143456</v>
      </c>
      <c r="E455" s="375">
        <f t="shared" si="137"/>
        <v>-0.50445533761402073</v>
      </c>
      <c r="F455" s="266"/>
      <c r="G455" s="266"/>
      <c r="H455" s="266"/>
      <c r="I455" s="266"/>
    </row>
    <row r="456" spans="1:9" x14ac:dyDescent="0.3">
      <c r="A456" s="367" t="s">
        <v>12</v>
      </c>
      <c r="B456" s="372">
        <f>SUM(B452:B455)</f>
        <v>2652363</v>
      </c>
      <c r="C456" s="372">
        <f>SUM(C452:C455)</f>
        <v>2458742.23</v>
      </c>
      <c r="D456" s="372">
        <f>SUM(D452:D455)</f>
        <v>-193620.77</v>
      </c>
      <c r="E456" s="376">
        <f t="shared" si="137"/>
        <v>-7.2999348128442443E-2</v>
      </c>
      <c r="F456" s="266"/>
      <c r="G456" s="266"/>
      <c r="H456" s="266"/>
      <c r="I456" s="266"/>
    </row>
    <row r="457" spans="1:9" x14ac:dyDescent="0.3">
      <c r="A457" s="265"/>
      <c r="B457" s="266"/>
      <c r="C457" s="266"/>
      <c r="D457" s="266"/>
      <c r="E457" s="266"/>
      <c r="F457" s="266"/>
      <c r="G457" s="266"/>
      <c r="H457" s="266"/>
      <c r="I457" s="266"/>
    </row>
    <row r="458" spans="1:9" x14ac:dyDescent="0.3">
      <c r="A458" s="364" t="s">
        <v>312</v>
      </c>
      <c r="B458" s="363"/>
      <c r="C458" s="363"/>
      <c r="D458" s="363"/>
      <c r="E458" s="266"/>
      <c r="F458" s="266"/>
      <c r="G458" s="266"/>
      <c r="H458" s="266"/>
      <c r="I458" s="266"/>
    </row>
    <row r="459" spans="1:9" x14ac:dyDescent="0.3">
      <c r="A459" s="317" t="s">
        <v>306</v>
      </c>
      <c r="B459" s="365" t="s">
        <v>198</v>
      </c>
      <c r="C459" s="365" t="s">
        <v>199</v>
      </c>
      <c r="D459" s="277" t="s">
        <v>298</v>
      </c>
      <c r="E459" s="365" t="s">
        <v>299</v>
      </c>
      <c r="F459" s="266"/>
      <c r="G459" s="266"/>
      <c r="H459" s="266"/>
      <c r="I459" s="266"/>
    </row>
    <row r="460" spans="1:9" x14ac:dyDescent="0.3">
      <c r="A460" s="368" t="s">
        <v>307</v>
      </c>
      <c r="B460" s="369">
        <f>+C452</f>
        <v>218201</v>
      </c>
      <c r="C460" s="369">
        <f>+I15</f>
        <v>170100</v>
      </c>
      <c r="D460" s="371">
        <f t="shared" ref="D460:D463" si="138">+C460-B460</f>
        <v>-48101</v>
      </c>
      <c r="E460" s="375">
        <f t="shared" ref="E460:E464" si="139">+D460/B460</f>
        <v>-0.22044353600579283</v>
      </c>
      <c r="F460" s="266"/>
      <c r="G460" s="266"/>
      <c r="H460" s="266"/>
      <c r="I460" s="266"/>
    </row>
    <row r="461" spans="1:9" x14ac:dyDescent="0.3">
      <c r="A461" s="321" t="s">
        <v>291</v>
      </c>
      <c r="B461" s="369">
        <f>+C453</f>
        <v>244224.23</v>
      </c>
      <c r="C461" s="369">
        <f>+I14</f>
        <v>259000</v>
      </c>
      <c r="D461" s="371">
        <f t="shared" si="138"/>
        <v>14775.76999999999</v>
      </c>
      <c r="E461" s="375">
        <f t="shared" si="139"/>
        <v>6.0500835645996259E-2</v>
      </c>
      <c r="F461" s="266"/>
      <c r="G461" s="266"/>
      <c r="H461" s="266"/>
      <c r="I461" s="266"/>
    </row>
    <row r="462" spans="1:9" x14ac:dyDescent="0.3">
      <c r="A462" s="366" t="s">
        <v>293</v>
      </c>
      <c r="B462" s="369">
        <f>+C454</f>
        <v>1855395</v>
      </c>
      <c r="C462" s="369">
        <f>+I16</f>
        <v>1848061</v>
      </c>
      <c r="D462" s="371">
        <f t="shared" si="138"/>
        <v>-7334</v>
      </c>
      <c r="E462" s="375">
        <f t="shared" si="139"/>
        <v>-3.9527971132831555E-3</v>
      </c>
      <c r="F462" s="266"/>
      <c r="G462" s="266"/>
      <c r="H462" s="266"/>
      <c r="I462" s="266"/>
    </row>
    <row r="463" spans="1:9" x14ac:dyDescent="0.3">
      <c r="A463" s="321" t="s">
        <v>294</v>
      </c>
      <c r="B463" s="369">
        <f>+C455</f>
        <v>140922</v>
      </c>
      <c r="C463" s="369">
        <f>+I17</f>
        <v>112500</v>
      </c>
      <c r="D463" s="371">
        <f t="shared" si="138"/>
        <v>-28422</v>
      </c>
      <c r="E463" s="375">
        <f t="shared" si="139"/>
        <v>-0.20168603908545152</v>
      </c>
      <c r="F463" s="266"/>
      <c r="G463" s="266"/>
      <c r="H463" s="266"/>
      <c r="I463" s="266"/>
    </row>
    <row r="464" spans="1:9" x14ac:dyDescent="0.3">
      <c r="A464" s="367" t="s">
        <v>12</v>
      </c>
      <c r="B464" s="372">
        <f>SUM(B460:B463)</f>
        <v>2458742.23</v>
      </c>
      <c r="C464" s="372">
        <f>SUM(C460:C463)</f>
        <v>2389661</v>
      </c>
      <c r="D464" s="372">
        <f>SUM(D460:D463)</f>
        <v>-69081.23000000001</v>
      </c>
      <c r="E464" s="376">
        <f t="shared" si="139"/>
        <v>-2.8096166062922347E-2</v>
      </c>
      <c r="F464" s="266"/>
      <c r="G464" s="266"/>
      <c r="H464" s="266"/>
      <c r="I464" s="266"/>
    </row>
    <row r="465" spans="1:19" x14ac:dyDescent="0.3">
      <c r="A465" s="265"/>
      <c r="B465" s="266"/>
      <c r="C465" s="266"/>
      <c r="D465" s="266"/>
      <c r="E465" s="266"/>
      <c r="F465" s="266"/>
      <c r="G465" s="266"/>
      <c r="H465" s="266"/>
      <c r="I465" s="266"/>
    </row>
    <row r="466" spans="1:19" s="299" customFormat="1" x14ac:dyDescent="0.3">
      <c r="K466" s="387" t="s">
        <v>315</v>
      </c>
      <c r="L466" s="324"/>
      <c r="M466" s="324"/>
      <c r="N466" s="324"/>
      <c r="O466" s="324"/>
      <c r="P466" s="324"/>
      <c r="Q466" s="324"/>
      <c r="R466" s="324"/>
    </row>
    <row r="467" spans="1:19" s="299" customFormat="1" ht="46.8" x14ac:dyDescent="0.3">
      <c r="K467" s="276"/>
      <c r="L467" s="277" t="s">
        <v>188</v>
      </c>
      <c r="M467" s="277" t="str">
        <f>Summary!L3</f>
        <v xml:space="preserve">2013 Actual </v>
      </c>
      <c r="N467" s="277" t="str">
        <f>Summary!M3</f>
        <v xml:space="preserve">2014 Actual </v>
      </c>
      <c r="O467" s="277" t="str">
        <f>Summary!N3</f>
        <v>2015 Actual</v>
      </c>
      <c r="P467" s="277" t="str">
        <f>Summary!O3</f>
        <v>2016 Actual</v>
      </c>
      <c r="Q467" s="277" t="str">
        <f>Summary!P3</f>
        <v>2017 Actual</v>
      </c>
      <c r="R467" s="277" t="str">
        <f>Summary!Q3</f>
        <v>2018 Test Weather Normal</v>
      </c>
      <c r="S467" s="246"/>
    </row>
    <row r="468" spans="1:19" s="299" customFormat="1" x14ac:dyDescent="0.3">
      <c r="K468" s="412" t="s">
        <v>9</v>
      </c>
      <c r="L468" s="413"/>
      <c r="M468" s="413"/>
      <c r="N468" s="413"/>
      <c r="O468" s="413"/>
      <c r="P468" s="413"/>
      <c r="Q468" s="413"/>
      <c r="R468" s="413"/>
    </row>
    <row r="469" spans="1:19" s="299" customFormat="1" x14ac:dyDescent="0.3">
      <c r="K469" s="308" t="s">
        <v>60</v>
      </c>
      <c r="L469" s="311"/>
      <c r="M469" s="311">
        <f>Summary!L4</f>
        <v>730568311</v>
      </c>
      <c r="N469" s="311">
        <f>Summary!M4</f>
        <v>730490284.99000001</v>
      </c>
      <c r="O469" s="311">
        <f>Summary!N4</f>
        <v>698517377.1099999</v>
      </c>
      <c r="P469" s="311">
        <f>Summary!O4</f>
        <v>669958461.73000014</v>
      </c>
      <c r="Q469" s="311"/>
      <c r="R469" s="311"/>
    </row>
    <row r="470" spans="1:19" s="299" customFormat="1" ht="12.75" customHeight="1" x14ac:dyDescent="0.3">
      <c r="K470" s="309" t="s">
        <v>260</v>
      </c>
      <c r="L470" s="311"/>
      <c r="M470" s="311">
        <f>Summary!L5</f>
        <v>713407470.02798212</v>
      </c>
      <c r="N470" s="311">
        <f>Summary!M5</f>
        <v>737572548.30719113</v>
      </c>
      <c r="O470" s="311">
        <f>Summary!N5</f>
        <v>708683636.16478336</v>
      </c>
      <c r="P470" s="311">
        <f>Summary!O5</f>
        <v>675150954.70934606</v>
      </c>
      <c r="Q470" s="311">
        <f>Summary!P5</f>
        <v>664717808.31750035</v>
      </c>
      <c r="R470" s="311">
        <f>Summary!Q5</f>
        <v>659540193.78788912</v>
      </c>
    </row>
    <row r="471" spans="1:19" s="299" customFormat="1" ht="31.2" x14ac:dyDescent="0.3">
      <c r="K471" s="309" t="s">
        <v>261</v>
      </c>
      <c r="L471" s="307"/>
      <c r="M471" s="307">
        <f t="shared" ref="M471:P471" si="140">(M470-M469)/M469</f>
        <v>-2.3489714395808065E-2</v>
      </c>
      <c r="N471" s="307">
        <f t="shared" si="140"/>
        <v>9.6952190367433511E-3</v>
      </c>
      <c r="O471" s="307">
        <f t="shared" si="140"/>
        <v>1.4554053181675564E-2</v>
      </c>
      <c r="P471" s="307">
        <f t="shared" si="140"/>
        <v>7.7504700305413019E-3</v>
      </c>
      <c r="Q471" s="307"/>
      <c r="R471" s="307"/>
    </row>
    <row r="472" spans="1:19" s="299" customFormat="1" ht="8.1" customHeight="1" x14ac:dyDescent="0.3">
      <c r="K472" s="412"/>
      <c r="L472" s="413"/>
      <c r="M472" s="413"/>
      <c r="N472" s="413"/>
      <c r="O472" s="413"/>
      <c r="P472" s="413"/>
      <c r="Q472" s="413"/>
      <c r="R472" s="413"/>
    </row>
    <row r="473" spans="1:19" s="299" customFormat="1" x14ac:dyDescent="0.3">
      <c r="K473" s="325" t="s">
        <v>0</v>
      </c>
      <c r="L473" s="326"/>
      <c r="M473" s="255"/>
      <c r="N473" s="252"/>
      <c r="O473" s="252"/>
      <c r="P473" s="327"/>
      <c r="Q473" s="332">
        <f>'Rate Class Energy Model'!F29</f>
        <v>1.0461248909402159</v>
      </c>
      <c r="R473" s="332">
        <f>Q473</f>
        <v>1.0461248909402159</v>
      </c>
    </row>
    <row r="474" spans="1:19" s="299" customFormat="1" x14ac:dyDescent="0.3">
      <c r="K474" s="325" t="s">
        <v>262</v>
      </c>
      <c r="L474" s="311"/>
      <c r="M474" s="328"/>
      <c r="N474" s="311"/>
      <c r="O474" s="311"/>
      <c r="P474" s="311"/>
      <c r="Q474" s="311">
        <f>Q470/Q473</f>
        <v>635409609.38237321</v>
      </c>
      <c r="R474" s="311">
        <f>R470/R473</f>
        <v>630460282.03680384</v>
      </c>
    </row>
    <row r="475" spans="1:19" s="299" customFormat="1" x14ac:dyDescent="0.3">
      <c r="K475" s="325" t="s">
        <v>263</v>
      </c>
      <c r="L475" s="311"/>
      <c r="M475" s="328"/>
      <c r="N475" s="311"/>
      <c r="O475" s="311"/>
      <c r="P475" s="311"/>
      <c r="Q475" s="311" t="e">
        <f>'Rate Class Energy Model'!#REF!</f>
        <v>#REF!</v>
      </c>
      <c r="R475" s="333">
        <f>'Rate Class Energy Model'!G85</f>
        <v>6499867</v>
      </c>
    </row>
    <row r="476" spans="1:19" s="299" customFormat="1" x14ac:dyDescent="0.3">
      <c r="K476" s="325" t="s">
        <v>264</v>
      </c>
      <c r="L476" s="311"/>
      <c r="M476" s="311">
        <f>Summary!L10</f>
        <v>688244167</v>
      </c>
      <c r="N476" s="311">
        <f>Summary!M10</f>
        <v>701843127</v>
      </c>
      <c r="O476" s="311">
        <f>Summary!N10</f>
        <v>669387526</v>
      </c>
      <c r="P476" s="311">
        <f>Summary!O10</f>
        <v>636876243.92999995</v>
      </c>
      <c r="Q476" s="311" t="e">
        <f>Q474-Q475</f>
        <v>#REF!</v>
      </c>
      <c r="R476" s="311">
        <f>R474-R475</f>
        <v>623960415.03680384</v>
      </c>
    </row>
    <row r="477" spans="1:19" s="299" customFormat="1" ht="8.1" customHeight="1" x14ac:dyDescent="0.3">
      <c r="K477" s="412"/>
      <c r="L477" s="413"/>
      <c r="M477" s="413"/>
      <c r="N477" s="413"/>
      <c r="O477" s="413"/>
      <c r="P477" s="413"/>
      <c r="Q477" s="413"/>
      <c r="R477" s="413"/>
    </row>
    <row r="478" spans="1:19" s="299" customFormat="1" x14ac:dyDescent="0.3">
      <c r="K478" s="412" t="s">
        <v>265</v>
      </c>
      <c r="L478" s="413"/>
      <c r="M478" s="413"/>
      <c r="N478" s="413"/>
      <c r="O478" s="413"/>
      <c r="P478" s="413"/>
      <c r="Q478" s="413"/>
      <c r="R478" s="413"/>
    </row>
    <row r="479" spans="1:19" s="299" customFormat="1" x14ac:dyDescent="0.3">
      <c r="K479" s="412" t="str">
        <f>$B$298</f>
        <v xml:space="preserve">Residential </v>
      </c>
      <c r="L479" s="413"/>
      <c r="M479" s="413"/>
      <c r="N479" s="413"/>
      <c r="O479" s="413"/>
      <c r="P479" s="413"/>
      <c r="Q479" s="413"/>
      <c r="R479" s="413"/>
    </row>
    <row r="480" spans="1:19" s="299" customFormat="1" x14ac:dyDescent="0.3">
      <c r="K480" s="302" t="s">
        <v>50</v>
      </c>
      <c r="L480" s="244">
        <v>29271</v>
      </c>
      <c r="M480" s="244">
        <f>Summary!L14</f>
        <v>29504</v>
      </c>
      <c r="N480" s="244">
        <f>Summary!M14</f>
        <v>29514</v>
      </c>
      <c r="O480" s="244">
        <f>Summary!N14</f>
        <v>29566</v>
      </c>
      <c r="P480" s="244">
        <f>Summary!O14</f>
        <v>29620</v>
      </c>
      <c r="Q480" s="244">
        <f>Summary!P14</f>
        <v>29729</v>
      </c>
      <c r="R480" s="244">
        <f>Summary!Q14</f>
        <v>29815.501606131944</v>
      </c>
    </row>
    <row r="481" spans="11:20" s="299" customFormat="1" x14ac:dyDescent="0.3">
      <c r="K481" s="308" t="s">
        <v>51</v>
      </c>
      <c r="L481" s="244">
        <v>340561449</v>
      </c>
      <c r="M481" s="244">
        <f>Summary!L15</f>
        <v>324185392</v>
      </c>
      <c r="N481" s="244">
        <f>Summary!M15</f>
        <v>334950383</v>
      </c>
      <c r="O481" s="244">
        <f>Summary!N15</f>
        <v>310458240</v>
      </c>
      <c r="P481" s="244">
        <f>Summary!O15</f>
        <v>288746486.39999998</v>
      </c>
      <c r="Q481" s="244" t="e">
        <f>Summary!#REF!</f>
        <v>#REF!</v>
      </c>
      <c r="R481" s="244">
        <f>Summary!Q15</f>
        <v>285978989.05512553</v>
      </c>
    </row>
    <row r="482" spans="11:20" s="299" customFormat="1" ht="8.1" customHeight="1" x14ac:dyDescent="0.3">
      <c r="K482" s="412"/>
      <c r="L482" s="413"/>
      <c r="M482" s="413"/>
      <c r="N482" s="413"/>
      <c r="O482" s="413"/>
      <c r="P482" s="413"/>
      <c r="Q482" s="413"/>
      <c r="R482" s="413"/>
      <c r="S482" s="246"/>
      <c r="T482" s="246"/>
    </row>
    <row r="483" spans="11:20" s="299" customFormat="1" x14ac:dyDescent="0.3">
      <c r="K483" s="412" t="str">
        <f>$C$298</f>
        <v>General Service &lt; 50 kW</v>
      </c>
      <c r="L483" s="413"/>
      <c r="M483" s="413"/>
      <c r="N483" s="413"/>
      <c r="O483" s="413"/>
      <c r="P483" s="413"/>
      <c r="Q483" s="413"/>
      <c r="R483" s="413"/>
      <c r="S483" s="246"/>
      <c r="T483" s="246"/>
    </row>
    <row r="484" spans="11:20" s="299" customFormat="1" x14ac:dyDescent="0.3">
      <c r="K484" s="302" t="s">
        <v>50</v>
      </c>
      <c r="L484" s="244">
        <v>3401</v>
      </c>
      <c r="M484" s="244">
        <f>Summary!L18</f>
        <v>3474</v>
      </c>
      <c r="N484" s="244">
        <f>Summary!M18</f>
        <v>3464</v>
      </c>
      <c r="O484" s="244">
        <f>Summary!N18</f>
        <v>3431</v>
      </c>
      <c r="P484" s="244">
        <f>Summary!O18</f>
        <v>3414</v>
      </c>
      <c r="Q484" s="244">
        <f>Summary!P18</f>
        <v>3417</v>
      </c>
      <c r="R484" s="244">
        <f>Summary!Q18</f>
        <v>3430.7641919188468</v>
      </c>
    </row>
    <row r="485" spans="11:20" s="299" customFormat="1" x14ac:dyDescent="0.3">
      <c r="K485" s="308" t="s">
        <v>51</v>
      </c>
      <c r="L485" s="244">
        <v>102179766</v>
      </c>
      <c r="M485" s="244">
        <f>Summary!L19</f>
        <v>95827695</v>
      </c>
      <c r="N485" s="244">
        <f>Summary!M19</f>
        <v>99153426</v>
      </c>
      <c r="O485" s="244">
        <f>Summary!N19</f>
        <v>95701162</v>
      </c>
      <c r="P485" s="244">
        <f>Summary!O19</f>
        <v>92174996</v>
      </c>
      <c r="Q485" s="244" t="e">
        <f>Summary!#REF!</f>
        <v>#REF!</v>
      </c>
      <c r="R485" s="244">
        <f>Summary!Q19</f>
        <v>91654269.719868049</v>
      </c>
    </row>
    <row r="486" spans="11:20" s="299" customFormat="1" ht="8.1" customHeight="1" x14ac:dyDescent="0.3">
      <c r="K486" s="412"/>
      <c r="L486" s="413"/>
      <c r="M486" s="413"/>
      <c r="N486" s="413"/>
      <c r="O486" s="413"/>
      <c r="P486" s="413"/>
      <c r="Q486" s="413"/>
      <c r="R486" s="413"/>
    </row>
    <row r="487" spans="11:20" s="299" customFormat="1" x14ac:dyDescent="0.3">
      <c r="K487" s="412" t="str">
        <f>$D$298</f>
        <v>General Service 50 to 4,999 kW</v>
      </c>
      <c r="L487" s="413"/>
      <c r="M487" s="413"/>
      <c r="N487" s="413"/>
      <c r="O487" s="413"/>
      <c r="P487" s="413"/>
      <c r="Q487" s="413"/>
      <c r="R487" s="413"/>
    </row>
    <row r="488" spans="11:20" s="299" customFormat="1" x14ac:dyDescent="0.3">
      <c r="K488" s="302" t="s">
        <v>50</v>
      </c>
      <c r="L488" s="244">
        <v>399</v>
      </c>
      <c r="M488" s="244">
        <f>Summary!L22</f>
        <v>373</v>
      </c>
      <c r="N488" s="244">
        <f>Summary!M22</f>
        <v>370</v>
      </c>
      <c r="O488" s="244">
        <f>Summary!N22</f>
        <v>373</v>
      </c>
      <c r="P488" s="244">
        <f>Summary!O22</f>
        <v>361</v>
      </c>
      <c r="Q488" s="244">
        <f>Summary!P22</f>
        <v>361</v>
      </c>
      <c r="R488" s="244">
        <f>Summary!Q22</f>
        <v>357.17848110967191</v>
      </c>
    </row>
    <row r="489" spans="11:20" s="299" customFormat="1" x14ac:dyDescent="0.3">
      <c r="K489" s="308" t="s">
        <v>51</v>
      </c>
      <c r="L489" s="244">
        <v>251632820</v>
      </c>
      <c r="M489" s="244">
        <f>Summary!L23</f>
        <v>259048750</v>
      </c>
      <c r="N489" s="244">
        <f>Summary!M23</f>
        <v>258807830</v>
      </c>
      <c r="O489" s="244">
        <f>Summary!N23</f>
        <v>254784565</v>
      </c>
      <c r="P489" s="244">
        <f>Summary!O23</f>
        <v>249955178</v>
      </c>
      <c r="Q489" s="244" t="e">
        <f>Summary!#REF!</f>
        <v>#REF!</v>
      </c>
      <c r="R489" s="244">
        <f>Summary!Q23</f>
        <v>242774403.3919211</v>
      </c>
    </row>
    <row r="490" spans="11:20" s="299" customFormat="1" x14ac:dyDescent="0.3">
      <c r="K490" s="308" t="s">
        <v>52</v>
      </c>
      <c r="L490" s="244">
        <v>628286</v>
      </c>
      <c r="M490" s="244">
        <f>Summary!L24</f>
        <v>656137</v>
      </c>
      <c r="N490" s="244">
        <f>Summary!M24</f>
        <v>634289</v>
      </c>
      <c r="O490" s="244">
        <f>Summary!N24</f>
        <v>711311</v>
      </c>
      <c r="P490" s="244">
        <f>Summary!O24</f>
        <v>622066.30000000005</v>
      </c>
      <c r="Q490" s="244">
        <f>Summary!P24</f>
        <v>610764.1</v>
      </c>
      <c r="R490" s="244">
        <f>Summary!Q24</f>
        <v>610103.32693664508</v>
      </c>
    </row>
    <row r="491" spans="11:20" s="299" customFormat="1" ht="8.1" customHeight="1" x14ac:dyDescent="0.3">
      <c r="K491" s="412"/>
      <c r="L491" s="413"/>
      <c r="M491" s="413"/>
      <c r="N491" s="413"/>
      <c r="O491" s="413"/>
      <c r="P491" s="413"/>
      <c r="Q491" s="413"/>
      <c r="R491" s="413"/>
    </row>
    <row r="492" spans="11:20" s="299" customFormat="1" x14ac:dyDescent="0.3">
      <c r="K492" s="412" t="str">
        <f>$E$298</f>
        <v>Sentinel Lighting</v>
      </c>
      <c r="L492" s="413"/>
      <c r="M492" s="413"/>
      <c r="N492" s="413"/>
      <c r="O492" s="413"/>
      <c r="P492" s="413"/>
      <c r="Q492" s="413"/>
      <c r="R492" s="413"/>
    </row>
    <row r="493" spans="11:20" s="299" customFormat="1" x14ac:dyDescent="0.3">
      <c r="K493" s="302" t="s">
        <v>267</v>
      </c>
      <c r="L493" s="244">
        <v>387</v>
      </c>
      <c r="M493" s="244">
        <f>Summary!L27</f>
        <v>374</v>
      </c>
      <c r="N493" s="244">
        <f>Summary!M27</f>
        <v>362</v>
      </c>
      <c r="O493" s="244">
        <f>Summary!N27</f>
        <v>360</v>
      </c>
      <c r="P493" s="244">
        <f>Summary!O27</f>
        <v>362</v>
      </c>
      <c r="Q493" s="244">
        <f>Summary!P27</f>
        <v>361</v>
      </c>
      <c r="R493" s="244">
        <f>Summary!Q27</f>
        <v>354.47637329291484</v>
      </c>
    </row>
    <row r="494" spans="11:20" s="299" customFormat="1" x14ac:dyDescent="0.3">
      <c r="K494" s="308" t="s">
        <v>51</v>
      </c>
      <c r="L494" s="244">
        <v>254165</v>
      </c>
      <c r="M494" s="244">
        <f>Summary!L28</f>
        <v>237315</v>
      </c>
      <c r="N494" s="244">
        <f>Summary!M28</f>
        <v>243349</v>
      </c>
      <c r="O494" s="244">
        <f>Summary!N28</f>
        <v>235238</v>
      </c>
      <c r="P494" s="244">
        <f>Summary!O28</f>
        <v>227055.8</v>
      </c>
      <c r="Q494" s="244" t="e">
        <f>Summary!#REF!</f>
        <v>#REF!</v>
      </c>
      <c r="R494" s="244">
        <f>Summary!Q28</f>
        <v>209800.13099560147</v>
      </c>
    </row>
    <row r="495" spans="11:20" s="299" customFormat="1" x14ac:dyDescent="0.3">
      <c r="K495" s="308" t="s">
        <v>52</v>
      </c>
      <c r="L495" s="244">
        <v>710</v>
      </c>
      <c r="M495" s="244">
        <f>Summary!L29</f>
        <v>660</v>
      </c>
      <c r="N495" s="244">
        <f>Summary!M29</f>
        <v>676</v>
      </c>
      <c r="O495" s="244">
        <f>Summary!N29</f>
        <v>752</v>
      </c>
      <c r="P495" s="244">
        <f>Summary!O29</f>
        <v>630</v>
      </c>
      <c r="Q495" s="244">
        <f>Summary!P29</f>
        <v>619.20000000000005</v>
      </c>
      <c r="R495" s="244">
        <f>Summary!Q29</f>
        <v>592.51480879014923</v>
      </c>
    </row>
    <row r="496" spans="11:20" s="299" customFormat="1" ht="8.1" customHeight="1" x14ac:dyDescent="0.3">
      <c r="K496" s="412"/>
      <c r="L496" s="413"/>
      <c r="M496" s="413"/>
      <c r="N496" s="413"/>
      <c r="O496" s="413"/>
      <c r="P496" s="413"/>
      <c r="Q496" s="413"/>
      <c r="R496" s="413"/>
    </row>
    <row r="497" spans="1:30" s="299" customFormat="1" x14ac:dyDescent="0.3">
      <c r="K497" s="412" t="str">
        <f>$F$298</f>
        <v>Street Lights</v>
      </c>
      <c r="L497" s="413"/>
      <c r="M497" s="413"/>
      <c r="N497" s="413"/>
      <c r="O497" s="413"/>
      <c r="P497" s="413"/>
      <c r="Q497" s="413"/>
      <c r="R497" s="413"/>
    </row>
    <row r="498" spans="1:30" s="299" customFormat="1" x14ac:dyDescent="0.3">
      <c r="K498" s="302" t="s">
        <v>267</v>
      </c>
      <c r="L498" s="244">
        <v>8904</v>
      </c>
      <c r="M498" s="244">
        <f>Summary!L32</f>
        <v>8846</v>
      </c>
      <c r="N498" s="244">
        <f>Summary!M32</f>
        <v>8846</v>
      </c>
      <c r="O498" s="244">
        <f>Summary!N32</f>
        <v>8839</v>
      </c>
      <c r="P498" s="244">
        <f>Summary!O32</f>
        <v>8872</v>
      </c>
      <c r="Q498" s="244">
        <f>Summary!P32</f>
        <v>8070</v>
      </c>
      <c r="R498" s="244">
        <f>Summary!Q32</f>
        <v>8070</v>
      </c>
    </row>
    <row r="499" spans="1:30" s="299" customFormat="1" x14ac:dyDescent="0.3">
      <c r="K499" s="308" t="s">
        <v>51</v>
      </c>
      <c r="L499" s="244">
        <v>7907160</v>
      </c>
      <c r="M499" s="244">
        <f>Summary!L33</f>
        <v>8087592</v>
      </c>
      <c r="N499" s="244">
        <f>Summary!M33</f>
        <v>7812115</v>
      </c>
      <c r="O499" s="244">
        <f>Summary!N33</f>
        <v>7295612</v>
      </c>
      <c r="P499" s="244">
        <f>Summary!O33</f>
        <v>4869277.0999999996</v>
      </c>
      <c r="Q499" s="244" t="e">
        <f>Summary!#REF!</f>
        <v>#REF!</v>
      </c>
      <c r="R499" s="244">
        <f>Summary!Q33</f>
        <v>2398221.2999999998</v>
      </c>
    </row>
    <row r="500" spans="1:30" s="299" customFormat="1" x14ac:dyDescent="0.3">
      <c r="K500" s="308" t="s">
        <v>52</v>
      </c>
      <c r="L500" s="244">
        <v>22680</v>
      </c>
      <c r="M500" s="244">
        <f>Summary!L34</f>
        <v>21588</v>
      </c>
      <c r="N500" s="244">
        <f>Summary!M34</f>
        <v>21876</v>
      </c>
      <c r="O500" s="244">
        <f>Summary!N34</f>
        <v>21794</v>
      </c>
      <c r="P500" s="244">
        <f>Summary!O34</f>
        <v>14262.4</v>
      </c>
      <c r="Q500" s="244">
        <f>Summary!P34</f>
        <v>7030.1</v>
      </c>
      <c r="R500" s="244">
        <f>Summary!Q34</f>
        <v>7030.1</v>
      </c>
    </row>
    <row r="501" spans="1:30" s="299" customFormat="1" ht="8.1" customHeight="1" x14ac:dyDescent="0.3">
      <c r="K501" s="412"/>
      <c r="L501" s="413"/>
      <c r="M501" s="413"/>
      <c r="N501" s="413"/>
      <c r="O501" s="413"/>
      <c r="P501" s="413"/>
      <c r="Q501" s="413"/>
      <c r="R501" s="413"/>
    </row>
    <row r="502" spans="1:30" s="299" customFormat="1" x14ac:dyDescent="0.3">
      <c r="K502" s="412" t="str">
        <f>$G$298</f>
        <v xml:space="preserve">Unmetered Scattered Load </v>
      </c>
      <c r="L502" s="413"/>
      <c r="M502" s="413"/>
      <c r="N502" s="413"/>
      <c r="O502" s="413"/>
      <c r="P502" s="413"/>
      <c r="Q502" s="413"/>
      <c r="R502" s="413"/>
    </row>
    <row r="503" spans="1:30" s="299" customFormat="1" x14ac:dyDescent="0.3">
      <c r="K503" s="302" t="s">
        <v>267</v>
      </c>
      <c r="L503" s="244">
        <v>21</v>
      </c>
      <c r="M503" s="244">
        <f>Summary!L37</f>
        <v>21</v>
      </c>
      <c r="N503" s="244">
        <f>Summary!M37</f>
        <v>21</v>
      </c>
      <c r="O503" s="244">
        <f>Summary!N37</f>
        <v>21</v>
      </c>
      <c r="P503" s="244">
        <f>Summary!O37</f>
        <v>21</v>
      </c>
      <c r="Q503" s="244">
        <f>Summary!P37</f>
        <v>21</v>
      </c>
      <c r="R503" s="244">
        <f>Summary!Q37</f>
        <v>21.856426428186388</v>
      </c>
    </row>
    <row r="504" spans="1:30" s="299" customFormat="1" x14ac:dyDescent="0.3">
      <c r="K504" s="308" t="s">
        <v>51</v>
      </c>
      <c r="L504" s="244">
        <v>872889</v>
      </c>
      <c r="M504" s="244">
        <f>Summary!L38</f>
        <v>857423</v>
      </c>
      <c r="N504" s="244">
        <f>Summary!M38</f>
        <v>876024</v>
      </c>
      <c r="O504" s="244">
        <f>Summary!N38</f>
        <v>912709</v>
      </c>
      <c r="P504" s="244">
        <f>Summary!O38</f>
        <v>903250.63</v>
      </c>
      <c r="Q504" s="244" t="e">
        <f>Summary!#REF!</f>
        <v>#REF!</v>
      </c>
      <c r="R504" s="244">
        <f>Summary!Q38</f>
        <v>944731.43889360514</v>
      </c>
    </row>
    <row r="505" spans="1:30" s="299" customFormat="1" ht="8.1" customHeight="1" x14ac:dyDescent="0.3">
      <c r="K505" s="308"/>
      <c r="L505" s="331"/>
      <c r="M505" s="331"/>
      <c r="N505" s="331"/>
      <c r="O505" s="331"/>
      <c r="P505" s="331"/>
      <c r="Q505" s="331"/>
      <c r="R505" s="331"/>
    </row>
    <row r="506" spans="1:30" s="299" customFormat="1" x14ac:dyDescent="0.3">
      <c r="K506" s="412" t="s">
        <v>20</v>
      </c>
      <c r="L506" s="413"/>
      <c r="M506" s="413"/>
      <c r="N506" s="413"/>
      <c r="O506" s="413"/>
      <c r="P506" s="413"/>
      <c r="Q506" s="413"/>
      <c r="R506" s="413"/>
    </row>
    <row r="507" spans="1:30" s="299" customFormat="1" x14ac:dyDescent="0.3">
      <c r="K507" s="328" t="s">
        <v>59</v>
      </c>
      <c r="L507" s="329">
        <f>L480+L484+L488+L493++L498+L503</f>
        <v>42383</v>
      </c>
      <c r="M507" s="329">
        <f t="shared" ref="M507:R507" si="141">M480+M484+M488+M493++M498+M503</f>
        <v>42592</v>
      </c>
      <c r="N507" s="329">
        <f t="shared" si="141"/>
        <v>42577</v>
      </c>
      <c r="O507" s="329">
        <f t="shared" si="141"/>
        <v>42590</v>
      </c>
      <c r="P507" s="329">
        <f t="shared" si="141"/>
        <v>42650</v>
      </c>
      <c r="Q507" s="329">
        <f t="shared" si="141"/>
        <v>41959</v>
      </c>
      <c r="R507" s="329">
        <f t="shared" si="141"/>
        <v>42049.777078881569</v>
      </c>
    </row>
    <row r="508" spans="1:30" s="299" customFormat="1" x14ac:dyDescent="0.3">
      <c r="K508" s="330" t="s">
        <v>51</v>
      </c>
      <c r="L508" s="329">
        <f>L481+L485+L489+L494++L499+L504</f>
        <v>703408249</v>
      </c>
      <c r="M508" s="329">
        <f t="shared" ref="M508:R508" si="142">M481+M485+M489+M494++M499+M504</f>
        <v>688244167</v>
      </c>
      <c r="N508" s="329">
        <f t="shared" si="142"/>
        <v>701843127</v>
      </c>
      <c r="O508" s="329">
        <f t="shared" si="142"/>
        <v>669387526</v>
      </c>
      <c r="P508" s="329">
        <f t="shared" si="142"/>
        <v>636876243.92999995</v>
      </c>
      <c r="Q508" s="329" t="e">
        <f t="shared" si="142"/>
        <v>#REF!</v>
      </c>
      <c r="R508" s="329">
        <f t="shared" si="142"/>
        <v>623960415.03680384</v>
      </c>
    </row>
    <row r="509" spans="1:30" s="299" customFormat="1" x14ac:dyDescent="0.3">
      <c r="K509" s="325" t="s">
        <v>266</v>
      </c>
      <c r="L509" s="329">
        <f>L490+L495+L500</f>
        <v>651676</v>
      </c>
      <c r="M509" s="329">
        <f t="shared" ref="M509:R509" si="143">M490+M495+M500</f>
        <v>678385</v>
      </c>
      <c r="N509" s="329">
        <f t="shared" si="143"/>
        <v>656841</v>
      </c>
      <c r="O509" s="329">
        <f t="shared" si="143"/>
        <v>733857</v>
      </c>
      <c r="P509" s="329">
        <f t="shared" si="143"/>
        <v>636958.70000000007</v>
      </c>
      <c r="Q509" s="329">
        <f t="shared" si="143"/>
        <v>618413.39999999991</v>
      </c>
      <c r="R509" s="329">
        <f t="shared" si="143"/>
        <v>617725.94174543524</v>
      </c>
    </row>
    <row r="510" spans="1:30" x14ac:dyDescent="0.3">
      <c r="A510" s="265"/>
      <c r="B510" s="266"/>
      <c r="C510" s="266"/>
      <c r="D510" s="266"/>
      <c r="E510" s="266"/>
      <c r="F510" s="266"/>
      <c r="G510" s="266"/>
      <c r="H510" s="266"/>
      <c r="I510" s="266"/>
    </row>
    <row r="511" spans="1:30" x14ac:dyDescent="0.3">
      <c r="S511" s="267" t="s">
        <v>268</v>
      </c>
      <c r="T511" s="267"/>
      <c r="U511" s="267"/>
    </row>
    <row r="512" spans="1:30" ht="67.5" customHeight="1" x14ac:dyDescent="0.3">
      <c r="S512" s="276" t="s">
        <v>215</v>
      </c>
      <c r="T512" s="405" t="s">
        <v>216</v>
      </c>
      <c r="U512" s="406"/>
      <c r="V512" s="334" t="s">
        <v>217</v>
      </c>
      <c r="W512" s="405" t="s">
        <v>91</v>
      </c>
      <c r="X512" s="406"/>
      <c r="Y512" s="405" t="s">
        <v>270</v>
      </c>
      <c r="Z512" s="406"/>
      <c r="AA512" s="405" t="s">
        <v>218</v>
      </c>
      <c r="AB512" s="406"/>
      <c r="AC512" s="405" t="s">
        <v>219</v>
      </c>
      <c r="AD512" s="406"/>
    </row>
    <row r="513" spans="19:30" ht="19.5" customHeight="1" x14ac:dyDescent="0.3">
      <c r="S513" s="407" t="str">
        <f>F170</f>
        <v>Weather 
Normal Conversion 
Factor</v>
      </c>
      <c r="T513" s="408"/>
      <c r="U513" s="408"/>
      <c r="V513" s="408"/>
      <c r="W513" s="408"/>
      <c r="X513" s="409"/>
      <c r="Z513" s="253">
        <f>$F$182</f>
        <v>1.0136569151871879</v>
      </c>
      <c r="AA513" s="410"/>
      <c r="AB513" s="410"/>
      <c r="AC513" s="410"/>
      <c r="AD513" s="410"/>
    </row>
    <row r="514" spans="19:30" ht="46.8" x14ac:dyDescent="0.3">
      <c r="S514" s="269"/>
      <c r="T514" s="270" t="s">
        <v>188</v>
      </c>
      <c r="U514" s="270" t="s">
        <v>269</v>
      </c>
      <c r="W514" s="270" t="str">
        <f>T514</f>
        <v>2013 Board Approved</v>
      </c>
      <c r="X514" s="270" t="str">
        <f>U514</f>
        <v>2013 Actual</v>
      </c>
      <c r="Y514" s="270" t="str">
        <f>W514</f>
        <v>2013 Board Approved</v>
      </c>
      <c r="Z514" s="270" t="str">
        <f t="shared" ref="Z514:AD514" si="144">X514</f>
        <v>2013 Actual</v>
      </c>
      <c r="AA514" s="270" t="str">
        <f t="shared" si="144"/>
        <v>2013 Board Approved</v>
      </c>
      <c r="AB514" s="270" t="str">
        <f t="shared" si="144"/>
        <v>2013 Actual</v>
      </c>
      <c r="AC514" s="270" t="str">
        <f t="shared" si="144"/>
        <v>2013 Board Approved</v>
      </c>
      <c r="AD514" s="270" t="str">
        <f t="shared" si="144"/>
        <v>2013 Actual</v>
      </c>
    </row>
    <row r="515" spans="19:30" x14ac:dyDescent="0.3">
      <c r="S515" s="271" t="s">
        <v>1</v>
      </c>
      <c r="T515" s="272">
        <f>L480</f>
        <v>29271</v>
      </c>
      <c r="U515" s="272">
        <f>$M$480</f>
        <v>29504</v>
      </c>
      <c r="V515" s="273" t="s">
        <v>83</v>
      </c>
      <c r="W515" s="273">
        <f>L481</f>
        <v>340561449</v>
      </c>
      <c r="X515" s="273">
        <f>$M$481</f>
        <v>324185392</v>
      </c>
      <c r="Y515" s="273">
        <f>W515</f>
        <v>340561449</v>
      </c>
      <c r="Z515" s="273">
        <f>X515*$Z$513</f>
        <v>328612764.40346926</v>
      </c>
      <c r="AA515" s="273">
        <f>W515/T515</f>
        <v>11634.773290970585</v>
      </c>
      <c r="AB515" s="273">
        <f>X515/U515</f>
        <v>10987.845444685467</v>
      </c>
      <c r="AC515" s="273">
        <f>Y515/T515</f>
        <v>11634.773290970585</v>
      </c>
      <c r="AD515" s="273">
        <f>Z515/U515</f>
        <v>11137.905518013466</v>
      </c>
    </row>
    <row r="516" spans="19:30" x14ac:dyDescent="0.3">
      <c r="S516" s="271" t="s">
        <v>132</v>
      </c>
      <c r="T516" s="272">
        <f>L484</f>
        <v>3401</v>
      </c>
      <c r="U516" s="272">
        <f>$M$484</f>
        <v>3474</v>
      </c>
      <c r="V516" s="273" t="s">
        <v>83</v>
      </c>
      <c r="W516" s="273">
        <f>L485</f>
        <v>102179766</v>
      </c>
      <c r="X516" s="273">
        <f>$M$485</f>
        <v>95827695</v>
      </c>
      <c r="Y516" s="273">
        <f t="shared" ref="Y516:Y520" si="145">W516</f>
        <v>102179766</v>
      </c>
      <c r="Z516" s="273">
        <f t="shared" ref="Z516:Z520" si="146">X516*$Z$513</f>
        <v>97136405.703198716</v>
      </c>
      <c r="AA516" s="273">
        <f t="shared" ref="AA516:AB520" si="147">W516/T516</f>
        <v>30044.035871802411</v>
      </c>
      <c r="AB516" s="273">
        <f t="shared" si="147"/>
        <v>27584.253022452504</v>
      </c>
      <c r="AC516" s="273">
        <f t="shared" ref="AC516:AD520" si="148">Y516/T516</f>
        <v>30044.035871802411</v>
      </c>
      <c r="AD516" s="273">
        <f t="shared" si="148"/>
        <v>27960.968826482072</v>
      </c>
    </row>
    <row r="517" spans="19:30" x14ac:dyDescent="0.3">
      <c r="S517" s="366" t="s">
        <v>316</v>
      </c>
      <c r="T517" s="272">
        <f>L488</f>
        <v>399</v>
      </c>
      <c r="U517" s="272">
        <f>$M$488</f>
        <v>373</v>
      </c>
      <c r="V517" s="273" t="s">
        <v>84</v>
      </c>
      <c r="W517" s="273">
        <f>L490</f>
        <v>628286</v>
      </c>
      <c r="X517" s="273">
        <f>$M$490</f>
        <v>656137</v>
      </c>
      <c r="Y517" s="273">
        <f t="shared" si="145"/>
        <v>628286</v>
      </c>
      <c r="Z517" s="273">
        <f t="shared" si="146"/>
        <v>665097.80736017588</v>
      </c>
      <c r="AA517" s="273">
        <f t="shared" si="147"/>
        <v>1574.6516290726818</v>
      </c>
      <c r="AB517" s="273">
        <f t="shared" si="147"/>
        <v>1759.0804289544235</v>
      </c>
      <c r="AC517" s="273">
        <f t="shared" si="148"/>
        <v>1574.6516290726818</v>
      </c>
      <c r="AD517" s="273">
        <f t="shared" si="148"/>
        <v>1783.1040411800961</v>
      </c>
    </row>
    <row r="518" spans="19:30" x14ac:dyDescent="0.3">
      <c r="S518" s="271" t="s">
        <v>147</v>
      </c>
      <c r="T518" s="272">
        <f>L493</f>
        <v>387</v>
      </c>
      <c r="U518" s="272">
        <f>$M$493</f>
        <v>374</v>
      </c>
      <c r="V518" s="273" t="s">
        <v>84</v>
      </c>
      <c r="W518" s="273">
        <f>L495</f>
        <v>710</v>
      </c>
      <c r="X518" s="273">
        <f>$M$495</f>
        <v>660</v>
      </c>
      <c r="Y518" s="273">
        <f t="shared" si="145"/>
        <v>710</v>
      </c>
      <c r="Z518" s="273">
        <f t="shared" si="146"/>
        <v>669.01356402354406</v>
      </c>
      <c r="AA518" s="273">
        <f t="shared" si="147"/>
        <v>1.8346253229974161</v>
      </c>
      <c r="AB518" s="273">
        <f t="shared" si="147"/>
        <v>1.7647058823529411</v>
      </c>
      <c r="AC518" s="273">
        <f t="shared" si="148"/>
        <v>1.8346253229974161</v>
      </c>
      <c r="AD518" s="273">
        <f t="shared" si="148"/>
        <v>1.7888063209185669</v>
      </c>
    </row>
    <row r="519" spans="19:30" x14ac:dyDescent="0.3">
      <c r="S519" s="271" t="s">
        <v>66</v>
      </c>
      <c r="T519" s="272">
        <f>L498</f>
        <v>8904</v>
      </c>
      <c r="U519" s="272">
        <f>$M$498</f>
        <v>8846</v>
      </c>
      <c r="V519" s="273" t="s">
        <v>84</v>
      </c>
      <c r="W519" s="273">
        <f>L500</f>
        <v>22680</v>
      </c>
      <c r="X519" s="273">
        <f>$M$500</f>
        <v>21588</v>
      </c>
      <c r="Y519" s="273">
        <f t="shared" si="145"/>
        <v>22680</v>
      </c>
      <c r="Z519" s="273">
        <f t="shared" si="146"/>
        <v>21882.825485061014</v>
      </c>
      <c r="AA519" s="273">
        <f t="shared" si="147"/>
        <v>2.5471698113207548</v>
      </c>
      <c r="AB519" s="273">
        <f t="shared" si="147"/>
        <v>2.4404250508704499</v>
      </c>
      <c r="AC519" s="273">
        <f t="shared" si="148"/>
        <v>2.5471698113207548</v>
      </c>
      <c r="AD519" s="273">
        <f t="shared" si="148"/>
        <v>2.4737537288108764</v>
      </c>
    </row>
    <row r="520" spans="19:30" x14ac:dyDescent="0.3">
      <c r="S520" s="271" t="s">
        <v>148</v>
      </c>
      <c r="T520" s="272">
        <f>L503</f>
        <v>21</v>
      </c>
      <c r="U520" s="272">
        <f>$M$503</f>
        <v>21</v>
      </c>
      <c r="V520" s="273" t="s">
        <v>83</v>
      </c>
      <c r="W520" s="273">
        <f>L504</f>
        <v>872889</v>
      </c>
      <c r="X520" s="273">
        <f>$M$504</f>
        <v>857423</v>
      </c>
      <c r="Y520" s="273">
        <f t="shared" si="145"/>
        <v>872889</v>
      </c>
      <c r="Z520" s="273">
        <f t="shared" si="146"/>
        <v>869132.7531905442</v>
      </c>
      <c r="AA520" s="273">
        <f t="shared" si="147"/>
        <v>41566.142857142855</v>
      </c>
      <c r="AB520" s="273">
        <f t="shared" si="147"/>
        <v>40829.666666666664</v>
      </c>
      <c r="AC520" s="273">
        <f t="shared" si="148"/>
        <v>41566.142857142855</v>
      </c>
      <c r="AD520" s="273">
        <f t="shared" si="148"/>
        <v>41387.273961454484</v>
      </c>
    </row>
    <row r="521" spans="19:30" x14ac:dyDescent="0.3">
      <c r="S521" s="271" t="s">
        <v>12</v>
      </c>
      <c r="T521" s="272">
        <f>SUM(T515:T520)</f>
        <v>42383</v>
      </c>
      <c r="U521" s="272">
        <f>SUM(U515:U520)</f>
        <v>42592</v>
      </c>
      <c r="V521" s="274"/>
      <c r="W521" s="274"/>
      <c r="X521" s="274"/>
      <c r="Y521" s="274"/>
      <c r="Z521" s="274"/>
      <c r="AA521" s="274"/>
      <c r="AB521" s="274"/>
      <c r="AC521" s="274"/>
      <c r="AD521" s="274"/>
    </row>
    <row r="522" spans="19:30" x14ac:dyDescent="0.3">
      <c r="S522" s="228"/>
      <c r="T522" s="411" t="s">
        <v>161</v>
      </c>
      <c r="U522" s="411"/>
      <c r="V522" s="279"/>
      <c r="W522" s="411" t="s">
        <v>161</v>
      </c>
      <c r="X522" s="411"/>
      <c r="Y522" s="411" t="s">
        <v>161</v>
      </c>
      <c r="Z522" s="411"/>
      <c r="AA522" s="411" t="s">
        <v>161</v>
      </c>
      <c r="AB522" s="411"/>
      <c r="AC522" s="411" t="s">
        <v>161</v>
      </c>
      <c r="AD522" s="411"/>
    </row>
    <row r="523" spans="19:30" x14ac:dyDescent="0.3">
      <c r="S523" s="275" t="s">
        <v>1</v>
      </c>
      <c r="T523" s="404">
        <f t="shared" ref="T523:T528" si="149">U515-T515</f>
        <v>233</v>
      </c>
      <c r="U523" s="404"/>
      <c r="V523" s="280" t="str">
        <f>V515</f>
        <v>kWh</v>
      </c>
      <c r="W523" s="404">
        <f t="shared" ref="W523:W528" si="150">X515-W515</f>
        <v>-16376057</v>
      </c>
      <c r="X523" s="404"/>
      <c r="Y523" s="404">
        <f t="shared" ref="Y523:Y528" si="151">Z515-Y515</f>
        <v>-11948684.596530735</v>
      </c>
      <c r="Z523" s="404"/>
      <c r="AA523" s="404">
        <f t="shared" ref="AA523:AA528" si="152">AB515-AA515</f>
        <v>-646.92784628511799</v>
      </c>
      <c r="AB523" s="404"/>
      <c r="AC523" s="404">
        <f t="shared" ref="AC523:AC528" si="153">AD515-AC515</f>
        <v>-496.86777295711909</v>
      </c>
      <c r="AD523" s="404"/>
    </row>
    <row r="524" spans="19:30" x14ac:dyDescent="0.3">
      <c r="S524" s="275" t="s">
        <v>132</v>
      </c>
      <c r="T524" s="404">
        <f t="shared" si="149"/>
        <v>73</v>
      </c>
      <c r="U524" s="404"/>
      <c r="V524" s="280" t="str">
        <f t="shared" ref="V524:V528" si="154">V516</f>
        <v>kWh</v>
      </c>
      <c r="W524" s="404">
        <f t="shared" si="150"/>
        <v>-6352071</v>
      </c>
      <c r="X524" s="404"/>
      <c r="Y524" s="404">
        <f t="shared" si="151"/>
        <v>-5043360.296801284</v>
      </c>
      <c r="Z524" s="404"/>
      <c r="AA524" s="404">
        <f t="shared" si="152"/>
        <v>-2459.7828493499073</v>
      </c>
      <c r="AB524" s="404"/>
      <c r="AC524" s="404">
        <f t="shared" si="153"/>
        <v>-2083.0670453203384</v>
      </c>
      <c r="AD524" s="404"/>
    </row>
    <row r="525" spans="19:30" x14ac:dyDescent="0.3">
      <c r="S525" s="366" t="s">
        <v>316</v>
      </c>
      <c r="T525" s="404">
        <f t="shared" si="149"/>
        <v>-26</v>
      </c>
      <c r="U525" s="404"/>
      <c r="V525" s="280" t="str">
        <f t="shared" si="154"/>
        <v>kW</v>
      </c>
      <c r="W525" s="404">
        <f t="shared" si="150"/>
        <v>27851</v>
      </c>
      <c r="X525" s="404"/>
      <c r="Y525" s="404">
        <f t="shared" si="151"/>
        <v>36811.807360175881</v>
      </c>
      <c r="Z525" s="404"/>
      <c r="AA525" s="404">
        <f t="shared" si="152"/>
        <v>184.42879988174172</v>
      </c>
      <c r="AB525" s="404"/>
      <c r="AC525" s="404">
        <f t="shared" si="153"/>
        <v>208.45241210741437</v>
      </c>
      <c r="AD525" s="404"/>
    </row>
    <row r="526" spans="19:30" x14ac:dyDescent="0.3">
      <c r="S526" s="275" t="s">
        <v>147</v>
      </c>
      <c r="T526" s="404">
        <f t="shared" si="149"/>
        <v>-13</v>
      </c>
      <c r="U526" s="404"/>
      <c r="V526" s="280" t="str">
        <f t="shared" si="154"/>
        <v>kW</v>
      </c>
      <c r="W526" s="404">
        <f t="shared" si="150"/>
        <v>-50</v>
      </c>
      <c r="X526" s="404"/>
      <c r="Y526" s="404">
        <f t="shared" si="151"/>
        <v>-40.986435976455937</v>
      </c>
      <c r="Z526" s="404"/>
      <c r="AA526" s="404">
        <f t="shared" si="152"/>
        <v>-6.9919440644474973E-2</v>
      </c>
      <c r="AB526" s="404"/>
      <c r="AC526" s="404">
        <f t="shared" si="153"/>
        <v>-4.5819002078849147E-2</v>
      </c>
      <c r="AD526" s="404"/>
    </row>
    <row r="527" spans="19:30" x14ac:dyDescent="0.3">
      <c r="S527" s="275" t="s">
        <v>66</v>
      </c>
      <c r="T527" s="404">
        <f t="shared" si="149"/>
        <v>-58</v>
      </c>
      <c r="U527" s="404"/>
      <c r="V527" s="280" t="str">
        <f t="shared" si="154"/>
        <v>kW</v>
      </c>
      <c r="W527" s="404">
        <f t="shared" si="150"/>
        <v>-1092</v>
      </c>
      <c r="X527" s="404"/>
      <c r="Y527" s="404">
        <f t="shared" si="151"/>
        <v>-797.17451493898625</v>
      </c>
      <c r="Z527" s="404"/>
      <c r="AA527" s="404">
        <f t="shared" si="152"/>
        <v>-0.1067447604503049</v>
      </c>
      <c r="AB527" s="404"/>
      <c r="AC527" s="404">
        <f t="shared" si="153"/>
        <v>-7.3416082509878411E-2</v>
      </c>
      <c r="AD527" s="404"/>
    </row>
    <row r="528" spans="19:30" x14ac:dyDescent="0.3">
      <c r="S528" s="275" t="s">
        <v>148</v>
      </c>
      <c r="T528" s="404">
        <f t="shared" si="149"/>
        <v>0</v>
      </c>
      <c r="U528" s="404"/>
      <c r="V528" s="280" t="str">
        <f t="shared" si="154"/>
        <v>kWh</v>
      </c>
      <c r="W528" s="404">
        <f t="shared" si="150"/>
        <v>-15466</v>
      </c>
      <c r="X528" s="404"/>
      <c r="Y528" s="404">
        <f t="shared" si="151"/>
        <v>-3756.2468094557989</v>
      </c>
      <c r="Z528" s="404"/>
      <c r="AA528" s="404">
        <f t="shared" si="152"/>
        <v>-736.47619047619082</v>
      </c>
      <c r="AB528" s="404"/>
      <c r="AC528" s="404">
        <f t="shared" si="153"/>
        <v>-178.86889568837069</v>
      </c>
      <c r="AD528" s="404"/>
    </row>
    <row r="530" spans="19:30" x14ac:dyDescent="0.3">
      <c r="S530" s="278" t="s">
        <v>271</v>
      </c>
      <c r="T530" s="278"/>
      <c r="U530" s="278"/>
    </row>
    <row r="531" spans="19:30" ht="71.25" customHeight="1" x14ac:dyDescent="0.3">
      <c r="S531" s="276" t="s">
        <v>215</v>
      </c>
      <c r="T531" s="405" t="s">
        <v>216</v>
      </c>
      <c r="U531" s="406"/>
      <c r="V531" s="334" t="s">
        <v>217</v>
      </c>
      <c r="W531" s="405" t="s">
        <v>91</v>
      </c>
      <c r="X531" s="406"/>
      <c r="Y531" s="405" t="s">
        <v>270</v>
      </c>
      <c r="Z531" s="406"/>
      <c r="AA531" s="405" t="s">
        <v>218</v>
      </c>
      <c r="AB531" s="406"/>
      <c r="AC531" s="405" t="s">
        <v>219</v>
      </c>
      <c r="AD531" s="406"/>
    </row>
    <row r="532" spans="19:30" x14ac:dyDescent="0.3">
      <c r="S532" s="407" t="str">
        <f>S513</f>
        <v>Weather 
Normal Conversion 
Factor</v>
      </c>
      <c r="T532" s="408"/>
      <c r="U532" s="408"/>
      <c r="V532" s="408"/>
      <c r="W532" s="408"/>
      <c r="X532" s="409"/>
      <c r="Y532" s="253">
        <f>Z513</f>
        <v>1.0136569151871879</v>
      </c>
      <c r="Z532" s="253">
        <f>$F$183</f>
        <v>0.95933306994840406</v>
      </c>
      <c r="AA532" s="410"/>
      <c r="AB532" s="410"/>
      <c r="AC532" s="410"/>
      <c r="AD532" s="410"/>
    </row>
    <row r="533" spans="19:30" ht="31.2" x14ac:dyDescent="0.3">
      <c r="S533" s="269"/>
      <c r="T533" s="270" t="s">
        <v>269</v>
      </c>
      <c r="U533" s="270" t="s">
        <v>272</v>
      </c>
      <c r="W533" s="270" t="str">
        <f>T533</f>
        <v>2013 Actual</v>
      </c>
      <c r="X533" s="270" t="str">
        <f>U533</f>
        <v>2014 Actual</v>
      </c>
      <c r="Y533" s="270" t="str">
        <f>W533</f>
        <v>2013 Actual</v>
      </c>
      <c r="Z533" s="270" t="str">
        <f t="shared" ref="Z533" si="155">X533</f>
        <v>2014 Actual</v>
      </c>
      <c r="AA533" s="270" t="str">
        <f t="shared" ref="AA533" si="156">Y533</f>
        <v>2013 Actual</v>
      </c>
      <c r="AB533" s="270" t="str">
        <f t="shared" ref="AB533" si="157">Z533</f>
        <v>2014 Actual</v>
      </c>
      <c r="AC533" s="270" t="str">
        <f t="shared" ref="AC533" si="158">AA533</f>
        <v>2013 Actual</v>
      </c>
      <c r="AD533" s="270" t="str">
        <f t="shared" ref="AD533" si="159">AB533</f>
        <v>2014 Actual</v>
      </c>
    </row>
    <row r="534" spans="19:30" x14ac:dyDescent="0.3">
      <c r="S534" s="271" t="s">
        <v>1</v>
      </c>
      <c r="T534" s="272">
        <f>$M$480</f>
        <v>29504</v>
      </c>
      <c r="U534" s="272">
        <f>$N$480</f>
        <v>29514</v>
      </c>
      <c r="V534" s="273" t="s">
        <v>83</v>
      </c>
      <c r="W534" s="273">
        <f>$M$481</f>
        <v>324185392</v>
      </c>
      <c r="X534" s="273">
        <f>$N$481</f>
        <v>334950383</v>
      </c>
      <c r="Y534" s="273">
        <f>W534*Y532</f>
        <v>328612764.40346926</v>
      </c>
      <c r="Z534" s="273">
        <f>X534*Z532</f>
        <v>321328979.20378375</v>
      </c>
      <c r="AA534" s="273">
        <f>W534/T534</f>
        <v>10987.845444685467</v>
      </c>
      <c r="AB534" s="273">
        <f>X534/U534</f>
        <v>11348.864369451785</v>
      </c>
      <c r="AC534" s="273">
        <f>Y534/T534</f>
        <v>11137.905518013466</v>
      </c>
      <c r="AD534" s="273">
        <f>Z534/U534</f>
        <v>10887.340895974241</v>
      </c>
    </row>
    <row r="535" spans="19:30" x14ac:dyDescent="0.3">
      <c r="S535" s="271" t="s">
        <v>132</v>
      </c>
      <c r="T535" s="272">
        <f>$M$484</f>
        <v>3474</v>
      </c>
      <c r="U535" s="272">
        <f>$N$484</f>
        <v>3464</v>
      </c>
      <c r="V535" s="273" t="s">
        <v>83</v>
      </c>
      <c r="W535" s="273">
        <f>$M$485</f>
        <v>95827695</v>
      </c>
      <c r="X535" s="273">
        <f>$N$485</f>
        <v>99153426</v>
      </c>
      <c r="Y535" s="273">
        <f>W535*Y532</f>
        <v>97136405.703198716</v>
      </c>
      <c r="Z535" s="273">
        <f>X535*Z532</f>
        <v>95121160.560481906</v>
      </c>
      <c r="AA535" s="273">
        <f t="shared" ref="AA535:AA539" si="160">W535/T535</f>
        <v>27584.253022452504</v>
      </c>
      <c r="AB535" s="273">
        <f t="shared" ref="AB535:AB539" si="161">X535/U535</f>
        <v>28623.968244803695</v>
      </c>
      <c r="AC535" s="273">
        <f t="shared" ref="AC535:AC539" si="162">Y535/T535</f>
        <v>27960.968826482072</v>
      </c>
      <c r="AD535" s="273">
        <f t="shared" ref="AD535:AD539" si="163">Z535/U535</f>
        <v>27459.919330393161</v>
      </c>
    </row>
    <row r="536" spans="19:30" x14ac:dyDescent="0.3">
      <c r="S536" s="366" t="s">
        <v>316</v>
      </c>
      <c r="T536" s="272">
        <f>$M$488</f>
        <v>373</v>
      </c>
      <c r="U536" s="272">
        <f>$N$488</f>
        <v>370</v>
      </c>
      <c r="V536" s="273" t="s">
        <v>84</v>
      </c>
      <c r="W536" s="273">
        <f>$M$490</f>
        <v>656137</v>
      </c>
      <c r="X536" s="273">
        <f>$N$490</f>
        <v>634289</v>
      </c>
      <c r="Y536" s="273">
        <f>W536*Y532</f>
        <v>665097.80736017588</v>
      </c>
      <c r="Z536" s="273">
        <f>X536*Z532</f>
        <v>608494.41360450326</v>
      </c>
      <c r="AA536" s="273">
        <f t="shared" si="160"/>
        <v>1759.0804289544235</v>
      </c>
      <c r="AB536" s="273">
        <f t="shared" si="161"/>
        <v>1714.2945945945946</v>
      </c>
      <c r="AC536" s="273">
        <f t="shared" si="162"/>
        <v>1783.1040411800961</v>
      </c>
      <c r="AD536" s="273">
        <f t="shared" si="163"/>
        <v>1644.5794962283871</v>
      </c>
    </row>
    <row r="537" spans="19:30" x14ac:dyDescent="0.3">
      <c r="S537" s="271" t="s">
        <v>147</v>
      </c>
      <c r="T537" s="272">
        <f>$M$493</f>
        <v>374</v>
      </c>
      <c r="U537" s="272">
        <f>$N$493</f>
        <v>362</v>
      </c>
      <c r="V537" s="273" t="s">
        <v>84</v>
      </c>
      <c r="W537" s="273">
        <f>$M$495</f>
        <v>660</v>
      </c>
      <c r="X537" s="273">
        <f>$N$495</f>
        <v>676</v>
      </c>
      <c r="Y537" s="273">
        <f>W537*Y532</f>
        <v>669.01356402354406</v>
      </c>
      <c r="Z537" s="273">
        <f>X537*Z532</f>
        <v>648.5091552851211</v>
      </c>
      <c r="AA537" s="273">
        <f t="shared" si="160"/>
        <v>1.7647058823529411</v>
      </c>
      <c r="AB537" s="273">
        <f t="shared" si="161"/>
        <v>1.867403314917127</v>
      </c>
      <c r="AC537" s="273">
        <f t="shared" si="162"/>
        <v>1.7888063209185669</v>
      </c>
      <c r="AD537" s="273">
        <f t="shared" si="163"/>
        <v>1.7914617549312737</v>
      </c>
    </row>
    <row r="538" spans="19:30" x14ac:dyDescent="0.3">
      <c r="S538" s="271" t="s">
        <v>66</v>
      </c>
      <c r="T538" s="272">
        <f>$M$498</f>
        <v>8846</v>
      </c>
      <c r="U538" s="272">
        <f>$N$498</f>
        <v>8846</v>
      </c>
      <c r="V538" s="273" t="s">
        <v>84</v>
      </c>
      <c r="W538" s="273">
        <f>$M$500</f>
        <v>21588</v>
      </c>
      <c r="X538" s="273">
        <f>$N$500</f>
        <v>21876</v>
      </c>
      <c r="Y538" s="273">
        <f>W538*Y532</f>
        <v>21882.825485061014</v>
      </c>
      <c r="Z538" s="273">
        <f>X538*Z532</f>
        <v>20986.370238191288</v>
      </c>
      <c r="AA538" s="273">
        <f t="shared" si="160"/>
        <v>2.4404250508704499</v>
      </c>
      <c r="AB538" s="273">
        <f t="shared" si="161"/>
        <v>2.4729821388198054</v>
      </c>
      <c r="AC538" s="273">
        <f t="shared" si="162"/>
        <v>2.4737537288108764</v>
      </c>
      <c r="AD538" s="273">
        <f t="shared" si="163"/>
        <v>2.3724135471615746</v>
      </c>
    </row>
    <row r="539" spans="19:30" x14ac:dyDescent="0.3">
      <c r="S539" s="271" t="s">
        <v>148</v>
      </c>
      <c r="T539" s="272">
        <f>$M$503</f>
        <v>21</v>
      </c>
      <c r="U539" s="272">
        <f>$N$503</f>
        <v>21</v>
      </c>
      <c r="V539" s="273" t="s">
        <v>83</v>
      </c>
      <c r="W539" s="273">
        <f>$M$504</f>
        <v>857423</v>
      </c>
      <c r="X539" s="273">
        <f>$N$504</f>
        <v>876024</v>
      </c>
      <c r="Y539" s="273">
        <f>W539*Y532</f>
        <v>869132.7531905442</v>
      </c>
      <c r="Z539" s="273">
        <f>X539*Z532</f>
        <v>840398.79326848069</v>
      </c>
      <c r="AA539" s="273">
        <f t="shared" si="160"/>
        <v>40829.666666666664</v>
      </c>
      <c r="AB539" s="273">
        <f t="shared" si="161"/>
        <v>41715.428571428572</v>
      </c>
      <c r="AC539" s="273">
        <f t="shared" si="162"/>
        <v>41387.273961454484</v>
      </c>
      <c r="AD539" s="273">
        <f t="shared" si="163"/>
        <v>40018.990155641935</v>
      </c>
    </row>
    <row r="540" spans="19:30" x14ac:dyDescent="0.3">
      <c r="S540" s="271" t="s">
        <v>12</v>
      </c>
      <c r="T540" s="272">
        <f>SUM(T534:T539)</f>
        <v>42592</v>
      </c>
      <c r="U540" s="272">
        <f>SUM(U534:U539)</f>
        <v>42577</v>
      </c>
      <c r="V540" s="274"/>
      <c r="W540" s="274"/>
      <c r="X540" s="274"/>
      <c r="Y540" s="274"/>
      <c r="Z540" s="274"/>
      <c r="AA540" s="274"/>
      <c r="AB540" s="274"/>
      <c r="AC540" s="274"/>
      <c r="AD540" s="274"/>
    </row>
    <row r="541" spans="19:30" x14ac:dyDescent="0.3">
      <c r="S541" s="228"/>
      <c r="T541" s="411" t="s">
        <v>161</v>
      </c>
      <c r="U541" s="411"/>
      <c r="V541" s="279"/>
      <c r="W541" s="411" t="s">
        <v>161</v>
      </c>
      <c r="X541" s="411"/>
      <c r="Y541" s="411" t="s">
        <v>161</v>
      </c>
      <c r="Z541" s="411"/>
      <c r="AA541" s="411" t="s">
        <v>161</v>
      </c>
      <c r="AB541" s="411"/>
      <c r="AC541" s="411" t="s">
        <v>161</v>
      </c>
      <c r="AD541" s="411"/>
    </row>
    <row r="542" spans="19:30" x14ac:dyDescent="0.3">
      <c r="S542" s="275" t="s">
        <v>1</v>
      </c>
      <c r="T542" s="404">
        <f t="shared" ref="T542:T547" si="164">U534-T534</f>
        <v>10</v>
      </c>
      <c r="U542" s="404"/>
      <c r="V542" s="280" t="str">
        <f>V534</f>
        <v>kWh</v>
      </c>
      <c r="W542" s="404">
        <f t="shared" ref="W542:W547" si="165">X534-W534</f>
        <v>10764991</v>
      </c>
      <c r="X542" s="404"/>
      <c r="Y542" s="404">
        <f t="shared" ref="Y542:Y547" si="166">Z534-Y534</f>
        <v>-7283785.199685514</v>
      </c>
      <c r="Z542" s="404"/>
      <c r="AA542" s="404">
        <f t="shared" ref="AA542:AA547" si="167">AB534-AA534</f>
        <v>361.01892476631838</v>
      </c>
      <c r="AB542" s="404"/>
      <c r="AC542" s="404">
        <f t="shared" ref="AC542:AC547" si="168">AD534-AC534</f>
        <v>-250.56462203922456</v>
      </c>
      <c r="AD542" s="404"/>
    </row>
    <row r="543" spans="19:30" x14ac:dyDescent="0.3">
      <c r="S543" s="275" t="s">
        <v>132</v>
      </c>
      <c r="T543" s="404">
        <f t="shared" si="164"/>
        <v>-10</v>
      </c>
      <c r="U543" s="404"/>
      <c r="V543" s="280" t="str">
        <f t="shared" ref="V543:V547" si="169">V535</f>
        <v>kWh</v>
      </c>
      <c r="W543" s="404">
        <f t="shared" si="165"/>
        <v>3325731</v>
      </c>
      <c r="X543" s="404"/>
      <c r="Y543" s="404">
        <f t="shared" si="166"/>
        <v>-2015245.1427168101</v>
      </c>
      <c r="Z543" s="404"/>
      <c r="AA543" s="404">
        <f t="shared" si="167"/>
        <v>1039.7152223511912</v>
      </c>
      <c r="AB543" s="404"/>
      <c r="AC543" s="404">
        <f t="shared" si="168"/>
        <v>-501.04949608891184</v>
      </c>
      <c r="AD543" s="404"/>
    </row>
    <row r="544" spans="19:30" x14ac:dyDescent="0.3">
      <c r="S544" s="366" t="s">
        <v>316</v>
      </c>
      <c r="T544" s="404">
        <f t="shared" si="164"/>
        <v>-3</v>
      </c>
      <c r="U544" s="404"/>
      <c r="V544" s="280" t="str">
        <f t="shared" si="169"/>
        <v>kW</v>
      </c>
      <c r="W544" s="404">
        <f t="shared" si="165"/>
        <v>-21848</v>
      </c>
      <c r="X544" s="404"/>
      <c r="Y544" s="404">
        <f t="shared" si="166"/>
        <v>-56603.393755672616</v>
      </c>
      <c r="Z544" s="404"/>
      <c r="AA544" s="404">
        <f t="shared" si="167"/>
        <v>-44.785834359828868</v>
      </c>
      <c r="AB544" s="404"/>
      <c r="AC544" s="404">
        <f t="shared" si="168"/>
        <v>-138.524544951709</v>
      </c>
      <c r="AD544" s="404"/>
    </row>
    <row r="545" spans="19:30" x14ac:dyDescent="0.3">
      <c r="S545" s="275" t="s">
        <v>147</v>
      </c>
      <c r="T545" s="404">
        <f t="shared" si="164"/>
        <v>-12</v>
      </c>
      <c r="U545" s="404"/>
      <c r="V545" s="280" t="str">
        <f t="shared" si="169"/>
        <v>kW</v>
      </c>
      <c r="W545" s="404">
        <f t="shared" si="165"/>
        <v>16</v>
      </c>
      <c r="X545" s="404"/>
      <c r="Y545" s="404">
        <f t="shared" si="166"/>
        <v>-20.504408738422967</v>
      </c>
      <c r="Z545" s="404"/>
      <c r="AA545" s="404">
        <f t="shared" si="167"/>
        <v>0.10269743256418584</v>
      </c>
      <c r="AB545" s="404"/>
      <c r="AC545" s="404">
        <f t="shared" si="168"/>
        <v>2.6554340127067366E-3</v>
      </c>
      <c r="AD545" s="404"/>
    </row>
    <row r="546" spans="19:30" x14ac:dyDescent="0.3">
      <c r="S546" s="275" t="s">
        <v>66</v>
      </c>
      <c r="T546" s="404">
        <f t="shared" si="164"/>
        <v>0</v>
      </c>
      <c r="U546" s="404"/>
      <c r="V546" s="280" t="str">
        <f t="shared" si="169"/>
        <v>kW</v>
      </c>
      <c r="W546" s="404">
        <f t="shared" si="165"/>
        <v>288</v>
      </c>
      <c r="X546" s="404"/>
      <c r="Y546" s="404">
        <f t="shared" si="166"/>
        <v>-896.45524686972567</v>
      </c>
      <c r="Z546" s="404"/>
      <c r="AA546" s="404">
        <f t="shared" si="167"/>
        <v>3.2557087949355523E-2</v>
      </c>
      <c r="AB546" s="404"/>
      <c r="AC546" s="404">
        <f t="shared" si="168"/>
        <v>-0.10134018164930181</v>
      </c>
      <c r="AD546" s="404"/>
    </row>
    <row r="547" spans="19:30" x14ac:dyDescent="0.3">
      <c r="S547" s="275" t="s">
        <v>148</v>
      </c>
      <c r="T547" s="404">
        <f t="shared" si="164"/>
        <v>0</v>
      </c>
      <c r="U547" s="404"/>
      <c r="V547" s="280" t="str">
        <f t="shared" si="169"/>
        <v>kWh</v>
      </c>
      <c r="W547" s="404">
        <f t="shared" si="165"/>
        <v>18601</v>
      </c>
      <c r="X547" s="404"/>
      <c r="Y547" s="404">
        <f t="shared" si="166"/>
        <v>-28733.959922063514</v>
      </c>
      <c r="Z547" s="404"/>
      <c r="AA547" s="404">
        <f t="shared" si="167"/>
        <v>885.76190476190823</v>
      </c>
      <c r="AB547" s="404"/>
      <c r="AC547" s="404">
        <f t="shared" si="168"/>
        <v>-1368.283805812549</v>
      </c>
      <c r="AD547" s="404"/>
    </row>
    <row r="549" spans="19:30" x14ac:dyDescent="0.3">
      <c r="S549" s="278" t="s">
        <v>273</v>
      </c>
      <c r="T549" s="278"/>
      <c r="U549" s="278"/>
    </row>
    <row r="550" spans="19:30" ht="71.25" customHeight="1" x14ac:dyDescent="0.3">
      <c r="S550" s="276" t="s">
        <v>215</v>
      </c>
      <c r="T550" s="405" t="s">
        <v>216</v>
      </c>
      <c r="U550" s="406"/>
      <c r="V550" s="334" t="s">
        <v>217</v>
      </c>
      <c r="W550" s="405" t="s">
        <v>91</v>
      </c>
      <c r="X550" s="406"/>
      <c r="Y550" s="405" t="s">
        <v>270</v>
      </c>
      <c r="Z550" s="406"/>
      <c r="AA550" s="405" t="s">
        <v>218</v>
      </c>
      <c r="AB550" s="406"/>
      <c r="AC550" s="405" t="s">
        <v>219</v>
      </c>
      <c r="AD550" s="406"/>
    </row>
    <row r="551" spans="19:30" x14ac:dyDescent="0.3">
      <c r="S551" s="407" t="str">
        <f>S532</f>
        <v>Weather 
Normal Conversion 
Factor</v>
      </c>
      <c r="T551" s="408"/>
      <c r="U551" s="408"/>
      <c r="V551" s="408"/>
      <c r="W551" s="408"/>
      <c r="X551" s="409"/>
      <c r="Y551" s="253">
        <f>Z532</f>
        <v>0.95933306994840406</v>
      </c>
      <c r="Z551" s="253">
        <f>$F$184</f>
        <v>0.98235888057963183</v>
      </c>
      <c r="AA551" s="410"/>
      <c r="AB551" s="410"/>
      <c r="AC551" s="410"/>
      <c r="AD551" s="410"/>
    </row>
    <row r="552" spans="19:30" ht="31.2" x14ac:dyDescent="0.3">
      <c r="S552" s="269"/>
      <c r="T552" s="270" t="s">
        <v>272</v>
      </c>
      <c r="U552" s="270" t="s">
        <v>173</v>
      </c>
      <c r="W552" s="270" t="str">
        <f>T552</f>
        <v>2014 Actual</v>
      </c>
      <c r="X552" s="270" t="str">
        <f>U552</f>
        <v>2015 Actual</v>
      </c>
      <c r="Y552" s="270" t="str">
        <f>W552</f>
        <v>2014 Actual</v>
      </c>
      <c r="Z552" s="270" t="str">
        <f t="shared" ref="Z552" si="170">X552</f>
        <v>2015 Actual</v>
      </c>
      <c r="AA552" s="270" t="str">
        <f t="shared" ref="AA552" si="171">Y552</f>
        <v>2014 Actual</v>
      </c>
      <c r="AB552" s="270" t="str">
        <f t="shared" ref="AB552" si="172">Z552</f>
        <v>2015 Actual</v>
      </c>
      <c r="AC552" s="270" t="str">
        <f t="shared" ref="AC552" si="173">AA552</f>
        <v>2014 Actual</v>
      </c>
      <c r="AD552" s="270" t="str">
        <f t="shared" ref="AD552" si="174">AB552</f>
        <v>2015 Actual</v>
      </c>
    </row>
    <row r="553" spans="19:30" x14ac:dyDescent="0.3">
      <c r="S553" s="271" t="s">
        <v>1</v>
      </c>
      <c r="T553" s="272">
        <f>$N$480</f>
        <v>29514</v>
      </c>
      <c r="U553" s="272">
        <f>$O$480</f>
        <v>29566</v>
      </c>
      <c r="V553" s="273" t="s">
        <v>83</v>
      </c>
      <c r="W553" s="273">
        <f>$N$481</f>
        <v>334950383</v>
      </c>
      <c r="X553" s="273">
        <f>$O$481</f>
        <v>310458240</v>
      </c>
      <c r="Y553" s="273">
        <f>W553*Y551</f>
        <v>321328979.20378375</v>
      </c>
      <c r="Z553" s="273">
        <f>X553*Z551</f>
        <v>304981409.1131227</v>
      </c>
      <c r="AA553" s="273">
        <f>W553/T553</f>
        <v>11348.864369451785</v>
      </c>
      <c r="AB553" s="273">
        <f>X553/U553</f>
        <v>10500.515456943787</v>
      </c>
      <c r="AC553" s="273">
        <f>Y553/T553</f>
        <v>10887.340895974241</v>
      </c>
      <c r="AD553" s="273">
        <f>Z553/U553</f>
        <v>10315.274609792421</v>
      </c>
    </row>
    <row r="554" spans="19:30" x14ac:dyDescent="0.3">
      <c r="S554" s="271" t="s">
        <v>132</v>
      </c>
      <c r="T554" s="272">
        <f>$N$484</f>
        <v>3464</v>
      </c>
      <c r="U554" s="272">
        <f>$O$484</f>
        <v>3431</v>
      </c>
      <c r="V554" s="273" t="s">
        <v>83</v>
      </c>
      <c r="W554" s="273">
        <f>$N$485</f>
        <v>99153426</v>
      </c>
      <c r="X554" s="273">
        <f>$O$485</f>
        <v>95701162</v>
      </c>
      <c r="Y554" s="273">
        <f>W554*Y551</f>
        <v>95121160.560481906</v>
      </c>
      <c r="Z554" s="273">
        <f>X554*Z551</f>
        <v>94012886.372490004</v>
      </c>
      <c r="AA554" s="273">
        <f t="shared" ref="AA554:AA558" si="175">W554/T554</f>
        <v>28623.968244803695</v>
      </c>
      <c r="AB554" s="273">
        <f t="shared" ref="AB554:AB558" si="176">X554/U554</f>
        <v>27893.081317400174</v>
      </c>
      <c r="AC554" s="273">
        <f t="shared" ref="AC554:AC558" si="177">Y554/T554</f>
        <v>27459.919330393161</v>
      </c>
      <c r="AD554" s="273">
        <f t="shared" ref="AD554:AD558" si="178">Z554/U554</f>
        <v>27401.01613887788</v>
      </c>
    </row>
    <row r="555" spans="19:30" x14ac:dyDescent="0.3">
      <c r="S555" s="366" t="s">
        <v>316</v>
      </c>
      <c r="T555" s="272">
        <f>$N$488</f>
        <v>370</v>
      </c>
      <c r="U555" s="272">
        <f>$O$488</f>
        <v>373</v>
      </c>
      <c r="V555" s="273" t="s">
        <v>84</v>
      </c>
      <c r="W555" s="273">
        <f>$N$490</f>
        <v>634289</v>
      </c>
      <c r="X555" s="273">
        <f>$O$490</f>
        <v>711311</v>
      </c>
      <c r="Y555" s="273">
        <f>W555*Y551</f>
        <v>608494.41360450326</v>
      </c>
      <c r="Z555" s="273">
        <f>X555*Z551</f>
        <v>698762.67770397849</v>
      </c>
      <c r="AA555" s="273">
        <f t="shared" si="175"/>
        <v>1714.2945945945946</v>
      </c>
      <c r="AB555" s="273">
        <f t="shared" si="176"/>
        <v>1907</v>
      </c>
      <c r="AC555" s="273">
        <f t="shared" si="177"/>
        <v>1644.5794962283871</v>
      </c>
      <c r="AD555" s="273">
        <f t="shared" si="178"/>
        <v>1873.3583852653578</v>
      </c>
    </row>
    <row r="556" spans="19:30" x14ac:dyDescent="0.3">
      <c r="S556" s="271" t="s">
        <v>147</v>
      </c>
      <c r="T556" s="272">
        <f>$N$493</f>
        <v>362</v>
      </c>
      <c r="U556" s="272">
        <f>$O$493</f>
        <v>360</v>
      </c>
      <c r="V556" s="273" t="s">
        <v>84</v>
      </c>
      <c r="W556" s="273">
        <f>$N$495</f>
        <v>676</v>
      </c>
      <c r="X556" s="273">
        <f>$O$495</f>
        <v>752</v>
      </c>
      <c r="Y556" s="273">
        <f>W556*Y551</f>
        <v>648.5091552851211</v>
      </c>
      <c r="Z556" s="273">
        <f>X556*Z551</f>
        <v>738.73387819588311</v>
      </c>
      <c r="AA556" s="273">
        <f t="shared" si="175"/>
        <v>1.867403314917127</v>
      </c>
      <c r="AB556" s="273">
        <f t="shared" si="176"/>
        <v>2.088888888888889</v>
      </c>
      <c r="AC556" s="273">
        <f t="shared" si="177"/>
        <v>1.7914617549312737</v>
      </c>
      <c r="AD556" s="273">
        <f t="shared" si="178"/>
        <v>2.0520385505441197</v>
      </c>
    </row>
    <row r="557" spans="19:30" x14ac:dyDescent="0.3">
      <c r="S557" s="271" t="s">
        <v>66</v>
      </c>
      <c r="T557" s="272">
        <f>$N$498</f>
        <v>8846</v>
      </c>
      <c r="U557" s="272">
        <f>$O$498</f>
        <v>8839</v>
      </c>
      <c r="V557" s="273" t="s">
        <v>84</v>
      </c>
      <c r="W557" s="273">
        <f>$N$500</f>
        <v>21876</v>
      </c>
      <c r="X557" s="273">
        <f>$O$500</f>
        <v>21794</v>
      </c>
      <c r="Y557" s="273">
        <f>W557*Y551</f>
        <v>20986.370238191288</v>
      </c>
      <c r="Z557" s="273">
        <f>X557*Z551</f>
        <v>21409.529443352498</v>
      </c>
      <c r="AA557" s="273">
        <f t="shared" si="175"/>
        <v>2.4729821388198054</v>
      </c>
      <c r="AB557" s="273">
        <f t="shared" si="176"/>
        <v>2.4656635365991626</v>
      </c>
      <c r="AC557" s="273">
        <f t="shared" si="177"/>
        <v>2.3724135471615746</v>
      </c>
      <c r="AD557" s="273">
        <f t="shared" si="178"/>
        <v>2.4221664716995699</v>
      </c>
    </row>
    <row r="558" spans="19:30" x14ac:dyDescent="0.3">
      <c r="S558" s="271" t="s">
        <v>148</v>
      </c>
      <c r="T558" s="272">
        <f>$N$503</f>
        <v>21</v>
      </c>
      <c r="U558" s="272">
        <f>$O$503</f>
        <v>21</v>
      </c>
      <c r="V558" s="273" t="s">
        <v>83</v>
      </c>
      <c r="W558" s="273">
        <f>$N$504</f>
        <v>876024</v>
      </c>
      <c r="X558" s="273">
        <f>$O$504</f>
        <v>912709</v>
      </c>
      <c r="Y558" s="273">
        <f>W558*Y551</f>
        <v>840398.79326848069</v>
      </c>
      <c r="Z558" s="273">
        <f>X558*Z551</f>
        <v>896607.79153495515</v>
      </c>
      <c r="AA558" s="273">
        <f t="shared" si="175"/>
        <v>41715.428571428572</v>
      </c>
      <c r="AB558" s="273">
        <f t="shared" si="176"/>
        <v>43462.333333333336</v>
      </c>
      <c r="AC558" s="273">
        <f t="shared" si="177"/>
        <v>40018.990155641935</v>
      </c>
      <c r="AD558" s="273">
        <f t="shared" si="178"/>
        <v>42695.60912071215</v>
      </c>
    </row>
    <row r="559" spans="19:30" x14ac:dyDescent="0.3">
      <c r="S559" s="271" t="s">
        <v>12</v>
      </c>
      <c r="T559" s="272">
        <f>SUM(T553:T558)</f>
        <v>42577</v>
      </c>
      <c r="U559" s="272">
        <f>SUM(U553:U558)</f>
        <v>42590</v>
      </c>
      <c r="V559" s="274"/>
      <c r="W559" s="274"/>
      <c r="X559" s="274"/>
      <c r="Y559" s="274"/>
      <c r="Z559" s="274"/>
      <c r="AA559" s="274"/>
      <c r="AB559" s="274"/>
      <c r="AC559" s="274"/>
      <c r="AD559" s="274"/>
    </row>
    <row r="560" spans="19:30" x14ac:dyDescent="0.3">
      <c r="S560" s="228"/>
      <c r="T560" s="411" t="s">
        <v>161</v>
      </c>
      <c r="U560" s="411"/>
      <c r="V560" s="279"/>
      <c r="W560" s="411" t="s">
        <v>161</v>
      </c>
      <c r="X560" s="411"/>
      <c r="Y560" s="411" t="s">
        <v>161</v>
      </c>
      <c r="Z560" s="411"/>
      <c r="AA560" s="411" t="s">
        <v>161</v>
      </c>
      <c r="AB560" s="411"/>
      <c r="AC560" s="411" t="s">
        <v>161</v>
      </c>
      <c r="AD560" s="411"/>
    </row>
    <row r="561" spans="19:30" x14ac:dyDescent="0.3">
      <c r="S561" s="275" t="s">
        <v>1</v>
      </c>
      <c r="T561" s="404">
        <f t="shared" ref="T561:T566" si="179">U553-T553</f>
        <v>52</v>
      </c>
      <c r="U561" s="404"/>
      <c r="V561" s="280" t="str">
        <f>V553</f>
        <v>kWh</v>
      </c>
      <c r="W561" s="404">
        <f t="shared" ref="W561:W566" si="180">X553-W553</f>
        <v>-24492143</v>
      </c>
      <c r="X561" s="404"/>
      <c r="Y561" s="404">
        <f t="shared" ref="Y561:Y566" si="181">Z553-Y553</f>
        <v>-16347570.090661049</v>
      </c>
      <c r="Z561" s="404"/>
      <c r="AA561" s="404">
        <f t="shared" ref="AA561:AA566" si="182">AB553-AA553</f>
        <v>-848.34891250799774</v>
      </c>
      <c r="AB561" s="404"/>
      <c r="AC561" s="404">
        <f t="shared" ref="AC561:AC566" si="183">AD553-AC553</f>
        <v>-572.06628618182003</v>
      </c>
      <c r="AD561" s="404"/>
    </row>
    <row r="562" spans="19:30" x14ac:dyDescent="0.3">
      <c r="S562" s="275" t="s">
        <v>132</v>
      </c>
      <c r="T562" s="404">
        <f t="shared" si="179"/>
        <v>-33</v>
      </c>
      <c r="U562" s="404"/>
      <c r="V562" s="280" t="str">
        <f t="shared" ref="V562:V566" si="184">V554</f>
        <v>kWh</v>
      </c>
      <c r="W562" s="404">
        <f t="shared" si="180"/>
        <v>-3452264</v>
      </c>
      <c r="X562" s="404"/>
      <c r="Y562" s="404">
        <f t="shared" si="181"/>
        <v>-1108274.1879919022</v>
      </c>
      <c r="Z562" s="404"/>
      <c r="AA562" s="404">
        <f t="shared" si="182"/>
        <v>-730.88692740352053</v>
      </c>
      <c r="AB562" s="404"/>
      <c r="AC562" s="404">
        <f t="shared" si="183"/>
        <v>-58.903191515280923</v>
      </c>
      <c r="AD562" s="404"/>
    </row>
    <row r="563" spans="19:30" x14ac:dyDescent="0.3">
      <c r="S563" s="366" t="s">
        <v>316</v>
      </c>
      <c r="T563" s="404">
        <f t="shared" si="179"/>
        <v>3</v>
      </c>
      <c r="U563" s="404"/>
      <c r="V563" s="280" t="str">
        <f t="shared" si="184"/>
        <v>kW</v>
      </c>
      <c r="W563" s="404">
        <f t="shared" si="180"/>
        <v>77022</v>
      </c>
      <c r="X563" s="404"/>
      <c r="Y563" s="404">
        <f t="shared" si="181"/>
        <v>90268.264099475229</v>
      </c>
      <c r="Z563" s="404"/>
      <c r="AA563" s="404">
        <f t="shared" si="182"/>
        <v>192.70540540540537</v>
      </c>
      <c r="AB563" s="404"/>
      <c r="AC563" s="404">
        <f t="shared" si="183"/>
        <v>228.77888903697067</v>
      </c>
      <c r="AD563" s="404"/>
    </row>
    <row r="564" spans="19:30" x14ac:dyDescent="0.3">
      <c r="S564" s="275" t="s">
        <v>147</v>
      </c>
      <c r="T564" s="404">
        <f t="shared" si="179"/>
        <v>-2</v>
      </c>
      <c r="U564" s="404"/>
      <c r="V564" s="280" t="str">
        <f t="shared" si="184"/>
        <v>kW</v>
      </c>
      <c r="W564" s="404">
        <f t="shared" si="180"/>
        <v>76</v>
      </c>
      <c r="X564" s="404"/>
      <c r="Y564" s="404">
        <f t="shared" si="181"/>
        <v>90.224722910762011</v>
      </c>
      <c r="Z564" s="404"/>
      <c r="AA564" s="404">
        <f t="shared" si="182"/>
        <v>0.22148557397176205</v>
      </c>
      <c r="AB564" s="404"/>
      <c r="AC564" s="404">
        <f t="shared" si="183"/>
        <v>0.26057679561284597</v>
      </c>
      <c r="AD564" s="404"/>
    </row>
    <row r="565" spans="19:30" x14ac:dyDescent="0.3">
      <c r="S565" s="275" t="s">
        <v>66</v>
      </c>
      <c r="T565" s="404">
        <f t="shared" si="179"/>
        <v>-7</v>
      </c>
      <c r="U565" s="404"/>
      <c r="V565" s="280" t="str">
        <f t="shared" si="184"/>
        <v>kW</v>
      </c>
      <c r="W565" s="404">
        <f t="shared" si="180"/>
        <v>-82</v>
      </c>
      <c r="X565" s="404"/>
      <c r="Y565" s="404">
        <f t="shared" si="181"/>
        <v>423.15920516120968</v>
      </c>
      <c r="Z565" s="404"/>
      <c r="AA565" s="404">
        <f t="shared" si="182"/>
        <v>-7.3186022206428447E-3</v>
      </c>
      <c r="AB565" s="404"/>
      <c r="AC565" s="404">
        <f t="shared" si="183"/>
        <v>4.9752924537995291E-2</v>
      </c>
      <c r="AD565" s="404"/>
    </row>
    <row r="566" spans="19:30" x14ac:dyDescent="0.3">
      <c r="S566" s="275" t="s">
        <v>148</v>
      </c>
      <c r="T566" s="404">
        <f t="shared" si="179"/>
        <v>0</v>
      </c>
      <c r="U566" s="404"/>
      <c r="V566" s="280" t="str">
        <f t="shared" si="184"/>
        <v>kWh</v>
      </c>
      <c r="W566" s="404">
        <f t="shared" si="180"/>
        <v>36685</v>
      </c>
      <c r="X566" s="404"/>
      <c r="Y566" s="404">
        <f t="shared" si="181"/>
        <v>56208.99826647446</v>
      </c>
      <c r="Z566" s="404"/>
      <c r="AA566" s="404">
        <f t="shared" si="182"/>
        <v>1746.9047619047633</v>
      </c>
      <c r="AB566" s="404"/>
      <c r="AC566" s="404">
        <f t="shared" si="183"/>
        <v>2676.6189650702145</v>
      </c>
      <c r="AD566" s="404"/>
    </row>
    <row r="568" spans="19:30" x14ac:dyDescent="0.3">
      <c r="S568" s="278" t="s">
        <v>274</v>
      </c>
      <c r="T568" s="278"/>
      <c r="U568" s="278"/>
    </row>
    <row r="569" spans="19:30" ht="71.25" customHeight="1" x14ac:dyDescent="0.3">
      <c r="S569" s="276" t="s">
        <v>215</v>
      </c>
      <c r="T569" s="405" t="s">
        <v>216</v>
      </c>
      <c r="U569" s="406"/>
      <c r="V569" s="334" t="s">
        <v>217</v>
      </c>
      <c r="W569" s="405" t="s">
        <v>91</v>
      </c>
      <c r="X569" s="406"/>
      <c r="Y569" s="405" t="s">
        <v>270</v>
      </c>
      <c r="Z569" s="406"/>
      <c r="AA569" s="405" t="s">
        <v>218</v>
      </c>
      <c r="AB569" s="406"/>
      <c r="AC569" s="405" t="s">
        <v>219</v>
      </c>
      <c r="AD569" s="406"/>
    </row>
    <row r="570" spans="19:30" x14ac:dyDescent="0.3">
      <c r="S570" s="407" t="str">
        <f>S551</f>
        <v>Weather 
Normal Conversion 
Factor</v>
      </c>
      <c r="T570" s="408"/>
      <c r="U570" s="408"/>
      <c r="V570" s="408"/>
      <c r="W570" s="408"/>
      <c r="X570" s="409"/>
      <c r="Y570" s="253">
        <f>Z551</f>
        <v>0.98235888057963183</v>
      </c>
      <c r="Z570" s="253">
        <f>$F$185</f>
        <v>1.0103941500912488</v>
      </c>
      <c r="AA570" s="410"/>
      <c r="AB570" s="410"/>
      <c r="AC570" s="410"/>
      <c r="AD570" s="410"/>
    </row>
    <row r="571" spans="19:30" ht="31.2" x14ac:dyDescent="0.3">
      <c r="S571" s="269"/>
      <c r="T571" s="270" t="s">
        <v>173</v>
      </c>
      <c r="U571" s="270" t="s">
        <v>174</v>
      </c>
      <c r="W571" s="270" t="str">
        <f>T571</f>
        <v>2015 Actual</v>
      </c>
      <c r="X571" s="270" t="str">
        <f>U571</f>
        <v>2016 Actual</v>
      </c>
      <c r="Y571" s="270" t="str">
        <f>W571</f>
        <v>2015 Actual</v>
      </c>
      <c r="Z571" s="270" t="str">
        <f t="shared" ref="Z571" si="185">X571</f>
        <v>2016 Actual</v>
      </c>
      <c r="AA571" s="270" t="str">
        <f t="shared" ref="AA571" si="186">Y571</f>
        <v>2015 Actual</v>
      </c>
      <c r="AB571" s="270" t="str">
        <f t="shared" ref="AB571" si="187">Z571</f>
        <v>2016 Actual</v>
      </c>
      <c r="AC571" s="270" t="str">
        <f t="shared" ref="AC571" si="188">AA571</f>
        <v>2015 Actual</v>
      </c>
      <c r="AD571" s="270" t="str">
        <f t="shared" ref="AD571" si="189">AB571</f>
        <v>2016 Actual</v>
      </c>
    </row>
    <row r="572" spans="19:30" x14ac:dyDescent="0.3">
      <c r="S572" s="271" t="s">
        <v>1</v>
      </c>
      <c r="T572" s="272">
        <f>$O$480</f>
        <v>29566</v>
      </c>
      <c r="U572" s="272">
        <f>$P$480</f>
        <v>29620</v>
      </c>
      <c r="V572" s="273" t="s">
        <v>83</v>
      </c>
      <c r="W572" s="273">
        <f>$O$481</f>
        <v>310458240</v>
      </c>
      <c r="X572" s="273">
        <f>$P$481</f>
        <v>288746486.39999998</v>
      </c>
      <c r="Y572" s="273">
        <f>W572*Y570</f>
        <v>304981409.1131227</v>
      </c>
      <c r="Z572" s="273">
        <f>X572*Z570</f>
        <v>291747760.71796232</v>
      </c>
      <c r="AA572" s="273">
        <f>W572/T572</f>
        <v>10500.515456943787</v>
      </c>
      <c r="AB572" s="273">
        <f>X572/U572</f>
        <v>9748.3621336934502</v>
      </c>
      <c r="AC572" s="273">
        <f>Y572/T572</f>
        <v>10315.274609792421</v>
      </c>
      <c r="AD572" s="273">
        <f>Z572/U572</f>
        <v>9849.6880728549058</v>
      </c>
    </row>
    <row r="573" spans="19:30" x14ac:dyDescent="0.3">
      <c r="S573" s="271" t="s">
        <v>132</v>
      </c>
      <c r="T573" s="272">
        <f>$O$484</f>
        <v>3431</v>
      </c>
      <c r="U573" s="272">
        <f>$P$484</f>
        <v>3414</v>
      </c>
      <c r="V573" s="273" t="s">
        <v>83</v>
      </c>
      <c r="W573" s="273">
        <f>$O$485</f>
        <v>95701162</v>
      </c>
      <c r="X573" s="273">
        <f>$P$485</f>
        <v>92174996</v>
      </c>
      <c r="Y573" s="273">
        <f>W573*Y570</f>
        <v>94012886.372490004</v>
      </c>
      <c r="Z573" s="273">
        <f>X573*Z570</f>
        <v>93133076.743084252</v>
      </c>
      <c r="AA573" s="273">
        <f t="shared" ref="AA573:AA577" si="190">W573/T573</f>
        <v>27893.081317400174</v>
      </c>
      <c r="AB573" s="273">
        <f t="shared" ref="AB573:AB577" si="191">X573/U573</f>
        <v>26999.120093731693</v>
      </c>
      <c r="AC573" s="273">
        <f t="shared" ref="AC573:AC577" si="192">Y573/T573</f>
        <v>27401.01613887788</v>
      </c>
      <c r="AD573" s="273">
        <f t="shared" ref="AD573:AD577" si="193">Z573/U573</f>
        <v>27279.753000317589</v>
      </c>
    </row>
    <row r="574" spans="19:30" x14ac:dyDescent="0.3">
      <c r="S574" s="366" t="s">
        <v>316</v>
      </c>
      <c r="T574" s="272">
        <f>$O$488</f>
        <v>373</v>
      </c>
      <c r="U574" s="272">
        <f>$P$488</f>
        <v>361</v>
      </c>
      <c r="V574" s="273" t="s">
        <v>84</v>
      </c>
      <c r="W574" s="273">
        <f>$O$490</f>
        <v>711311</v>
      </c>
      <c r="X574" s="273">
        <f>$P$490</f>
        <v>622066.30000000005</v>
      </c>
      <c r="Y574" s="273">
        <f>W574*Y570</f>
        <v>698762.67770397849</v>
      </c>
      <c r="Z574" s="273">
        <f>X574*Z570</f>
        <v>628532.15048890782</v>
      </c>
      <c r="AA574" s="273">
        <f t="shared" si="190"/>
        <v>1907</v>
      </c>
      <c r="AB574" s="273">
        <f t="shared" si="191"/>
        <v>1723.1753462603879</v>
      </c>
      <c r="AC574" s="273">
        <f t="shared" si="192"/>
        <v>1873.3583852653578</v>
      </c>
      <c r="AD574" s="273">
        <f t="shared" si="193"/>
        <v>1741.0862894429579</v>
      </c>
    </row>
    <row r="575" spans="19:30" x14ac:dyDescent="0.3">
      <c r="S575" s="271" t="s">
        <v>147</v>
      </c>
      <c r="T575" s="272">
        <f>$O$493</f>
        <v>360</v>
      </c>
      <c r="U575" s="272">
        <f>$P$493</f>
        <v>362</v>
      </c>
      <c r="V575" s="273" t="s">
        <v>84</v>
      </c>
      <c r="W575" s="273">
        <f>$O$495</f>
        <v>752</v>
      </c>
      <c r="X575" s="273">
        <f>$P$495</f>
        <v>630</v>
      </c>
      <c r="Y575" s="273">
        <f>W575*Y570</f>
        <v>738.73387819588311</v>
      </c>
      <c r="Z575" s="273">
        <f>X575*Z570</f>
        <v>636.54831455748672</v>
      </c>
      <c r="AA575" s="273">
        <f t="shared" si="190"/>
        <v>2.088888888888889</v>
      </c>
      <c r="AB575" s="273">
        <f t="shared" si="191"/>
        <v>1.7403314917127073</v>
      </c>
      <c r="AC575" s="273">
        <f t="shared" si="192"/>
        <v>2.0520385505441197</v>
      </c>
      <c r="AD575" s="273">
        <f t="shared" si="193"/>
        <v>1.7584207584460958</v>
      </c>
    </row>
    <row r="576" spans="19:30" x14ac:dyDescent="0.3">
      <c r="S576" s="271" t="s">
        <v>66</v>
      </c>
      <c r="T576" s="272">
        <f>$O$498</f>
        <v>8839</v>
      </c>
      <c r="U576" s="272">
        <f>$P$498</f>
        <v>8872</v>
      </c>
      <c r="V576" s="273" t="s">
        <v>84</v>
      </c>
      <c r="W576" s="273">
        <f>$O$500</f>
        <v>21794</v>
      </c>
      <c r="X576" s="273">
        <f>$P$500</f>
        <v>14262.4</v>
      </c>
      <c r="Y576" s="273">
        <f>W576*Y570</f>
        <v>21409.529443352498</v>
      </c>
      <c r="Z576" s="273">
        <f>X576*Z570</f>
        <v>14410.645526261425</v>
      </c>
      <c r="AA576" s="273">
        <f t="shared" si="190"/>
        <v>2.4656635365991626</v>
      </c>
      <c r="AB576" s="273">
        <f t="shared" si="191"/>
        <v>1.6075743913435527</v>
      </c>
      <c r="AC576" s="273">
        <f t="shared" si="192"/>
        <v>2.4221664716995699</v>
      </c>
      <c r="AD576" s="273">
        <f t="shared" si="193"/>
        <v>1.6242837608500253</v>
      </c>
    </row>
    <row r="577" spans="19:30" x14ac:dyDescent="0.3">
      <c r="S577" s="271" t="s">
        <v>148</v>
      </c>
      <c r="T577" s="272">
        <f>$O$503</f>
        <v>21</v>
      </c>
      <c r="U577" s="272">
        <f>$P$503</f>
        <v>21</v>
      </c>
      <c r="V577" s="273" t="s">
        <v>83</v>
      </c>
      <c r="W577" s="273">
        <f>$O$504</f>
        <v>912709</v>
      </c>
      <c r="X577" s="273">
        <f>$P$504</f>
        <v>903250.63</v>
      </c>
      <c r="Y577" s="273">
        <f>W577*Y570</f>
        <v>896607.79153495515</v>
      </c>
      <c r="Z577" s="273">
        <f>X577*Z570</f>
        <v>912639.15261823498</v>
      </c>
      <c r="AA577" s="273">
        <f t="shared" si="190"/>
        <v>43462.333333333336</v>
      </c>
      <c r="AB577" s="273">
        <f t="shared" si="191"/>
        <v>43011.934761904762</v>
      </c>
      <c r="AC577" s="273">
        <f t="shared" si="192"/>
        <v>42695.60912071215</v>
      </c>
      <c r="AD577" s="273">
        <f t="shared" si="193"/>
        <v>43459.007267535002</v>
      </c>
    </row>
    <row r="578" spans="19:30" x14ac:dyDescent="0.3">
      <c r="S578" s="271" t="s">
        <v>12</v>
      </c>
      <c r="T578" s="272">
        <f>SUM(T572:T577)</f>
        <v>42590</v>
      </c>
      <c r="U578" s="272">
        <f>SUM(U572:U577)</f>
        <v>42650</v>
      </c>
      <c r="V578" s="274"/>
      <c r="W578" s="274"/>
      <c r="X578" s="274"/>
      <c r="Y578" s="274"/>
      <c r="Z578" s="274"/>
      <c r="AA578" s="274"/>
      <c r="AB578" s="274"/>
      <c r="AC578" s="274"/>
      <c r="AD578" s="274"/>
    </row>
    <row r="579" spans="19:30" x14ac:dyDescent="0.3">
      <c r="S579" s="228"/>
      <c r="T579" s="411" t="s">
        <v>161</v>
      </c>
      <c r="U579" s="411"/>
      <c r="V579" s="279"/>
      <c r="W579" s="411" t="s">
        <v>161</v>
      </c>
      <c r="X579" s="411"/>
      <c r="Y579" s="411" t="s">
        <v>161</v>
      </c>
      <c r="Z579" s="411"/>
      <c r="AA579" s="411" t="s">
        <v>161</v>
      </c>
      <c r="AB579" s="411"/>
      <c r="AC579" s="411" t="s">
        <v>161</v>
      </c>
      <c r="AD579" s="411"/>
    </row>
    <row r="580" spans="19:30" x14ac:dyDescent="0.3">
      <c r="S580" s="275" t="s">
        <v>1</v>
      </c>
      <c r="T580" s="404">
        <f t="shared" ref="T580:T585" si="194">U572-T572</f>
        <v>54</v>
      </c>
      <c r="U580" s="404"/>
      <c r="V580" s="280" t="str">
        <f>V572</f>
        <v>kWh</v>
      </c>
      <c r="W580" s="404">
        <f t="shared" ref="W580:W585" si="195">X572-W572</f>
        <v>-21711753.600000024</v>
      </c>
      <c r="X580" s="404"/>
      <c r="Y580" s="404">
        <f t="shared" ref="Y580:Y585" si="196">Z572-Y572</f>
        <v>-13233648.395160377</v>
      </c>
      <c r="Z580" s="404"/>
      <c r="AA580" s="404">
        <f t="shared" ref="AA580:AA585" si="197">AB572-AA572</f>
        <v>-752.15332325033705</v>
      </c>
      <c r="AB580" s="404"/>
      <c r="AC580" s="404">
        <f t="shared" ref="AC580:AC585" si="198">AD572-AC572</f>
        <v>-465.58653693751512</v>
      </c>
      <c r="AD580" s="404"/>
    </row>
    <row r="581" spans="19:30" x14ac:dyDescent="0.3">
      <c r="S581" s="275" t="s">
        <v>132</v>
      </c>
      <c r="T581" s="404">
        <f t="shared" si="194"/>
        <v>-17</v>
      </c>
      <c r="U581" s="404"/>
      <c r="V581" s="280" t="str">
        <f t="shared" ref="V581:V585" si="199">V573</f>
        <v>kWh</v>
      </c>
      <c r="W581" s="404">
        <f t="shared" si="195"/>
        <v>-3526166</v>
      </c>
      <c r="X581" s="404"/>
      <c r="Y581" s="404">
        <f t="shared" si="196"/>
        <v>-879809.62940575182</v>
      </c>
      <c r="Z581" s="404"/>
      <c r="AA581" s="404">
        <f t="shared" si="197"/>
        <v>-893.96122366848067</v>
      </c>
      <c r="AB581" s="404"/>
      <c r="AC581" s="404">
        <f t="shared" si="198"/>
        <v>-121.26313856029083</v>
      </c>
      <c r="AD581" s="404"/>
    </row>
    <row r="582" spans="19:30" x14ac:dyDescent="0.3">
      <c r="S582" s="366" t="s">
        <v>316</v>
      </c>
      <c r="T582" s="404">
        <f t="shared" si="194"/>
        <v>-12</v>
      </c>
      <c r="U582" s="404"/>
      <c r="V582" s="280" t="str">
        <f t="shared" si="199"/>
        <v>kW</v>
      </c>
      <c r="W582" s="404">
        <f t="shared" si="195"/>
        <v>-89244.699999999953</v>
      </c>
      <c r="X582" s="404"/>
      <c r="Y582" s="404">
        <f t="shared" si="196"/>
        <v>-70230.527215070673</v>
      </c>
      <c r="Z582" s="404"/>
      <c r="AA582" s="404">
        <f t="shared" si="197"/>
        <v>-183.82465373961213</v>
      </c>
      <c r="AB582" s="404"/>
      <c r="AC582" s="404">
        <f t="shared" si="198"/>
        <v>-132.27209582239993</v>
      </c>
      <c r="AD582" s="404"/>
    </row>
    <row r="583" spans="19:30" x14ac:dyDescent="0.3">
      <c r="S583" s="275" t="s">
        <v>147</v>
      </c>
      <c r="T583" s="404">
        <f t="shared" si="194"/>
        <v>2</v>
      </c>
      <c r="U583" s="404"/>
      <c r="V583" s="280" t="str">
        <f t="shared" si="199"/>
        <v>kW</v>
      </c>
      <c r="W583" s="404">
        <f t="shared" si="195"/>
        <v>-122</v>
      </c>
      <c r="X583" s="404"/>
      <c r="Y583" s="404">
        <f t="shared" si="196"/>
        <v>-102.18556363839639</v>
      </c>
      <c r="Z583" s="404"/>
      <c r="AA583" s="404">
        <f t="shared" si="197"/>
        <v>-0.34855739717618173</v>
      </c>
      <c r="AB583" s="404"/>
      <c r="AC583" s="404">
        <f t="shared" si="198"/>
        <v>-0.29361779209802386</v>
      </c>
      <c r="AD583" s="404"/>
    </row>
    <row r="584" spans="19:30" x14ac:dyDescent="0.3">
      <c r="S584" s="275" t="s">
        <v>66</v>
      </c>
      <c r="T584" s="404">
        <f t="shared" si="194"/>
        <v>33</v>
      </c>
      <c r="U584" s="404"/>
      <c r="V584" s="280" t="str">
        <f t="shared" si="199"/>
        <v>kW</v>
      </c>
      <c r="W584" s="404">
        <f t="shared" si="195"/>
        <v>-7531.6</v>
      </c>
      <c r="X584" s="404"/>
      <c r="Y584" s="404">
        <f t="shared" si="196"/>
        <v>-6998.8839170910724</v>
      </c>
      <c r="Z584" s="404"/>
      <c r="AA584" s="404">
        <f t="shared" si="197"/>
        <v>-0.85808914525560986</v>
      </c>
      <c r="AB584" s="404"/>
      <c r="AC584" s="404">
        <f t="shared" si="198"/>
        <v>-0.79788271084954454</v>
      </c>
      <c r="AD584" s="404"/>
    </row>
    <row r="585" spans="19:30" x14ac:dyDescent="0.3">
      <c r="S585" s="275" t="s">
        <v>148</v>
      </c>
      <c r="T585" s="404">
        <f t="shared" si="194"/>
        <v>0</v>
      </c>
      <c r="U585" s="404"/>
      <c r="V585" s="280" t="str">
        <f t="shared" si="199"/>
        <v>kWh</v>
      </c>
      <c r="W585" s="404">
        <f t="shared" si="195"/>
        <v>-9458.3699999999953</v>
      </c>
      <c r="X585" s="404"/>
      <c r="Y585" s="404">
        <f t="shared" si="196"/>
        <v>16031.361083279829</v>
      </c>
      <c r="Z585" s="404"/>
      <c r="AA585" s="404">
        <f t="shared" si="197"/>
        <v>-450.39857142857363</v>
      </c>
      <c r="AB585" s="404"/>
      <c r="AC585" s="404">
        <f t="shared" si="198"/>
        <v>763.39814682285214</v>
      </c>
      <c r="AD585" s="404"/>
    </row>
    <row r="587" spans="19:30" x14ac:dyDescent="0.3">
      <c r="S587" s="278" t="s">
        <v>275</v>
      </c>
      <c r="T587" s="278"/>
      <c r="U587" s="278"/>
    </row>
    <row r="588" spans="19:30" ht="71.25" customHeight="1" x14ac:dyDescent="0.3">
      <c r="S588" s="276" t="s">
        <v>215</v>
      </c>
      <c r="T588" s="405" t="s">
        <v>216</v>
      </c>
      <c r="U588" s="406"/>
      <c r="V588" s="334" t="s">
        <v>217</v>
      </c>
      <c r="W588" s="405" t="s">
        <v>91</v>
      </c>
      <c r="X588" s="406"/>
      <c r="Y588" s="405" t="s">
        <v>270</v>
      </c>
      <c r="Z588" s="406"/>
      <c r="AA588" s="405" t="s">
        <v>218</v>
      </c>
      <c r="AB588" s="406"/>
      <c r="AC588" s="405" t="s">
        <v>219</v>
      </c>
      <c r="AD588" s="406"/>
    </row>
    <row r="589" spans="19:30" x14ac:dyDescent="0.3">
      <c r="S589" s="407" t="str">
        <f>S570</f>
        <v>Weather 
Normal Conversion 
Factor</v>
      </c>
      <c r="T589" s="408"/>
      <c r="U589" s="408"/>
      <c r="V589" s="408"/>
      <c r="W589" s="408"/>
      <c r="X589" s="409"/>
      <c r="Y589" s="253">
        <f>Z570</f>
        <v>1.0103941500912488</v>
      </c>
      <c r="Z589" s="253">
        <f>$F$186</f>
        <v>1.008411127083817</v>
      </c>
      <c r="AA589" s="410"/>
      <c r="AB589" s="410"/>
      <c r="AC589" s="410"/>
      <c r="AD589" s="410"/>
    </row>
    <row r="590" spans="19:30" ht="31.2" x14ac:dyDescent="0.3">
      <c r="S590" s="269"/>
      <c r="T590" s="270" t="s">
        <v>174</v>
      </c>
      <c r="U590" s="270" t="s">
        <v>198</v>
      </c>
      <c r="W590" s="270" t="str">
        <f>T590</f>
        <v>2016 Actual</v>
      </c>
      <c r="X590" s="270" t="str">
        <f>U590</f>
        <v>2017 Bridge</v>
      </c>
      <c r="Y590" s="270" t="str">
        <f>W590</f>
        <v>2016 Actual</v>
      </c>
      <c r="Z590" s="270" t="str">
        <f t="shared" ref="Z590" si="200">X590</f>
        <v>2017 Bridge</v>
      </c>
      <c r="AA590" s="270" t="str">
        <f t="shared" ref="AA590" si="201">Y590</f>
        <v>2016 Actual</v>
      </c>
      <c r="AB590" s="270" t="str">
        <f t="shared" ref="AB590" si="202">Z590</f>
        <v>2017 Bridge</v>
      </c>
      <c r="AC590" s="270" t="str">
        <f t="shared" ref="AC590" si="203">AA590</f>
        <v>2016 Actual</v>
      </c>
      <c r="AD590" s="270" t="str">
        <f t="shared" ref="AD590" si="204">AB590</f>
        <v>2017 Bridge</v>
      </c>
    </row>
    <row r="591" spans="19:30" x14ac:dyDescent="0.3">
      <c r="S591" s="271" t="s">
        <v>1</v>
      </c>
      <c r="T591" s="272">
        <f>$P$480</f>
        <v>29620</v>
      </c>
      <c r="U591" s="272">
        <f>$Q$480</f>
        <v>29729</v>
      </c>
      <c r="V591" s="273" t="s">
        <v>83</v>
      </c>
      <c r="W591" s="273">
        <f>$P$481</f>
        <v>288746486.39999998</v>
      </c>
      <c r="X591" s="273" t="e">
        <f>$Q$481</f>
        <v>#REF!</v>
      </c>
      <c r="Y591" s="273">
        <f>W591*Y589</f>
        <v>291747760.71796232</v>
      </c>
      <c r="Z591" s="273" t="e">
        <f>X591*Z589</f>
        <v>#REF!</v>
      </c>
      <c r="AA591" s="273">
        <f>W591/T591</f>
        <v>9748.3621336934502</v>
      </c>
      <c r="AB591" s="273" t="e">
        <f>X591/U591</f>
        <v>#REF!</v>
      </c>
      <c r="AC591" s="273">
        <f>Y591/T591</f>
        <v>9849.6880728549058</v>
      </c>
      <c r="AD591" s="273" t="e">
        <f>Z591/U591</f>
        <v>#REF!</v>
      </c>
    </row>
    <row r="592" spans="19:30" x14ac:dyDescent="0.3">
      <c r="S592" s="271" t="s">
        <v>132</v>
      </c>
      <c r="T592" s="272">
        <f>$P$484</f>
        <v>3414</v>
      </c>
      <c r="U592" s="272">
        <f>$Q$484</f>
        <v>3417</v>
      </c>
      <c r="V592" s="273" t="s">
        <v>83</v>
      </c>
      <c r="W592" s="273">
        <f>$P$485</f>
        <v>92174996</v>
      </c>
      <c r="X592" s="273" t="e">
        <f>$Q$485</f>
        <v>#REF!</v>
      </c>
      <c r="Y592" s="273">
        <f>W592*Y589</f>
        <v>93133076.743084252</v>
      </c>
      <c r="Z592" s="273" t="e">
        <f>X592*Z589</f>
        <v>#REF!</v>
      </c>
      <c r="AA592" s="273">
        <f t="shared" ref="AA592:AA596" si="205">W592/T592</f>
        <v>26999.120093731693</v>
      </c>
      <c r="AB592" s="273" t="e">
        <f t="shared" ref="AB592:AB596" si="206">X592/U592</f>
        <v>#REF!</v>
      </c>
      <c r="AC592" s="273">
        <f t="shared" ref="AC592:AC596" si="207">Y592/T592</f>
        <v>27279.753000317589</v>
      </c>
      <c r="AD592" s="273" t="e">
        <f t="shared" ref="AD592:AD596" si="208">Z592/U592</f>
        <v>#REF!</v>
      </c>
    </row>
    <row r="593" spans="19:30" x14ac:dyDescent="0.3">
      <c r="S593" s="366" t="s">
        <v>316</v>
      </c>
      <c r="T593" s="272">
        <f>$P$488</f>
        <v>361</v>
      </c>
      <c r="U593" s="272">
        <f>$Q$488</f>
        <v>361</v>
      </c>
      <c r="V593" s="273" t="s">
        <v>84</v>
      </c>
      <c r="W593" s="273">
        <f>$P$490</f>
        <v>622066.30000000005</v>
      </c>
      <c r="X593" s="273">
        <f>$Q$490</f>
        <v>610764.1</v>
      </c>
      <c r="Y593" s="273">
        <f>W593*Y589</f>
        <v>628532.15048890782</v>
      </c>
      <c r="Z593" s="273">
        <f>X593*Z589</f>
        <v>615901.31446333311</v>
      </c>
      <c r="AA593" s="273">
        <f t="shared" si="205"/>
        <v>1723.1753462603879</v>
      </c>
      <c r="AB593" s="273">
        <f t="shared" si="206"/>
        <v>1691.8673130193906</v>
      </c>
      <c r="AC593" s="273">
        <f t="shared" si="207"/>
        <v>1741.0862894429579</v>
      </c>
      <c r="AD593" s="273">
        <f t="shared" si="208"/>
        <v>1706.0978239981528</v>
      </c>
    </row>
    <row r="594" spans="19:30" x14ac:dyDescent="0.3">
      <c r="S594" s="271" t="s">
        <v>147</v>
      </c>
      <c r="T594" s="272">
        <f>$P$493</f>
        <v>362</v>
      </c>
      <c r="U594" s="272">
        <f>$Q$493</f>
        <v>361</v>
      </c>
      <c r="V594" s="273" t="s">
        <v>84</v>
      </c>
      <c r="W594" s="273">
        <f>$P$495</f>
        <v>630</v>
      </c>
      <c r="X594" s="273">
        <f>$Q$495</f>
        <v>619.20000000000005</v>
      </c>
      <c r="Y594" s="273">
        <f>W594*Y589</f>
        <v>636.54831455748672</v>
      </c>
      <c r="Z594" s="273">
        <f>X594*Z589</f>
        <v>624.40816989029952</v>
      </c>
      <c r="AA594" s="273">
        <f t="shared" si="205"/>
        <v>1.7403314917127073</v>
      </c>
      <c r="AB594" s="273">
        <f t="shared" si="206"/>
        <v>1.7152354570637121</v>
      </c>
      <c r="AC594" s="273">
        <f t="shared" si="207"/>
        <v>1.7584207584460958</v>
      </c>
      <c r="AD594" s="273">
        <f t="shared" si="208"/>
        <v>1.7296625204717437</v>
      </c>
    </row>
    <row r="595" spans="19:30" x14ac:dyDescent="0.3">
      <c r="S595" s="271" t="s">
        <v>66</v>
      </c>
      <c r="T595" s="272">
        <f>$P$498</f>
        <v>8872</v>
      </c>
      <c r="U595" s="272">
        <f>$Q$498</f>
        <v>8070</v>
      </c>
      <c r="V595" s="273" t="s">
        <v>84</v>
      </c>
      <c r="W595" s="273">
        <f>$P$500</f>
        <v>14262.4</v>
      </c>
      <c r="X595" s="273">
        <f>$Q$500</f>
        <v>7030.1</v>
      </c>
      <c r="Y595" s="273">
        <f>W595*Y589</f>
        <v>14410.645526261425</v>
      </c>
      <c r="Z595" s="273">
        <f>X595*Z589</f>
        <v>7089.2310645119423</v>
      </c>
      <c r="AA595" s="273">
        <f t="shared" si="205"/>
        <v>1.6075743913435527</v>
      </c>
      <c r="AB595" s="273">
        <f t="shared" si="206"/>
        <v>0.87114002478314756</v>
      </c>
      <c r="AC595" s="273">
        <f t="shared" si="207"/>
        <v>1.6242837608500253</v>
      </c>
      <c r="AD595" s="273">
        <f t="shared" si="208"/>
        <v>0.87846729423939807</v>
      </c>
    </row>
    <row r="596" spans="19:30" x14ac:dyDescent="0.3">
      <c r="S596" s="271" t="s">
        <v>148</v>
      </c>
      <c r="T596" s="272">
        <f>$P$503</f>
        <v>21</v>
      </c>
      <c r="U596" s="272">
        <f>$Q$503</f>
        <v>21</v>
      </c>
      <c r="V596" s="273" t="s">
        <v>83</v>
      </c>
      <c r="W596" s="273">
        <f>$P$504</f>
        <v>903250.63</v>
      </c>
      <c r="X596" s="273" t="e">
        <f>$Q$504</f>
        <v>#REF!</v>
      </c>
      <c r="Y596" s="273">
        <f>W596*Y589</f>
        <v>912639.15261823498</v>
      </c>
      <c r="Z596" s="273" t="e">
        <f>X596*Z589</f>
        <v>#REF!</v>
      </c>
      <c r="AA596" s="273">
        <f t="shared" si="205"/>
        <v>43011.934761904762</v>
      </c>
      <c r="AB596" s="273" t="e">
        <f t="shared" si="206"/>
        <v>#REF!</v>
      </c>
      <c r="AC596" s="273">
        <f t="shared" si="207"/>
        <v>43459.007267535002</v>
      </c>
      <c r="AD596" s="273" t="e">
        <f t="shared" si="208"/>
        <v>#REF!</v>
      </c>
    </row>
    <row r="597" spans="19:30" x14ac:dyDescent="0.3">
      <c r="S597" s="271" t="s">
        <v>12</v>
      </c>
      <c r="T597" s="272">
        <f>SUM(T591:T596)</f>
        <v>42650</v>
      </c>
      <c r="U597" s="272">
        <f>SUM(U591:U596)</f>
        <v>41959</v>
      </c>
      <c r="V597" s="274"/>
      <c r="W597" s="274"/>
      <c r="X597" s="274"/>
      <c r="Y597" s="274"/>
      <c r="Z597" s="274"/>
      <c r="AA597" s="274"/>
      <c r="AB597" s="274"/>
      <c r="AC597" s="274"/>
      <c r="AD597" s="274"/>
    </row>
    <row r="598" spans="19:30" x14ac:dyDescent="0.3">
      <c r="S598" s="228"/>
      <c r="T598" s="411" t="s">
        <v>161</v>
      </c>
      <c r="U598" s="411"/>
      <c r="V598" s="279"/>
      <c r="W598" s="411" t="s">
        <v>161</v>
      </c>
      <c r="X598" s="411"/>
      <c r="Y598" s="411" t="s">
        <v>161</v>
      </c>
      <c r="Z598" s="411"/>
      <c r="AA598" s="411" t="s">
        <v>161</v>
      </c>
      <c r="AB598" s="411"/>
      <c r="AC598" s="411" t="s">
        <v>161</v>
      </c>
      <c r="AD598" s="411"/>
    </row>
    <row r="599" spans="19:30" x14ac:dyDescent="0.3">
      <c r="S599" s="275" t="s">
        <v>1</v>
      </c>
      <c r="T599" s="404">
        <f t="shared" ref="T599:T604" si="209">U591-T591</f>
        <v>109</v>
      </c>
      <c r="U599" s="404"/>
      <c r="V599" s="280" t="str">
        <f>V591</f>
        <v>kWh</v>
      </c>
      <c r="W599" s="404" t="e">
        <f t="shared" ref="W599:W604" si="210">X591-W591</f>
        <v>#REF!</v>
      </c>
      <c r="X599" s="404"/>
      <c r="Y599" s="404" t="e">
        <f t="shared" ref="Y599:Y604" si="211">Z591-Y591</f>
        <v>#REF!</v>
      </c>
      <c r="Z599" s="404"/>
      <c r="AA599" s="404" t="e">
        <f t="shared" ref="AA599:AA604" si="212">AB591-AA591</f>
        <v>#REF!</v>
      </c>
      <c r="AB599" s="404"/>
      <c r="AC599" s="404" t="e">
        <f t="shared" ref="AC599:AC604" si="213">AD591-AC591</f>
        <v>#REF!</v>
      </c>
      <c r="AD599" s="404"/>
    </row>
    <row r="600" spans="19:30" x14ac:dyDescent="0.3">
      <c r="S600" s="275" t="s">
        <v>132</v>
      </c>
      <c r="T600" s="404">
        <f t="shared" si="209"/>
        <v>3</v>
      </c>
      <c r="U600" s="404"/>
      <c r="V600" s="280" t="str">
        <f t="shared" ref="V600:V604" si="214">V592</f>
        <v>kWh</v>
      </c>
      <c r="W600" s="404" t="e">
        <f t="shared" si="210"/>
        <v>#REF!</v>
      </c>
      <c r="X600" s="404"/>
      <c r="Y600" s="404" t="e">
        <f t="shared" si="211"/>
        <v>#REF!</v>
      </c>
      <c r="Z600" s="404"/>
      <c r="AA600" s="404" t="e">
        <f t="shared" si="212"/>
        <v>#REF!</v>
      </c>
      <c r="AB600" s="404"/>
      <c r="AC600" s="404" t="e">
        <f t="shared" si="213"/>
        <v>#REF!</v>
      </c>
      <c r="AD600" s="404"/>
    </row>
    <row r="601" spans="19:30" x14ac:dyDescent="0.3">
      <c r="S601" s="366" t="s">
        <v>316</v>
      </c>
      <c r="T601" s="404">
        <f t="shared" si="209"/>
        <v>0</v>
      </c>
      <c r="U601" s="404"/>
      <c r="V601" s="280" t="str">
        <f t="shared" si="214"/>
        <v>kW</v>
      </c>
      <c r="W601" s="404">
        <f t="shared" si="210"/>
        <v>-11302.20000000007</v>
      </c>
      <c r="X601" s="404"/>
      <c r="Y601" s="404">
        <f t="shared" si="211"/>
        <v>-12630.83602557471</v>
      </c>
      <c r="Z601" s="404"/>
      <c r="AA601" s="404">
        <f t="shared" si="212"/>
        <v>-31.308033240997247</v>
      </c>
      <c r="AB601" s="404"/>
      <c r="AC601" s="404">
        <f t="shared" si="213"/>
        <v>-34.988465444805115</v>
      </c>
      <c r="AD601" s="404"/>
    </row>
    <row r="602" spans="19:30" x14ac:dyDescent="0.3">
      <c r="S602" s="275" t="s">
        <v>147</v>
      </c>
      <c r="T602" s="404">
        <f t="shared" si="209"/>
        <v>-1</v>
      </c>
      <c r="U602" s="404"/>
      <c r="V602" s="280" t="str">
        <f t="shared" si="214"/>
        <v>kW</v>
      </c>
      <c r="W602" s="404">
        <f t="shared" si="210"/>
        <v>-10.799999999999955</v>
      </c>
      <c r="X602" s="404"/>
      <c r="Y602" s="404">
        <f t="shared" si="211"/>
        <v>-12.140144667187201</v>
      </c>
      <c r="Z602" s="404"/>
      <c r="AA602" s="404">
        <f t="shared" si="212"/>
        <v>-2.5096034648995236E-2</v>
      </c>
      <c r="AB602" s="404"/>
      <c r="AC602" s="404">
        <f t="shared" si="213"/>
        <v>-2.8758237974352063E-2</v>
      </c>
      <c r="AD602" s="404"/>
    </row>
    <row r="603" spans="19:30" x14ac:dyDescent="0.3">
      <c r="S603" s="275" t="s">
        <v>66</v>
      </c>
      <c r="T603" s="404">
        <f t="shared" si="209"/>
        <v>-802</v>
      </c>
      <c r="U603" s="404"/>
      <c r="V603" s="280" t="str">
        <f t="shared" si="214"/>
        <v>kW</v>
      </c>
      <c r="W603" s="404">
        <f t="shared" si="210"/>
        <v>-7232.2999999999993</v>
      </c>
      <c r="X603" s="404"/>
      <c r="Y603" s="404">
        <f t="shared" si="211"/>
        <v>-7321.4144617494831</v>
      </c>
      <c r="Z603" s="404"/>
      <c r="AA603" s="404">
        <f t="shared" si="212"/>
        <v>-0.73643436656040517</v>
      </c>
      <c r="AB603" s="404"/>
      <c r="AC603" s="404">
        <f t="shared" si="213"/>
        <v>-0.74581646661062728</v>
      </c>
      <c r="AD603" s="404"/>
    </row>
    <row r="604" spans="19:30" x14ac:dyDescent="0.3">
      <c r="S604" s="275" t="s">
        <v>148</v>
      </c>
      <c r="T604" s="404">
        <f t="shared" si="209"/>
        <v>0</v>
      </c>
      <c r="U604" s="404"/>
      <c r="V604" s="280" t="str">
        <f t="shared" si="214"/>
        <v>kWh</v>
      </c>
      <c r="W604" s="404" t="e">
        <f t="shared" si="210"/>
        <v>#REF!</v>
      </c>
      <c r="X604" s="404"/>
      <c r="Y604" s="404" t="e">
        <f t="shared" si="211"/>
        <v>#REF!</v>
      </c>
      <c r="Z604" s="404"/>
      <c r="AA604" s="404" t="e">
        <f t="shared" si="212"/>
        <v>#REF!</v>
      </c>
      <c r="AB604" s="404"/>
      <c r="AC604" s="404" t="e">
        <f t="shared" si="213"/>
        <v>#REF!</v>
      </c>
      <c r="AD604" s="404"/>
    </row>
    <row r="606" spans="19:30" x14ac:dyDescent="0.3">
      <c r="S606" s="278" t="s">
        <v>276</v>
      </c>
      <c r="T606" s="278"/>
      <c r="U606" s="278"/>
    </row>
    <row r="607" spans="19:30" ht="71.25" customHeight="1" x14ac:dyDescent="0.3">
      <c r="S607" s="276" t="s">
        <v>215</v>
      </c>
      <c r="T607" s="405" t="s">
        <v>216</v>
      </c>
      <c r="U607" s="406"/>
      <c r="V607" s="334" t="s">
        <v>217</v>
      </c>
      <c r="W607" s="405" t="s">
        <v>91</v>
      </c>
      <c r="X607" s="406"/>
      <c r="Y607" s="405" t="s">
        <v>270</v>
      </c>
      <c r="Z607" s="406"/>
      <c r="AA607" s="405" t="s">
        <v>218</v>
      </c>
      <c r="AB607" s="406"/>
      <c r="AC607" s="405" t="s">
        <v>219</v>
      </c>
      <c r="AD607" s="406"/>
    </row>
    <row r="608" spans="19:30" x14ac:dyDescent="0.3">
      <c r="S608" s="407" t="str">
        <f>S589</f>
        <v>Weather 
Normal Conversion 
Factor</v>
      </c>
      <c r="T608" s="408"/>
      <c r="U608" s="408"/>
      <c r="V608" s="408"/>
      <c r="W608" s="408"/>
      <c r="X608" s="409"/>
      <c r="Y608" s="253">
        <f>Z589</f>
        <v>1.008411127083817</v>
      </c>
      <c r="Z608" s="253">
        <f>$F$187</f>
        <v>1</v>
      </c>
      <c r="AA608" s="410"/>
      <c r="AB608" s="410"/>
      <c r="AC608" s="410"/>
      <c r="AD608" s="410"/>
    </row>
    <row r="609" spans="19:30" ht="31.2" x14ac:dyDescent="0.3">
      <c r="S609" s="269"/>
      <c r="T609" s="270" t="s">
        <v>198</v>
      </c>
      <c r="U609" s="270" t="s">
        <v>199</v>
      </c>
      <c r="W609" s="270" t="str">
        <f>T609</f>
        <v>2017 Bridge</v>
      </c>
      <c r="X609" s="270" t="str">
        <f>U609</f>
        <v>2018 Test</v>
      </c>
      <c r="Y609" s="270" t="str">
        <f>W609</f>
        <v>2017 Bridge</v>
      </c>
      <c r="Z609" s="270" t="str">
        <f t="shared" ref="Z609" si="215">X609</f>
        <v>2018 Test</v>
      </c>
      <c r="AA609" s="270" t="str">
        <f t="shared" ref="AA609" si="216">Y609</f>
        <v>2017 Bridge</v>
      </c>
      <c r="AB609" s="270" t="str">
        <f t="shared" ref="AB609" si="217">Z609</f>
        <v>2018 Test</v>
      </c>
      <c r="AC609" s="270" t="str">
        <f t="shared" ref="AC609" si="218">AA609</f>
        <v>2017 Bridge</v>
      </c>
      <c r="AD609" s="270" t="str">
        <f t="shared" ref="AD609" si="219">AB609</f>
        <v>2018 Test</v>
      </c>
    </row>
    <row r="610" spans="19:30" x14ac:dyDescent="0.3">
      <c r="S610" s="271" t="s">
        <v>1</v>
      </c>
      <c r="T610" s="272">
        <f>$Q$480</f>
        <v>29729</v>
      </c>
      <c r="U610" s="272">
        <f>$R$480</f>
        <v>29815.501606131944</v>
      </c>
      <c r="V610" s="273" t="s">
        <v>83</v>
      </c>
      <c r="W610" s="273" t="e">
        <f>$Q$481</f>
        <v>#REF!</v>
      </c>
      <c r="X610" s="273">
        <f>$R$481</f>
        <v>285978989.05512553</v>
      </c>
      <c r="Y610" s="273" t="e">
        <f>W610*Y608</f>
        <v>#REF!</v>
      </c>
      <c r="Z610" s="273">
        <f>X610*Z608</f>
        <v>285978989.05512553</v>
      </c>
      <c r="AA610" s="273" t="e">
        <f>W610/T610</f>
        <v>#REF!</v>
      </c>
      <c r="AB610" s="273">
        <f>X610/U610</f>
        <v>9591.6209236711366</v>
      </c>
      <c r="AC610" s="273" t="e">
        <f>Y610/T610</f>
        <v>#REF!</v>
      </c>
      <c r="AD610" s="273">
        <f>Z610/U610</f>
        <v>9591.6209236711366</v>
      </c>
    </row>
    <row r="611" spans="19:30" x14ac:dyDescent="0.3">
      <c r="S611" s="271" t="s">
        <v>132</v>
      </c>
      <c r="T611" s="272">
        <f>$Q$484</f>
        <v>3417</v>
      </c>
      <c r="U611" s="272">
        <f>$R$484</f>
        <v>3430.7641919188468</v>
      </c>
      <c r="V611" s="273" t="s">
        <v>83</v>
      </c>
      <c r="W611" s="273" t="e">
        <f>$Q$485</f>
        <v>#REF!</v>
      </c>
      <c r="X611" s="273">
        <f>$R$485</f>
        <v>91654269.719868049</v>
      </c>
      <c r="Y611" s="273" t="e">
        <f>W611*Y608</f>
        <v>#REF!</v>
      </c>
      <c r="Z611" s="273">
        <f>X611*Z608</f>
        <v>91654269.719868049</v>
      </c>
      <c r="AA611" s="273" t="e">
        <f t="shared" ref="AA611:AA615" si="220">W611/T611</f>
        <v>#REF!</v>
      </c>
      <c r="AB611" s="273">
        <f t="shared" ref="AB611:AB615" si="221">X611/U611</f>
        <v>26715.409335261036</v>
      </c>
      <c r="AC611" s="273" t="e">
        <f t="shared" ref="AC611:AC615" si="222">Y611/T611</f>
        <v>#REF!</v>
      </c>
      <c r="AD611" s="273">
        <f t="shared" ref="AD611:AD615" si="223">Z611/U611</f>
        <v>26715.409335261036</v>
      </c>
    </row>
    <row r="612" spans="19:30" x14ac:dyDescent="0.3">
      <c r="S612" s="366" t="s">
        <v>316</v>
      </c>
      <c r="T612" s="272">
        <f>$Q$488</f>
        <v>361</v>
      </c>
      <c r="U612" s="272">
        <f>$R$488</f>
        <v>357.17848110967191</v>
      </c>
      <c r="V612" s="273" t="s">
        <v>84</v>
      </c>
      <c r="W612" s="273">
        <f>$Q$490</f>
        <v>610764.1</v>
      </c>
      <c r="X612" s="273">
        <f>$R$490</f>
        <v>610103.32693664508</v>
      </c>
      <c r="Y612" s="273">
        <f>W612*Y608</f>
        <v>615901.31446333311</v>
      </c>
      <c r="Z612" s="273">
        <f>X612*Z608</f>
        <v>610103.32693664508</v>
      </c>
      <c r="AA612" s="273">
        <f t="shared" si="220"/>
        <v>1691.8673130193906</v>
      </c>
      <c r="AB612" s="273">
        <f t="shared" si="221"/>
        <v>1708.1189355002393</v>
      </c>
      <c r="AC612" s="273">
        <f t="shared" si="222"/>
        <v>1706.0978239981528</v>
      </c>
      <c r="AD612" s="273">
        <f t="shared" si="223"/>
        <v>1708.1189355002393</v>
      </c>
    </row>
    <row r="613" spans="19:30" x14ac:dyDescent="0.3">
      <c r="S613" s="271" t="s">
        <v>147</v>
      </c>
      <c r="T613" s="272">
        <f>$Q$493</f>
        <v>361</v>
      </c>
      <c r="U613" s="272">
        <f>$R$493</f>
        <v>354.47637329291484</v>
      </c>
      <c r="V613" s="273" t="s">
        <v>84</v>
      </c>
      <c r="W613" s="273">
        <f>$Q$495</f>
        <v>619.20000000000005</v>
      </c>
      <c r="X613" s="273">
        <f>$R$495</f>
        <v>592.51480879014923</v>
      </c>
      <c r="Y613" s="273">
        <f>W613*Y608</f>
        <v>624.40816989029952</v>
      </c>
      <c r="Z613" s="273">
        <f>X613*Z608</f>
        <v>592.51480879014923</v>
      </c>
      <c r="AA613" s="273">
        <f t="shared" si="220"/>
        <v>1.7152354570637121</v>
      </c>
      <c r="AB613" s="273">
        <f t="shared" si="221"/>
        <v>1.6715213013662149</v>
      </c>
      <c r="AC613" s="273">
        <f t="shared" si="222"/>
        <v>1.7296625204717437</v>
      </c>
      <c r="AD613" s="273">
        <f t="shared" si="223"/>
        <v>1.6715213013662149</v>
      </c>
    </row>
    <row r="614" spans="19:30" x14ac:dyDescent="0.3">
      <c r="S614" s="271" t="s">
        <v>66</v>
      </c>
      <c r="T614" s="272">
        <f>$Q$498</f>
        <v>8070</v>
      </c>
      <c r="U614" s="272">
        <f>$R$498</f>
        <v>8070</v>
      </c>
      <c r="V614" s="273" t="s">
        <v>84</v>
      </c>
      <c r="W614" s="273">
        <f>$Q$500</f>
        <v>7030.1</v>
      </c>
      <c r="X614" s="273">
        <f>$R$500</f>
        <v>7030.1</v>
      </c>
      <c r="Y614" s="273">
        <f>W614*Y608</f>
        <v>7089.2310645119423</v>
      </c>
      <c r="Z614" s="273">
        <f>X614*Z608</f>
        <v>7030.1</v>
      </c>
      <c r="AA614" s="273">
        <f t="shared" si="220"/>
        <v>0.87114002478314756</v>
      </c>
      <c r="AB614" s="273">
        <f t="shared" si="221"/>
        <v>0.87114002478314756</v>
      </c>
      <c r="AC614" s="273">
        <f t="shared" si="222"/>
        <v>0.87846729423939807</v>
      </c>
      <c r="AD614" s="273">
        <f t="shared" si="223"/>
        <v>0.87114002478314756</v>
      </c>
    </row>
    <row r="615" spans="19:30" x14ac:dyDescent="0.3">
      <c r="S615" s="271" t="s">
        <v>148</v>
      </c>
      <c r="T615" s="272">
        <f>$Q$503</f>
        <v>21</v>
      </c>
      <c r="U615" s="272">
        <f>$R$503</f>
        <v>21.856426428186388</v>
      </c>
      <c r="V615" s="273" t="s">
        <v>83</v>
      </c>
      <c r="W615" s="273" t="e">
        <f>$Q$504</f>
        <v>#REF!</v>
      </c>
      <c r="X615" s="273">
        <f>$R$504</f>
        <v>944731.43889360514</v>
      </c>
      <c r="Y615" s="273" t="e">
        <f>W615*Y608</f>
        <v>#REF!</v>
      </c>
      <c r="Z615" s="273">
        <f>X615*Z608</f>
        <v>944731.43889360514</v>
      </c>
      <c r="AA615" s="273" t="e">
        <f t="shared" si="220"/>
        <v>#REF!</v>
      </c>
      <c r="AB615" s="273">
        <f t="shared" si="221"/>
        <v>43224.423809523811</v>
      </c>
      <c r="AC615" s="273" t="e">
        <f t="shared" si="222"/>
        <v>#REF!</v>
      </c>
      <c r="AD615" s="273">
        <f t="shared" si="223"/>
        <v>43224.423809523811</v>
      </c>
    </row>
    <row r="616" spans="19:30" x14ac:dyDescent="0.3">
      <c r="S616" s="271" t="s">
        <v>12</v>
      </c>
      <c r="T616" s="272">
        <f>SUM(T610:T615)</f>
        <v>41959</v>
      </c>
      <c r="U616" s="272">
        <f>SUM(U610:U615)</f>
        <v>42049.777078881569</v>
      </c>
      <c r="V616" s="274"/>
      <c r="W616" s="274"/>
      <c r="X616" s="274"/>
      <c r="Y616" s="274"/>
      <c r="Z616" s="274"/>
      <c r="AA616" s="274"/>
      <c r="AB616" s="274"/>
      <c r="AC616" s="274"/>
      <c r="AD616" s="274"/>
    </row>
    <row r="617" spans="19:30" x14ac:dyDescent="0.3">
      <c r="S617" s="228"/>
      <c r="T617" s="411" t="s">
        <v>161</v>
      </c>
      <c r="U617" s="411"/>
      <c r="V617" s="279"/>
      <c r="W617" s="411" t="s">
        <v>161</v>
      </c>
      <c r="X617" s="411"/>
      <c r="Y617" s="411" t="s">
        <v>161</v>
      </c>
      <c r="Z617" s="411"/>
      <c r="AA617" s="411" t="s">
        <v>161</v>
      </c>
      <c r="AB617" s="411"/>
      <c r="AC617" s="411" t="s">
        <v>161</v>
      </c>
      <c r="AD617" s="411"/>
    </row>
    <row r="618" spans="19:30" x14ac:dyDescent="0.3">
      <c r="S618" s="275" t="s">
        <v>1</v>
      </c>
      <c r="T618" s="404">
        <f t="shared" ref="T618:T623" si="224">U610-T610</f>
        <v>86.501606131943845</v>
      </c>
      <c r="U618" s="404"/>
      <c r="V618" s="280" t="str">
        <f>V610</f>
        <v>kWh</v>
      </c>
      <c r="W618" s="404" t="e">
        <f t="shared" ref="W618:W623" si="225">X610-W610</f>
        <v>#REF!</v>
      </c>
      <c r="X618" s="404"/>
      <c r="Y618" s="404" t="e">
        <f t="shared" ref="Y618:Y623" si="226">Z610-Y610</f>
        <v>#REF!</v>
      </c>
      <c r="Z618" s="404"/>
      <c r="AA618" s="404" t="e">
        <f t="shared" ref="AA618:AA623" si="227">AB610-AA610</f>
        <v>#REF!</v>
      </c>
      <c r="AB618" s="404"/>
      <c r="AC618" s="404" t="e">
        <f t="shared" ref="AC618:AC623" si="228">AD610-AC610</f>
        <v>#REF!</v>
      </c>
      <c r="AD618" s="404"/>
    </row>
    <row r="619" spans="19:30" x14ac:dyDescent="0.3">
      <c r="S619" s="275" t="s">
        <v>132</v>
      </c>
      <c r="T619" s="404">
        <f t="shared" si="224"/>
        <v>13.764191918846791</v>
      </c>
      <c r="U619" s="404"/>
      <c r="V619" s="280" t="str">
        <f t="shared" ref="V619:V623" si="229">V611</f>
        <v>kWh</v>
      </c>
      <c r="W619" s="404" t="e">
        <f t="shared" si="225"/>
        <v>#REF!</v>
      </c>
      <c r="X619" s="404"/>
      <c r="Y619" s="404" t="e">
        <f t="shared" si="226"/>
        <v>#REF!</v>
      </c>
      <c r="Z619" s="404"/>
      <c r="AA619" s="404" t="e">
        <f t="shared" si="227"/>
        <v>#REF!</v>
      </c>
      <c r="AB619" s="404"/>
      <c r="AC619" s="404" t="e">
        <f t="shared" si="228"/>
        <v>#REF!</v>
      </c>
      <c r="AD619" s="404"/>
    </row>
    <row r="620" spans="19:30" x14ac:dyDescent="0.3">
      <c r="S620" s="366" t="s">
        <v>316</v>
      </c>
      <c r="T620" s="404">
        <f t="shared" si="224"/>
        <v>-3.8215188903280932</v>
      </c>
      <c r="U620" s="404"/>
      <c r="V620" s="280" t="str">
        <f t="shared" si="229"/>
        <v>kW</v>
      </c>
      <c r="W620" s="404">
        <f t="shared" si="225"/>
        <v>-660.77306335489266</v>
      </c>
      <c r="X620" s="404"/>
      <c r="Y620" s="404">
        <f t="shared" si="226"/>
        <v>-5797.9875266880263</v>
      </c>
      <c r="Z620" s="404"/>
      <c r="AA620" s="404">
        <f t="shared" si="227"/>
        <v>16.25162248084871</v>
      </c>
      <c r="AB620" s="404"/>
      <c r="AC620" s="404">
        <f t="shared" si="228"/>
        <v>2.0211115020865691</v>
      </c>
      <c r="AD620" s="404"/>
    </row>
    <row r="621" spans="19:30" x14ac:dyDescent="0.3">
      <c r="S621" s="275" t="s">
        <v>147</v>
      </c>
      <c r="T621" s="404">
        <f t="shared" si="224"/>
        <v>-6.5236267070851568</v>
      </c>
      <c r="U621" s="404"/>
      <c r="V621" s="280" t="str">
        <f t="shared" si="229"/>
        <v>kW</v>
      </c>
      <c r="W621" s="404">
        <f t="shared" si="225"/>
        <v>-26.685191209850814</v>
      </c>
      <c r="X621" s="404"/>
      <c r="Y621" s="404">
        <f t="shared" si="226"/>
        <v>-31.893361100150287</v>
      </c>
      <c r="Z621" s="404"/>
      <c r="AA621" s="404">
        <f t="shared" si="227"/>
        <v>-4.3714155697497148E-2</v>
      </c>
      <c r="AB621" s="404"/>
      <c r="AC621" s="404">
        <f t="shared" si="228"/>
        <v>-5.814121910552883E-2</v>
      </c>
      <c r="AD621" s="404"/>
    </row>
    <row r="622" spans="19:30" x14ac:dyDescent="0.3">
      <c r="S622" s="275" t="s">
        <v>66</v>
      </c>
      <c r="T622" s="404">
        <f t="shared" si="224"/>
        <v>0</v>
      </c>
      <c r="U622" s="404"/>
      <c r="V622" s="280" t="str">
        <f t="shared" si="229"/>
        <v>kW</v>
      </c>
      <c r="W622" s="404">
        <f t="shared" si="225"/>
        <v>0</v>
      </c>
      <c r="X622" s="404"/>
      <c r="Y622" s="404">
        <f t="shared" si="226"/>
        <v>-59.131064511941986</v>
      </c>
      <c r="Z622" s="404"/>
      <c r="AA622" s="404">
        <f t="shared" si="227"/>
        <v>0</v>
      </c>
      <c r="AB622" s="404"/>
      <c r="AC622" s="404">
        <f t="shared" si="228"/>
        <v>-7.327269456250507E-3</v>
      </c>
      <c r="AD622" s="404"/>
    </row>
    <row r="623" spans="19:30" x14ac:dyDescent="0.3">
      <c r="S623" s="275" t="s">
        <v>148</v>
      </c>
      <c r="T623" s="404">
        <f t="shared" si="224"/>
        <v>0.85642642818638848</v>
      </c>
      <c r="U623" s="404"/>
      <c r="V623" s="280" t="str">
        <f t="shared" si="229"/>
        <v>kWh</v>
      </c>
      <c r="W623" s="404" t="e">
        <f t="shared" si="225"/>
        <v>#REF!</v>
      </c>
      <c r="X623" s="404"/>
      <c r="Y623" s="404" t="e">
        <f t="shared" si="226"/>
        <v>#REF!</v>
      </c>
      <c r="Z623" s="404"/>
      <c r="AA623" s="404" t="e">
        <f t="shared" si="227"/>
        <v>#REF!</v>
      </c>
      <c r="AB623" s="404"/>
      <c r="AC623" s="404" t="e">
        <f t="shared" si="228"/>
        <v>#REF!</v>
      </c>
      <c r="AD623" s="404"/>
    </row>
  </sheetData>
  <mergeCells count="325">
    <mergeCell ref="A192:H192"/>
    <mergeCell ref="A211:G211"/>
    <mergeCell ref="A230:H230"/>
    <mergeCell ref="A236:G236"/>
    <mergeCell ref="A242:G242"/>
    <mergeCell ref="T602:U602"/>
    <mergeCell ref="W602:X602"/>
    <mergeCell ref="Y602:Z602"/>
    <mergeCell ref="AA602:AB602"/>
    <mergeCell ref="Y601:Z601"/>
    <mergeCell ref="AA564:AB564"/>
    <mergeCell ref="T545:U545"/>
    <mergeCell ref="AA545:AB545"/>
    <mergeCell ref="Y543:Z543"/>
    <mergeCell ref="W544:X544"/>
    <mergeCell ref="Y544:Z544"/>
    <mergeCell ref="T541:U541"/>
    <mergeCell ref="T531:U531"/>
    <mergeCell ref="AA531:AB531"/>
    <mergeCell ref="A293:C293"/>
    <mergeCell ref="A294:C294"/>
    <mergeCell ref="K477:R477"/>
    <mergeCell ref="K478:R478"/>
    <mergeCell ref="K479:R479"/>
    <mergeCell ref="T607:U607"/>
    <mergeCell ref="W607:X607"/>
    <mergeCell ref="Y607:Z607"/>
    <mergeCell ref="T619:U619"/>
    <mergeCell ref="W619:X619"/>
    <mergeCell ref="Y619:Z619"/>
    <mergeCell ref="AA619:AB619"/>
    <mergeCell ref="AC619:AD619"/>
    <mergeCell ref="T620:U620"/>
    <mergeCell ref="W620:X620"/>
    <mergeCell ref="T617:U617"/>
    <mergeCell ref="AA617:AB617"/>
    <mergeCell ref="AC617:AD617"/>
    <mergeCell ref="AA618:AB618"/>
    <mergeCell ref="AC618:AD618"/>
    <mergeCell ref="T618:U618"/>
    <mergeCell ref="W618:X618"/>
    <mergeCell ref="T603:U603"/>
    <mergeCell ref="W603:X603"/>
    <mergeCell ref="Y603:Z603"/>
    <mergeCell ref="AA603:AB603"/>
    <mergeCell ref="AC603:AD603"/>
    <mergeCell ref="T604:U604"/>
    <mergeCell ref="W604:X604"/>
    <mergeCell ref="Y604:Z604"/>
    <mergeCell ref="AA604:AB604"/>
    <mergeCell ref="AC604:AD604"/>
    <mergeCell ref="AC602:AD602"/>
    <mergeCell ref="T563:U563"/>
    <mergeCell ref="W563:X563"/>
    <mergeCell ref="Y563:Z563"/>
    <mergeCell ref="AA563:AB563"/>
    <mergeCell ref="AC563:AD563"/>
    <mergeCell ref="T564:U564"/>
    <mergeCell ref="T583:U583"/>
    <mergeCell ref="AA583:AB583"/>
    <mergeCell ref="AC583:AD583"/>
    <mergeCell ref="T579:U579"/>
    <mergeCell ref="AA579:AB579"/>
    <mergeCell ref="AC579:AD579"/>
    <mergeCell ref="T580:U580"/>
    <mergeCell ref="AA580:AB580"/>
    <mergeCell ref="AC580:AD580"/>
    <mergeCell ref="W579:X579"/>
    <mergeCell ref="Y579:Z579"/>
    <mergeCell ref="W580:X580"/>
    <mergeCell ref="Y580:Z580"/>
    <mergeCell ref="T581:U581"/>
    <mergeCell ref="W581:X581"/>
    <mergeCell ref="W564:X564"/>
    <mergeCell ref="Y564:Z564"/>
    <mergeCell ref="AC545:AD545"/>
    <mergeCell ref="W545:X545"/>
    <mergeCell ref="Y545:Z545"/>
    <mergeCell ref="T546:U546"/>
    <mergeCell ref="W546:X546"/>
    <mergeCell ref="Y546:Z546"/>
    <mergeCell ref="AA546:AB546"/>
    <mergeCell ref="AC546:AD546"/>
    <mergeCell ref="AA541:AB541"/>
    <mergeCell ref="AC541:AD541"/>
    <mergeCell ref="T542:U542"/>
    <mergeCell ref="AA542:AB542"/>
    <mergeCell ref="AC542:AD542"/>
    <mergeCell ref="T543:U543"/>
    <mergeCell ref="AA543:AB543"/>
    <mergeCell ref="AC543:AD543"/>
    <mergeCell ref="T544:U544"/>
    <mergeCell ref="AA544:AB544"/>
    <mergeCell ref="AC544:AD544"/>
    <mergeCell ref="W541:X541"/>
    <mergeCell ref="Y541:Z541"/>
    <mergeCell ref="W542:X542"/>
    <mergeCell ref="Y542:Z542"/>
    <mergeCell ref="W543:X543"/>
    <mergeCell ref="AC531:AD531"/>
    <mergeCell ref="AA532:AB532"/>
    <mergeCell ref="AC532:AD532"/>
    <mergeCell ref="T526:U526"/>
    <mergeCell ref="AA526:AB526"/>
    <mergeCell ref="AC526:AD526"/>
    <mergeCell ref="T527:U527"/>
    <mergeCell ref="AA527:AB527"/>
    <mergeCell ref="AC527:AD527"/>
    <mergeCell ref="Y527:Z527"/>
    <mergeCell ref="Y528:Z528"/>
    <mergeCell ref="AA528:AB528"/>
    <mergeCell ref="AC528:AD528"/>
    <mergeCell ref="W531:X531"/>
    <mergeCell ref="Y531:Z531"/>
    <mergeCell ref="S532:X532"/>
    <mergeCell ref="Y526:Z526"/>
    <mergeCell ref="T528:U528"/>
    <mergeCell ref="W526:X526"/>
    <mergeCell ref="W527:X527"/>
    <mergeCell ref="W528:X528"/>
    <mergeCell ref="AA523:AB523"/>
    <mergeCell ref="AC523:AD523"/>
    <mergeCell ref="T524:U524"/>
    <mergeCell ref="AA524:AB524"/>
    <mergeCell ref="AC524:AD524"/>
    <mergeCell ref="T525:U525"/>
    <mergeCell ref="AA525:AB525"/>
    <mergeCell ref="AC525:AD525"/>
    <mergeCell ref="Y522:Z522"/>
    <mergeCell ref="Y523:Z523"/>
    <mergeCell ref="Y524:Z524"/>
    <mergeCell ref="Y525:Z525"/>
    <mergeCell ref="AA522:AB522"/>
    <mergeCell ref="AC522:AD522"/>
    <mergeCell ref="W522:X522"/>
    <mergeCell ref="W523:X523"/>
    <mergeCell ref="W524:X524"/>
    <mergeCell ref="W525:X525"/>
    <mergeCell ref="T522:U522"/>
    <mergeCell ref="T523:U523"/>
    <mergeCell ref="A297:H297"/>
    <mergeCell ref="AA512:AB512"/>
    <mergeCell ref="AC512:AD512"/>
    <mergeCell ref="AA513:AB513"/>
    <mergeCell ref="AC513:AD513"/>
    <mergeCell ref="A312:G312"/>
    <mergeCell ref="T512:U512"/>
    <mergeCell ref="B315:E315"/>
    <mergeCell ref="A314:I314"/>
    <mergeCell ref="F315:I315"/>
    <mergeCell ref="A351:E351"/>
    <mergeCell ref="A353:E353"/>
    <mergeCell ref="K468:R468"/>
    <mergeCell ref="K472:R472"/>
    <mergeCell ref="K491:R491"/>
    <mergeCell ref="K492:R492"/>
    <mergeCell ref="A299:H299"/>
    <mergeCell ref="A302:H302"/>
    <mergeCell ref="A305:H305"/>
    <mergeCell ref="A308:H308"/>
    <mergeCell ref="K506:R506"/>
    <mergeCell ref="K487:R487"/>
    <mergeCell ref="K496:R496"/>
    <mergeCell ref="K497:R49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22:G22"/>
    <mergeCell ref="A24:G24"/>
    <mergeCell ref="A81:G81"/>
    <mergeCell ref="A119:G119"/>
    <mergeCell ref="A278:E278"/>
    <mergeCell ref="A285:E285"/>
    <mergeCell ref="A290:E290"/>
    <mergeCell ref="A62:H62"/>
    <mergeCell ref="A82:H82"/>
    <mergeCell ref="A104:G104"/>
    <mergeCell ref="A209:F209"/>
    <mergeCell ref="A228:I228"/>
    <mergeCell ref="B252:E252"/>
    <mergeCell ref="A102:G102"/>
    <mergeCell ref="A138:F138"/>
    <mergeCell ref="A154:B154"/>
    <mergeCell ref="A169:G169"/>
    <mergeCell ref="A171:G171"/>
    <mergeCell ref="A258:E258"/>
    <mergeCell ref="A264:E264"/>
    <mergeCell ref="A271:E271"/>
    <mergeCell ref="A155:B155"/>
    <mergeCell ref="A156:B156"/>
    <mergeCell ref="A157:B157"/>
    <mergeCell ref="K501:R501"/>
    <mergeCell ref="K502:R502"/>
    <mergeCell ref="W512:X512"/>
    <mergeCell ref="Y512:Z512"/>
    <mergeCell ref="K482:R482"/>
    <mergeCell ref="K483:R483"/>
    <mergeCell ref="K486:R486"/>
    <mergeCell ref="S513:X513"/>
    <mergeCell ref="T547:U547"/>
    <mergeCell ref="W547:X547"/>
    <mergeCell ref="Y547:Z547"/>
    <mergeCell ref="AA547:AB547"/>
    <mergeCell ref="AC547:AD547"/>
    <mergeCell ref="T550:U550"/>
    <mergeCell ref="W550:X550"/>
    <mergeCell ref="Y550:Z550"/>
    <mergeCell ref="AA550:AB550"/>
    <mergeCell ref="AC550:AD550"/>
    <mergeCell ref="S551:X551"/>
    <mergeCell ref="AA551:AB551"/>
    <mergeCell ref="AC551:AD551"/>
    <mergeCell ref="W560:X560"/>
    <mergeCell ref="Y560:Z560"/>
    <mergeCell ref="W561:X561"/>
    <mergeCell ref="Y561:Z561"/>
    <mergeCell ref="W562:X562"/>
    <mergeCell ref="Y562:Z562"/>
    <mergeCell ref="T560:U560"/>
    <mergeCell ref="AA560:AB560"/>
    <mergeCell ref="AC560:AD560"/>
    <mergeCell ref="T561:U561"/>
    <mergeCell ref="AA561:AB561"/>
    <mergeCell ref="AC561:AD561"/>
    <mergeCell ref="T562:U562"/>
    <mergeCell ref="AA562:AB562"/>
    <mergeCell ref="AC562:AD562"/>
    <mergeCell ref="AC564:AD564"/>
    <mergeCell ref="T565:U565"/>
    <mergeCell ref="W565:X565"/>
    <mergeCell ref="Y565:Z565"/>
    <mergeCell ref="AA565:AB565"/>
    <mergeCell ref="AC565:AD565"/>
    <mergeCell ref="W566:X566"/>
    <mergeCell ref="Y566:Z566"/>
    <mergeCell ref="T569:U569"/>
    <mergeCell ref="W569:X569"/>
    <mergeCell ref="Y569:Z569"/>
    <mergeCell ref="AA569:AB569"/>
    <mergeCell ref="AC569:AD569"/>
    <mergeCell ref="S570:X570"/>
    <mergeCell ref="AA570:AB570"/>
    <mergeCell ref="AC570:AD570"/>
    <mergeCell ref="T566:U566"/>
    <mergeCell ref="AA566:AB566"/>
    <mergeCell ref="AC566:AD566"/>
    <mergeCell ref="Y581:Z581"/>
    <mergeCell ref="AA581:AB581"/>
    <mergeCell ref="AC581:AD581"/>
    <mergeCell ref="T582:U582"/>
    <mergeCell ref="W582:X582"/>
    <mergeCell ref="Y582:Z582"/>
    <mergeCell ref="AA582:AB582"/>
    <mergeCell ref="AC582:AD582"/>
    <mergeCell ref="W583:X583"/>
    <mergeCell ref="Y583:Z583"/>
    <mergeCell ref="T584:U584"/>
    <mergeCell ref="W584:X584"/>
    <mergeCell ref="Y584:Z584"/>
    <mergeCell ref="AA584:AB584"/>
    <mergeCell ref="AC584:AD584"/>
    <mergeCell ref="T585:U585"/>
    <mergeCell ref="W585:X585"/>
    <mergeCell ref="Y585:Z585"/>
    <mergeCell ref="AA585:AB585"/>
    <mergeCell ref="AC585:AD585"/>
    <mergeCell ref="T588:U588"/>
    <mergeCell ref="W588:X588"/>
    <mergeCell ref="Y588:Z588"/>
    <mergeCell ref="AA588:AB588"/>
    <mergeCell ref="AC588:AD588"/>
    <mergeCell ref="AA622:AB622"/>
    <mergeCell ref="S589:X589"/>
    <mergeCell ref="AA589:AB589"/>
    <mergeCell ref="AC589:AD589"/>
    <mergeCell ref="T598:U598"/>
    <mergeCell ref="W598:X598"/>
    <mergeCell ref="Y598:Z598"/>
    <mergeCell ref="AA598:AB598"/>
    <mergeCell ref="AC598:AD598"/>
    <mergeCell ref="T599:U599"/>
    <mergeCell ref="W599:X599"/>
    <mergeCell ref="Y599:Z599"/>
    <mergeCell ref="AA599:AB599"/>
    <mergeCell ref="AC599:AD599"/>
    <mergeCell ref="Y618:Z618"/>
    <mergeCell ref="T600:U600"/>
    <mergeCell ref="AA600:AB600"/>
    <mergeCell ref="AC600:AD600"/>
    <mergeCell ref="AA601:AB601"/>
    <mergeCell ref="AC601:AD601"/>
    <mergeCell ref="W600:X600"/>
    <mergeCell ref="Y600:Z600"/>
    <mergeCell ref="T601:U601"/>
    <mergeCell ref="W601:X601"/>
    <mergeCell ref="AC622:AD622"/>
    <mergeCell ref="AA607:AB607"/>
    <mergeCell ref="AC607:AD607"/>
    <mergeCell ref="S608:X608"/>
    <mergeCell ref="AA608:AB608"/>
    <mergeCell ref="AC608:AD608"/>
    <mergeCell ref="W617:X617"/>
    <mergeCell ref="Y617:Z617"/>
    <mergeCell ref="T623:U623"/>
    <mergeCell ref="W623:X623"/>
    <mergeCell ref="Y623:Z623"/>
    <mergeCell ref="AA623:AB623"/>
    <mergeCell ref="AC623:AD623"/>
    <mergeCell ref="Y620:Z620"/>
    <mergeCell ref="AA620:AB620"/>
    <mergeCell ref="AC620:AD620"/>
    <mergeCell ref="T621:U621"/>
    <mergeCell ref="W621:X621"/>
    <mergeCell ref="Y621:Z621"/>
    <mergeCell ref="AA621:AB621"/>
    <mergeCell ref="AC621:AD621"/>
    <mergeCell ref="T622:U622"/>
    <mergeCell ref="W622:X622"/>
    <mergeCell ref="Y622:Z622"/>
  </mergeCells>
  <pageMargins left="0" right="0" top="0.75" bottom="0.75" header="0.3" footer="0.3"/>
  <pageSetup paperSize="5" scale="37" fitToHeight="0" orientation="landscape" horizontalDpi="200" verticalDpi="200" r:id="rId1"/>
  <headerFooter alignWithMargins="0"/>
  <ignoredErrors>
    <ignoredError sqref="D29:D41 F29:F43" formula="1"/>
    <ignoredError sqref="B243:G244" evalError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98"/>
  <sheetViews>
    <sheetView topLeftCell="A73" workbookViewId="0">
      <selection activeCell="D76" sqref="D76"/>
    </sheetView>
  </sheetViews>
  <sheetFormatPr defaultRowHeight="13.2" x14ac:dyDescent="0.25"/>
  <cols>
    <col min="1" max="1" width="1.33203125" customWidth="1"/>
    <col min="2" max="2" width="31.6640625" bestFit="1" customWidth="1"/>
    <col min="3" max="3" width="18.88671875" customWidth="1"/>
    <col min="4" max="4" width="10.33203125" bestFit="1" customWidth="1"/>
    <col min="5" max="5" width="14.44140625" bestFit="1" customWidth="1"/>
    <col min="6" max="6" width="9.33203125" bestFit="1" customWidth="1"/>
    <col min="7" max="7" width="12.44140625" bestFit="1" customWidth="1"/>
    <col min="8" max="8" width="15.44140625" bestFit="1" customWidth="1"/>
  </cols>
  <sheetData>
    <row r="2" spans="2:7" ht="13.8" thickBot="1" x14ac:dyDescent="0.3"/>
    <row r="3" spans="2:7" ht="13.8" thickBot="1" x14ac:dyDescent="0.3">
      <c r="B3" s="452" t="s">
        <v>172</v>
      </c>
      <c r="C3" s="453"/>
      <c r="D3" s="453"/>
      <c r="E3" s="454"/>
    </row>
    <row r="4" spans="2:7" x14ac:dyDescent="0.25">
      <c r="B4" s="206" t="s">
        <v>193</v>
      </c>
      <c r="C4" s="66" t="s">
        <v>83</v>
      </c>
      <c r="D4" s="66" t="s">
        <v>84</v>
      </c>
      <c r="E4" s="205" t="s">
        <v>180</v>
      </c>
    </row>
    <row r="5" spans="2:7" x14ac:dyDescent="0.25">
      <c r="B5" s="77" t="s">
        <v>1</v>
      </c>
      <c r="C5" s="78">
        <f>Summary!Q15</f>
        <v>285978989.05512553</v>
      </c>
      <c r="D5" s="79"/>
      <c r="E5" s="135">
        <v>0.96640000000000004</v>
      </c>
    </row>
    <row r="6" spans="2:7" x14ac:dyDescent="0.25">
      <c r="B6" s="77" t="s">
        <v>132</v>
      </c>
      <c r="C6" s="78">
        <f>Summary!Q19</f>
        <v>91654269.719868049</v>
      </c>
      <c r="D6" s="79"/>
      <c r="E6" s="135">
        <v>0.92679999999999996</v>
      </c>
    </row>
    <row r="7" spans="2:7" x14ac:dyDescent="0.25">
      <c r="B7" s="386" t="s">
        <v>316</v>
      </c>
      <c r="C7" s="78">
        <f>Summary!Q23</f>
        <v>242774403.3919211</v>
      </c>
      <c r="D7" s="80">
        <f>Summary!Q24</f>
        <v>610103.32693664508</v>
      </c>
      <c r="E7" s="135">
        <v>0.35639999999999999</v>
      </c>
    </row>
    <row r="8" spans="2:7" x14ac:dyDescent="0.25">
      <c r="B8" s="77" t="s">
        <v>140</v>
      </c>
      <c r="C8" s="78">
        <f>Summary!Q28</f>
        <v>209800.13099560147</v>
      </c>
      <c r="D8" s="80">
        <f>Summary!Q29</f>
        <v>592.51480879014923</v>
      </c>
      <c r="E8" s="135">
        <v>1</v>
      </c>
    </row>
    <row r="9" spans="2:7" x14ac:dyDescent="0.25">
      <c r="B9" s="77" t="s">
        <v>66</v>
      </c>
      <c r="C9" s="78">
        <f>Summary!Q33</f>
        <v>2398221.2999999998</v>
      </c>
      <c r="D9" s="80">
        <f>Summary!Q34</f>
        <v>7030.1</v>
      </c>
      <c r="E9" s="135">
        <v>2.8799999999999999E-2</v>
      </c>
    </row>
    <row r="10" spans="2:7" x14ac:dyDescent="0.25">
      <c r="B10" s="77" t="s">
        <v>2</v>
      </c>
      <c r="C10" s="78">
        <f>Summary!Q38</f>
        <v>944731.43889360514</v>
      </c>
      <c r="D10" s="80"/>
      <c r="E10" s="135">
        <v>1</v>
      </c>
    </row>
    <row r="11" spans="2:7" x14ac:dyDescent="0.25">
      <c r="B11" s="81" t="s">
        <v>85</v>
      </c>
      <c r="C11" s="82">
        <f>SUM(C5:C10)</f>
        <v>623960415.03680384</v>
      </c>
      <c r="D11" s="82">
        <f>SUM(D5:D10)</f>
        <v>617725.94174543524</v>
      </c>
      <c r="E11" s="82"/>
    </row>
    <row r="12" spans="2:7" x14ac:dyDescent="0.25">
      <c r="C12" s="57"/>
      <c r="D12" s="57"/>
    </row>
    <row r="14" spans="2:7" x14ac:dyDescent="0.25">
      <c r="B14" s="136" t="s">
        <v>86</v>
      </c>
      <c r="C14" s="455" t="s">
        <v>179</v>
      </c>
      <c r="D14" s="457" t="s">
        <v>194</v>
      </c>
      <c r="E14" s="459">
        <v>2018</v>
      </c>
      <c r="F14" s="445"/>
      <c r="G14" s="446"/>
    </row>
    <row r="15" spans="2:7" x14ac:dyDescent="0.25">
      <c r="B15" s="137" t="s">
        <v>87</v>
      </c>
      <c r="C15" s="456"/>
      <c r="D15" s="458"/>
      <c r="E15" s="449"/>
      <c r="F15" s="447"/>
      <c r="G15" s="448"/>
    </row>
    <row r="16" spans="2:7" x14ac:dyDescent="0.25">
      <c r="B16" s="62" t="str">
        <f>B5</f>
        <v xml:space="preserve">Residential </v>
      </c>
      <c r="C16" s="78">
        <f t="shared" ref="C16:C21" si="0">C5*E5</f>
        <v>276370095.02287334</v>
      </c>
      <c r="D16" s="84">
        <v>1.0481</v>
      </c>
      <c r="E16" s="85">
        <f t="shared" ref="E16:E21" si="1">C16*D16</f>
        <v>289663496.59347355</v>
      </c>
      <c r="F16" s="150">
        <f>109.09/1000</f>
        <v>0.10909000000000001</v>
      </c>
      <c r="G16" s="87">
        <f t="shared" ref="G16:G21" si="2">E16*F16</f>
        <v>31599390.843382031</v>
      </c>
    </row>
    <row r="17" spans="2:8" x14ac:dyDescent="0.25">
      <c r="B17" s="62" t="str">
        <f>B6</f>
        <v>General Service &lt; 50 kW</v>
      </c>
      <c r="C17" s="78">
        <f t="shared" si="0"/>
        <v>84945177.176373705</v>
      </c>
      <c r="D17" s="84">
        <v>1.0481</v>
      </c>
      <c r="E17" s="85">
        <f t="shared" si="1"/>
        <v>89031040.198557287</v>
      </c>
      <c r="F17" s="150">
        <f>+F16</f>
        <v>0.10909000000000001</v>
      </c>
      <c r="G17" s="87">
        <f t="shared" si="2"/>
        <v>9712396.1752606146</v>
      </c>
    </row>
    <row r="18" spans="2:8" x14ac:dyDescent="0.25">
      <c r="B18" s="62" t="str">
        <f>B7</f>
        <v>General Service 50 to 4,999 kW</v>
      </c>
      <c r="C18" s="78">
        <f>C7*E7</f>
        <v>86524797.368880674</v>
      </c>
      <c r="D18" s="84">
        <v>1.0481</v>
      </c>
      <c r="E18" s="85">
        <f t="shared" si="1"/>
        <v>90686640.122323841</v>
      </c>
      <c r="F18" s="150">
        <f t="shared" ref="F18:F21" si="3">+F17</f>
        <v>0.10909000000000001</v>
      </c>
      <c r="G18" s="87">
        <f t="shared" si="2"/>
        <v>9893005.5709443092</v>
      </c>
    </row>
    <row r="19" spans="2:8" x14ac:dyDescent="0.25">
      <c r="B19" s="77" t="s">
        <v>140</v>
      </c>
      <c r="C19" s="78">
        <f t="shared" si="0"/>
        <v>209800.13099560147</v>
      </c>
      <c r="D19" s="84">
        <v>1.0481</v>
      </c>
      <c r="E19" s="85">
        <f t="shared" ref="E19" si="4">C19*D19</f>
        <v>219891.51729648991</v>
      </c>
      <c r="F19" s="150">
        <f t="shared" si="3"/>
        <v>0.10909000000000001</v>
      </c>
      <c r="G19" s="87">
        <f t="shared" ref="G19" si="5">E19*F19</f>
        <v>23987.965621874086</v>
      </c>
    </row>
    <row r="20" spans="2:8" x14ac:dyDescent="0.25">
      <c r="B20" s="62" t="str">
        <f>B9</f>
        <v>Street Lights</v>
      </c>
      <c r="C20" s="78">
        <f t="shared" si="0"/>
        <v>69068.77343999999</v>
      </c>
      <c r="D20" s="84">
        <v>1.0481</v>
      </c>
      <c r="E20" s="85">
        <f t="shared" si="1"/>
        <v>72390.981442463992</v>
      </c>
      <c r="F20" s="150">
        <f t="shared" si="3"/>
        <v>0.10909000000000001</v>
      </c>
      <c r="G20" s="87">
        <f t="shared" si="2"/>
        <v>7897.132165558397</v>
      </c>
    </row>
    <row r="21" spans="2:8" x14ac:dyDescent="0.25">
      <c r="B21" s="62" t="str">
        <f>B10</f>
        <v xml:space="preserve">Unmetered Loads </v>
      </c>
      <c r="C21" s="78">
        <f t="shared" si="0"/>
        <v>944731.43889360514</v>
      </c>
      <c r="D21" s="84">
        <v>1.0481</v>
      </c>
      <c r="E21" s="85">
        <f t="shared" si="1"/>
        <v>990173.02110438759</v>
      </c>
      <c r="F21" s="150">
        <f t="shared" si="3"/>
        <v>0.10909000000000001</v>
      </c>
      <c r="G21" s="87">
        <f t="shared" si="2"/>
        <v>108017.97487227764</v>
      </c>
    </row>
    <row r="22" spans="2:8" x14ac:dyDescent="0.25">
      <c r="B22" s="81" t="s">
        <v>85</v>
      </c>
      <c r="C22" s="82">
        <f>SUM(C16:C21)</f>
        <v>449063669.911457</v>
      </c>
      <c r="D22" s="83"/>
      <c r="E22" s="82">
        <f>SUM(E16:E21)</f>
        <v>470663632.43419802</v>
      </c>
      <c r="F22" s="151"/>
      <c r="G22" s="89">
        <f>SUM(G16:G21)</f>
        <v>51344695.662246667</v>
      </c>
      <c r="H22" s="385"/>
    </row>
    <row r="23" spans="2:8" x14ac:dyDescent="0.25">
      <c r="B23" s="90"/>
      <c r="C23" s="91"/>
      <c r="D23" s="92"/>
      <c r="E23" s="91"/>
      <c r="F23" s="93"/>
      <c r="G23" s="94"/>
    </row>
    <row r="24" spans="2:8" x14ac:dyDescent="0.25">
      <c r="B24" s="136" t="s">
        <v>88</v>
      </c>
      <c r="C24" s="455" t="s">
        <v>179</v>
      </c>
      <c r="D24" s="457" t="s">
        <v>178</v>
      </c>
      <c r="E24" s="459">
        <v>2018</v>
      </c>
      <c r="F24" s="445"/>
      <c r="G24" s="446"/>
    </row>
    <row r="25" spans="2:8" x14ac:dyDescent="0.25">
      <c r="B25" s="137" t="s">
        <v>89</v>
      </c>
      <c r="C25" s="456"/>
      <c r="D25" s="458"/>
      <c r="E25" s="449"/>
      <c r="F25" s="447"/>
      <c r="G25" s="448"/>
    </row>
    <row r="26" spans="2:8" x14ac:dyDescent="0.25">
      <c r="B26" s="62" t="str">
        <f>B16</f>
        <v xml:space="preserve">Residential </v>
      </c>
      <c r="C26" s="78">
        <f t="shared" ref="C26:C31" si="6">C5-C16</f>
        <v>9608894.0322521925</v>
      </c>
      <c r="D26" s="79">
        <f t="shared" ref="D26:D31" si="7">D16</f>
        <v>1.0481</v>
      </c>
      <c r="E26" s="85">
        <f t="shared" ref="E26:E31" si="8">C26*D26</f>
        <v>10071081.835203523</v>
      </c>
      <c r="F26" s="86">
        <f>(19.64+86.52)/1000</f>
        <v>0.10615999999999999</v>
      </c>
      <c r="G26" s="87">
        <f t="shared" ref="G26:G31" si="9">E26*F26</f>
        <v>1069146.0476252059</v>
      </c>
    </row>
    <row r="27" spans="2:8" x14ac:dyDescent="0.25">
      <c r="B27" s="62" t="str">
        <f>B17</f>
        <v>General Service &lt; 50 kW</v>
      </c>
      <c r="C27" s="78">
        <f t="shared" si="6"/>
        <v>6709092.5434943438</v>
      </c>
      <c r="D27" s="79">
        <f t="shared" si="7"/>
        <v>1.0481</v>
      </c>
      <c r="E27" s="85">
        <f t="shared" si="8"/>
        <v>7031799.8948364221</v>
      </c>
      <c r="F27" s="86">
        <f t="shared" ref="F27:F31" si="10">(19.64+86.52)/1000</f>
        <v>0.10615999999999999</v>
      </c>
      <c r="G27" s="87">
        <f t="shared" si="9"/>
        <v>746495.87683583447</v>
      </c>
    </row>
    <row r="28" spans="2:8" x14ac:dyDescent="0.25">
      <c r="B28" s="62" t="str">
        <f>B18</f>
        <v>General Service 50 to 4,999 kW</v>
      </c>
      <c r="C28" s="78">
        <f t="shared" si="6"/>
        <v>156249606.02304041</v>
      </c>
      <c r="D28" s="79">
        <f t="shared" si="7"/>
        <v>1.0481</v>
      </c>
      <c r="E28" s="85">
        <f t="shared" si="8"/>
        <v>163765212.07274866</v>
      </c>
      <c r="F28" s="86">
        <f t="shared" si="10"/>
        <v>0.10615999999999999</v>
      </c>
      <c r="G28" s="87">
        <f t="shared" si="9"/>
        <v>17385314.913642995</v>
      </c>
    </row>
    <row r="29" spans="2:8" x14ac:dyDescent="0.25">
      <c r="B29" s="77" t="s">
        <v>140</v>
      </c>
      <c r="C29" s="78">
        <f t="shared" si="6"/>
        <v>0</v>
      </c>
      <c r="D29" s="79">
        <f t="shared" si="7"/>
        <v>1.0481</v>
      </c>
      <c r="E29" s="85">
        <f t="shared" ref="E29" si="11">C29*D29</f>
        <v>0</v>
      </c>
      <c r="F29" s="86">
        <f t="shared" si="10"/>
        <v>0.10615999999999999</v>
      </c>
      <c r="G29" s="87">
        <f t="shared" ref="G29" si="12">E29*F29</f>
        <v>0</v>
      </c>
    </row>
    <row r="30" spans="2:8" x14ac:dyDescent="0.25">
      <c r="B30" s="62" t="str">
        <f>B20</f>
        <v>Street Lights</v>
      </c>
      <c r="C30" s="78">
        <f t="shared" si="6"/>
        <v>2329152.5265599997</v>
      </c>
      <c r="D30" s="79">
        <f t="shared" si="7"/>
        <v>1.0481</v>
      </c>
      <c r="E30" s="85">
        <f t="shared" si="8"/>
        <v>2441184.7630875357</v>
      </c>
      <c r="F30" s="86">
        <f t="shared" si="10"/>
        <v>0.10615999999999999</v>
      </c>
      <c r="G30" s="87">
        <f t="shared" si="9"/>
        <v>259156.17444937277</v>
      </c>
    </row>
    <row r="31" spans="2:8" x14ac:dyDescent="0.25">
      <c r="B31" s="62" t="str">
        <f>B21</f>
        <v xml:space="preserve">Unmetered Loads </v>
      </c>
      <c r="C31" s="78">
        <f t="shared" si="6"/>
        <v>0</v>
      </c>
      <c r="D31" s="79">
        <f t="shared" si="7"/>
        <v>1.0481</v>
      </c>
      <c r="E31" s="85">
        <f t="shared" si="8"/>
        <v>0</v>
      </c>
      <c r="F31" s="86">
        <f t="shared" si="10"/>
        <v>0.10615999999999999</v>
      </c>
      <c r="G31" s="87">
        <f t="shared" si="9"/>
        <v>0</v>
      </c>
    </row>
    <row r="32" spans="2:8" x14ac:dyDescent="0.25">
      <c r="B32" s="81" t="s">
        <v>85</v>
      </c>
      <c r="C32" s="82">
        <f>SUM(C26:C31)</f>
        <v>174896745.12534696</v>
      </c>
      <c r="D32" s="83"/>
      <c r="E32" s="82">
        <f>SUM(E26:E31)</f>
        <v>183309278.56587616</v>
      </c>
      <c r="F32" s="88"/>
      <c r="G32" s="89">
        <f>SUM(G26:G31)</f>
        <v>19460113.012553409</v>
      </c>
    </row>
    <row r="34" spans="2:7" x14ac:dyDescent="0.25">
      <c r="B34" s="138" t="s">
        <v>90</v>
      </c>
      <c r="C34" s="139"/>
      <c r="D34" s="140" t="s">
        <v>91</v>
      </c>
      <c r="E34" s="141"/>
      <c r="F34" s="142"/>
      <c r="G34" s="139"/>
    </row>
    <row r="35" spans="2:7" x14ac:dyDescent="0.25">
      <c r="B35" s="137" t="s">
        <v>89</v>
      </c>
      <c r="C35" s="149"/>
      <c r="D35" s="143" t="s">
        <v>92</v>
      </c>
      <c r="E35" s="449">
        <v>2018</v>
      </c>
      <c r="F35" s="447"/>
      <c r="G35" s="448"/>
    </row>
    <row r="36" spans="2:7" x14ac:dyDescent="0.25">
      <c r="B36" s="95" t="str">
        <f>B26</f>
        <v xml:space="preserve">Residential </v>
      </c>
      <c r="C36" s="85"/>
      <c r="D36" s="96" t="s">
        <v>83</v>
      </c>
      <c r="E36" s="85">
        <f>E16+E26</f>
        <v>299734578.42867708</v>
      </c>
      <c r="F36" s="152">
        <v>6.0000000000000001E-3</v>
      </c>
      <c r="G36" s="87">
        <f t="shared" ref="G36:G41" si="13">E36*F36</f>
        <v>1798407.4705720625</v>
      </c>
    </row>
    <row r="37" spans="2:7" x14ac:dyDescent="0.25">
      <c r="B37" s="95" t="str">
        <f>B27</f>
        <v>General Service &lt; 50 kW</v>
      </c>
      <c r="C37" s="85"/>
      <c r="D37" s="96" t="s">
        <v>83</v>
      </c>
      <c r="E37" s="85">
        <f>E17+E27</f>
        <v>96062840.093393713</v>
      </c>
      <c r="F37" s="152">
        <v>5.5999999999999999E-3</v>
      </c>
      <c r="G37" s="87">
        <f t="shared" si="13"/>
        <v>537951.90452300478</v>
      </c>
    </row>
    <row r="38" spans="2:7" x14ac:dyDescent="0.25">
      <c r="B38" s="95" t="str">
        <f>B28</f>
        <v>General Service 50 to 4,999 kW</v>
      </c>
      <c r="C38" s="85"/>
      <c r="D38" s="96" t="s">
        <v>84</v>
      </c>
      <c r="E38" s="85">
        <f>D7</f>
        <v>610103.32693664508</v>
      </c>
      <c r="F38" s="152">
        <v>2.2694000000000001</v>
      </c>
      <c r="G38" s="87">
        <f t="shared" si="13"/>
        <v>1384568.4901500223</v>
      </c>
    </row>
    <row r="39" spans="2:7" x14ac:dyDescent="0.25">
      <c r="B39" s="77" t="s">
        <v>140</v>
      </c>
      <c r="C39" s="78"/>
      <c r="D39" s="96" t="s">
        <v>84</v>
      </c>
      <c r="E39" s="85">
        <f>+D8</f>
        <v>592.51480879014923</v>
      </c>
      <c r="F39" s="152">
        <v>1.7202</v>
      </c>
      <c r="G39" s="87">
        <f t="shared" si="13"/>
        <v>1019.2439740808147</v>
      </c>
    </row>
    <row r="40" spans="2:7" x14ac:dyDescent="0.25">
      <c r="B40" s="95" t="str">
        <f>B30</f>
        <v>Street Lights</v>
      </c>
      <c r="C40" s="85"/>
      <c r="D40" s="96" t="s">
        <v>84</v>
      </c>
      <c r="E40" s="85">
        <f>D9</f>
        <v>7030.1</v>
      </c>
      <c r="F40" s="152">
        <v>1.7116</v>
      </c>
      <c r="G40" s="87">
        <f t="shared" si="13"/>
        <v>12032.719160000001</v>
      </c>
    </row>
    <row r="41" spans="2:7" x14ac:dyDescent="0.25">
      <c r="B41" s="95" t="str">
        <f>B31</f>
        <v xml:space="preserve">Unmetered Loads </v>
      </c>
      <c r="C41" s="85"/>
      <c r="D41" s="96" t="s">
        <v>83</v>
      </c>
      <c r="E41" s="85">
        <f>E31+E21</f>
        <v>990173.02110438759</v>
      </c>
      <c r="F41" s="152">
        <v>5.5999999999999999E-3</v>
      </c>
      <c r="G41" s="87">
        <f t="shared" si="13"/>
        <v>5544.9689181845706</v>
      </c>
    </row>
    <row r="42" spans="2:7" x14ac:dyDescent="0.25">
      <c r="B42" s="81" t="s">
        <v>85</v>
      </c>
      <c r="C42" s="82"/>
      <c r="D42" s="83"/>
      <c r="E42" s="82"/>
      <c r="F42" s="88"/>
      <c r="G42" s="98">
        <f>SUM(G36:G41)</f>
        <v>3739524.7972973553</v>
      </c>
    </row>
    <row r="44" spans="2:7" x14ac:dyDescent="0.25">
      <c r="B44" s="138" t="s">
        <v>93</v>
      </c>
      <c r="C44" s="139"/>
      <c r="D44" s="144" t="s">
        <v>91</v>
      </c>
      <c r="E44" s="141"/>
      <c r="F44" s="142"/>
      <c r="G44" s="139"/>
    </row>
    <row r="45" spans="2:7" x14ac:dyDescent="0.25">
      <c r="B45" s="137" t="s">
        <v>89</v>
      </c>
      <c r="C45" s="149"/>
      <c r="D45" s="145" t="s">
        <v>92</v>
      </c>
      <c r="E45" s="449">
        <v>2018</v>
      </c>
      <c r="F45" s="447"/>
      <c r="G45" s="448"/>
    </row>
    <row r="46" spans="2:7" x14ac:dyDescent="0.25">
      <c r="B46" s="95" t="str">
        <f>B36</f>
        <v xml:space="preserve">Residential </v>
      </c>
      <c r="C46" s="85"/>
      <c r="D46" s="96" t="str">
        <f t="shared" ref="D46:E51" si="14">D36</f>
        <v>kWh</v>
      </c>
      <c r="E46" s="85">
        <f t="shared" si="14"/>
        <v>299734578.42867708</v>
      </c>
      <c r="F46" s="152">
        <v>0</v>
      </c>
      <c r="G46" s="87">
        <f t="shared" ref="G46:G51" si="15">E46*F46</f>
        <v>0</v>
      </c>
    </row>
    <row r="47" spans="2:7" x14ac:dyDescent="0.25">
      <c r="B47" s="95" t="str">
        <f>B37</f>
        <v>General Service &lt; 50 kW</v>
      </c>
      <c r="C47" s="85"/>
      <c r="D47" s="96" t="str">
        <f t="shared" si="14"/>
        <v>kWh</v>
      </c>
      <c r="E47" s="85">
        <f t="shared" si="14"/>
        <v>96062840.093393713</v>
      </c>
      <c r="F47" s="152">
        <v>0</v>
      </c>
      <c r="G47" s="87">
        <f t="shared" si="15"/>
        <v>0</v>
      </c>
    </row>
    <row r="48" spans="2:7" x14ac:dyDescent="0.25">
      <c r="B48" s="95" t="str">
        <f>B38</f>
        <v>General Service 50 to 4,999 kW</v>
      </c>
      <c r="C48" s="85"/>
      <c r="D48" s="96" t="str">
        <f t="shared" si="14"/>
        <v>kW</v>
      </c>
      <c r="E48" s="85">
        <f t="shared" si="14"/>
        <v>610103.32693664508</v>
      </c>
      <c r="F48" s="152">
        <v>0</v>
      </c>
      <c r="G48" s="87">
        <f t="shared" si="15"/>
        <v>0</v>
      </c>
    </row>
    <row r="49" spans="2:7" x14ac:dyDescent="0.25">
      <c r="B49" s="77" t="s">
        <v>140</v>
      </c>
      <c r="C49" s="78"/>
      <c r="D49" s="207" t="str">
        <f t="shared" si="14"/>
        <v>kW</v>
      </c>
      <c r="E49" s="85">
        <f t="shared" si="14"/>
        <v>592.51480879014923</v>
      </c>
      <c r="F49" s="152">
        <v>0</v>
      </c>
      <c r="G49" s="87">
        <f t="shared" si="15"/>
        <v>0</v>
      </c>
    </row>
    <row r="50" spans="2:7" x14ac:dyDescent="0.25">
      <c r="B50" s="95" t="str">
        <f>B40</f>
        <v>Street Lights</v>
      </c>
      <c r="C50" s="85"/>
      <c r="D50" s="96" t="str">
        <f t="shared" si="14"/>
        <v>kW</v>
      </c>
      <c r="E50" s="85">
        <f t="shared" si="14"/>
        <v>7030.1</v>
      </c>
      <c r="F50" s="152">
        <v>0</v>
      </c>
      <c r="G50" s="87">
        <f t="shared" si="15"/>
        <v>0</v>
      </c>
    </row>
    <row r="51" spans="2:7" x14ac:dyDescent="0.25">
      <c r="B51" s="95" t="str">
        <f>B41</f>
        <v xml:space="preserve">Unmetered Loads </v>
      </c>
      <c r="C51" s="85"/>
      <c r="D51" s="96" t="str">
        <f t="shared" si="14"/>
        <v>kWh</v>
      </c>
      <c r="E51" s="85">
        <f t="shared" si="14"/>
        <v>990173.02110438759</v>
      </c>
      <c r="F51" s="152">
        <v>0</v>
      </c>
      <c r="G51" s="87">
        <f t="shared" si="15"/>
        <v>0</v>
      </c>
    </row>
    <row r="52" spans="2:7" x14ac:dyDescent="0.25">
      <c r="B52" s="81" t="s">
        <v>85</v>
      </c>
      <c r="C52" s="82"/>
      <c r="D52" s="83"/>
      <c r="E52" s="82"/>
      <c r="F52" s="88"/>
      <c r="G52" s="98">
        <f>SUM(G46:G51)</f>
        <v>0</v>
      </c>
    </row>
    <row r="54" spans="2:7" x14ac:dyDescent="0.25">
      <c r="B54" s="138" t="s">
        <v>94</v>
      </c>
      <c r="C54" s="139"/>
      <c r="D54" s="144"/>
      <c r="E54" s="141"/>
      <c r="F54" s="142"/>
      <c r="G54" s="139"/>
    </row>
    <row r="55" spans="2:7" x14ac:dyDescent="0.25">
      <c r="B55" s="137" t="s">
        <v>89</v>
      </c>
      <c r="C55" s="149"/>
      <c r="D55" s="145"/>
      <c r="E55" s="449">
        <v>2018</v>
      </c>
      <c r="F55" s="447"/>
      <c r="G55" s="450"/>
    </row>
    <row r="56" spans="2:7" x14ac:dyDescent="0.25">
      <c r="B56" s="95" t="str">
        <f>B46</f>
        <v xml:space="preserve">Residential </v>
      </c>
      <c r="C56" s="85"/>
      <c r="D56" s="96" t="s">
        <v>83</v>
      </c>
      <c r="E56" s="85">
        <f t="shared" ref="E56:E61" si="16">E16+E26</f>
        <v>299734578.42867708</v>
      </c>
      <c r="F56" s="97">
        <v>3.5999999999999999E-3</v>
      </c>
      <c r="G56" s="87">
        <f t="shared" ref="G56:G61" si="17">E56*F56</f>
        <v>1079044.4823432374</v>
      </c>
    </row>
    <row r="57" spans="2:7" x14ac:dyDescent="0.25">
      <c r="B57" s="95" t="str">
        <f>B47</f>
        <v>General Service &lt; 50 kW</v>
      </c>
      <c r="C57" s="85"/>
      <c r="D57" s="96" t="s">
        <v>83</v>
      </c>
      <c r="E57" s="85">
        <f t="shared" si="16"/>
        <v>96062840.093393713</v>
      </c>
      <c r="F57" s="97">
        <v>3.5999999999999999E-3</v>
      </c>
      <c r="G57" s="87">
        <f t="shared" si="17"/>
        <v>345826.22433621733</v>
      </c>
    </row>
    <row r="58" spans="2:7" x14ac:dyDescent="0.25">
      <c r="B58" s="95" t="str">
        <f>B48</f>
        <v>General Service 50 to 4,999 kW</v>
      </c>
      <c r="C58" s="85"/>
      <c r="D58" s="96" t="s">
        <v>83</v>
      </c>
      <c r="E58" s="85">
        <f t="shared" si="16"/>
        <v>254451852.1950725</v>
      </c>
      <c r="F58" s="97">
        <v>3.5999999999999999E-3</v>
      </c>
      <c r="G58" s="87">
        <f t="shared" si="17"/>
        <v>916026.66790226102</v>
      </c>
    </row>
    <row r="59" spans="2:7" x14ac:dyDescent="0.25">
      <c r="B59" s="77" t="s">
        <v>140</v>
      </c>
      <c r="C59" s="78"/>
      <c r="D59" s="96" t="s">
        <v>83</v>
      </c>
      <c r="E59" s="85">
        <f t="shared" si="16"/>
        <v>219891.51729648991</v>
      </c>
      <c r="F59" s="97">
        <v>3.5999999999999999E-3</v>
      </c>
      <c r="G59" s="87">
        <f t="shared" si="17"/>
        <v>791.60946226736371</v>
      </c>
    </row>
    <row r="60" spans="2:7" x14ac:dyDescent="0.25">
      <c r="B60" s="95" t="str">
        <f>B50</f>
        <v>Street Lights</v>
      </c>
      <c r="C60" s="85"/>
      <c r="D60" s="96" t="s">
        <v>83</v>
      </c>
      <c r="E60" s="85">
        <f t="shared" si="16"/>
        <v>2513575.7445299998</v>
      </c>
      <c r="F60" s="97">
        <v>3.5999999999999999E-3</v>
      </c>
      <c r="G60" s="87">
        <f t="shared" si="17"/>
        <v>9048.872680307999</v>
      </c>
    </row>
    <row r="61" spans="2:7" x14ac:dyDescent="0.25">
      <c r="B61" s="95" t="str">
        <f>B51</f>
        <v xml:space="preserve">Unmetered Loads </v>
      </c>
      <c r="C61" s="85"/>
      <c r="D61" s="96" t="s">
        <v>83</v>
      </c>
      <c r="E61" s="85">
        <f t="shared" si="16"/>
        <v>990173.02110438759</v>
      </c>
      <c r="F61" s="97">
        <v>3.5999999999999999E-3</v>
      </c>
      <c r="G61" s="87">
        <f t="shared" si="17"/>
        <v>3564.6228759757951</v>
      </c>
    </row>
    <row r="62" spans="2:7" x14ac:dyDescent="0.25">
      <c r="B62" s="81" t="s">
        <v>85</v>
      </c>
      <c r="C62" s="82"/>
      <c r="D62" s="83"/>
      <c r="E62" s="82">
        <f>SUM(E56:E61)</f>
        <v>653972911.00007403</v>
      </c>
      <c r="F62" s="88"/>
      <c r="G62" s="98">
        <f>SUM(G56:G61)</f>
        <v>2354302.479600267</v>
      </c>
    </row>
    <row r="64" spans="2:7" x14ac:dyDescent="0.25">
      <c r="B64" s="138" t="s">
        <v>95</v>
      </c>
      <c r="C64" s="139"/>
      <c r="D64" s="144"/>
      <c r="E64" s="141"/>
      <c r="F64" s="142"/>
      <c r="G64" s="139"/>
    </row>
    <row r="65" spans="2:7" x14ac:dyDescent="0.25">
      <c r="B65" s="137" t="s">
        <v>89</v>
      </c>
      <c r="C65" s="149"/>
      <c r="D65" s="145"/>
      <c r="E65" s="451">
        <v>2018</v>
      </c>
      <c r="F65" s="447"/>
      <c r="G65" s="448"/>
    </row>
    <row r="66" spans="2:7" x14ac:dyDescent="0.25">
      <c r="B66" s="95" t="str">
        <f>B56</f>
        <v xml:space="preserve">Residential </v>
      </c>
      <c r="C66" s="85"/>
      <c r="D66" s="96" t="str">
        <f t="shared" ref="D66:E71" si="18">D56</f>
        <v>kWh</v>
      </c>
      <c r="E66" s="85">
        <f t="shared" si="18"/>
        <v>299734578.42867708</v>
      </c>
      <c r="F66" s="153">
        <v>2.9999999999999997E-4</v>
      </c>
      <c r="G66" s="87">
        <f t="shared" ref="G66:G71" si="19">E66*F66</f>
        <v>89920.373528603115</v>
      </c>
    </row>
    <row r="67" spans="2:7" x14ac:dyDescent="0.25">
      <c r="B67" s="95" t="str">
        <f>B57</f>
        <v>General Service &lt; 50 kW</v>
      </c>
      <c r="C67" s="85"/>
      <c r="D67" s="96" t="str">
        <f t="shared" si="18"/>
        <v>kWh</v>
      </c>
      <c r="E67" s="85">
        <f t="shared" si="18"/>
        <v>96062840.093393713</v>
      </c>
      <c r="F67" s="153">
        <v>2.9999999999999997E-4</v>
      </c>
      <c r="G67" s="87">
        <f t="shared" si="19"/>
        <v>28818.852028018111</v>
      </c>
    </row>
    <row r="68" spans="2:7" x14ac:dyDescent="0.25">
      <c r="B68" s="95" t="str">
        <f>B58</f>
        <v>General Service 50 to 4,999 kW</v>
      </c>
      <c r="C68" s="85"/>
      <c r="D68" s="96" t="str">
        <f t="shared" si="18"/>
        <v>kWh</v>
      </c>
      <c r="E68" s="85">
        <f t="shared" si="18"/>
        <v>254451852.1950725</v>
      </c>
      <c r="F68" s="153">
        <v>2.9999999999999997E-4</v>
      </c>
      <c r="G68" s="87">
        <f t="shared" si="19"/>
        <v>76335.555658521742</v>
      </c>
    </row>
    <row r="69" spans="2:7" x14ac:dyDescent="0.25">
      <c r="B69" s="77" t="s">
        <v>140</v>
      </c>
      <c r="C69" s="78"/>
      <c r="D69" s="96" t="str">
        <f t="shared" si="18"/>
        <v>kWh</v>
      </c>
      <c r="E69" s="85">
        <f t="shared" si="18"/>
        <v>219891.51729648991</v>
      </c>
      <c r="F69" s="153">
        <v>2.9999999999999997E-4</v>
      </c>
      <c r="G69" s="87">
        <f t="shared" si="19"/>
        <v>65.967455188946971</v>
      </c>
    </row>
    <row r="70" spans="2:7" x14ac:dyDescent="0.25">
      <c r="B70" s="95" t="str">
        <f>B60</f>
        <v>Street Lights</v>
      </c>
      <c r="C70" s="85"/>
      <c r="D70" s="96" t="str">
        <f t="shared" si="18"/>
        <v>kWh</v>
      </c>
      <c r="E70" s="85">
        <f t="shared" si="18"/>
        <v>2513575.7445299998</v>
      </c>
      <c r="F70" s="153">
        <v>2.9999999999999997E-4</v>
      </c>
      <c r="G70" s="87">
        <f t="shared" si="19"/>
        <v>754.07272335899984</v>
      </c>
    </row>
    <row r="71" spans="2:7" x14ac:dyDescent="0.25">
      <c r="B71" s="95" t="str">
        <f>B61</f>
        <v xml:space="preserve">Unmetered Loads </v>
      </c>
      <c r="C71" s="85"/>
      <c r="D71" s="96" t="str">
        <f t="shared" si="18"/>
        <v>kWh</v>
      </c>
      <c r="E71" s="85">
        <f t="shared" si="18"/>
        <v>990173.02110438759</v>
      </c>
      <c r="F71" s="153">
        <v>2.9999999999999997E-4</v>
      </c>
      <c r="G71" s="87">
        <f t="shared" si="19"/>
        <v>297.05190633131627</v>
      </c>
    </row>
    <row r="72" spans="2:7" x14ac:dyDescent="0.25">
      <c r="B72" s="81" t="s">
        <v>85</v>
      </c>
      <c r="C72" s="82"/>
      <c r="D72" s="83"/>
      <c r="E72" s="82">
        <f>SUM(E66:E71)</f>
        <v>653972911.00007403</v>
      </c>
      <c r="F72" s="88"/>
      <c r="G72" s="98">
        <f>SUM(G66:G71)</f>
        <v>196191.87330002224</v>
      </c>
    </row>
    <row r="74" spans="2:7" x14ac:dyDescent="0.25">
      <c r="B74" s="138" t="s">
        <v>181</v>
      </c>
      <c r="C74" s="141"/>
      <c r="D74" s="445">
        <v>2018</v>
      </c>
      <c r="E74" s="446"/>
    </row>
    <row r="75" spans="2:7" x14ac:dyDescent="0.25">
      <c r="B75" s="137" t="s">
        <v>89</v>
      </c>
      <c r="C75" s="200" t="s">
        <v>182</v>
      </c>
      <c r="D75" s="447"/>
      <c r="E75" s="448"/>
    </row>
    <row r="76" spans="2:7" x14ac:dyDescent="0.25">
      <c r="B76" s="95" t="str">
        <f>B66</f>
        <v xml:space="preserve">Residential </v>
      </c>
      <c r="C76" s="85">
        <f>+'Rate Class Customer Model'!B19</f>
        <v>29815.501606131944</v>
      </c>
      <c r="D76" s="153">
        <v>0.56999999999999995</v>
      </c>
      <c r="E76" s="87">
        <f t="shared" ref="E76:E81" si="20">C76*D76</f>
        <v>16994.835915495205</v>
      </c>
    </row>
    <row r="77" spans="2:7" x14ac:dyDescent="0.25">
      <c r="B77" s="95" t="str">
        <f>B67</f>
        <v>General Service &lt; 50 kW</v>
      </c>
      <c r="C77" s="85">
        <f>+'Rate Class Customer Model'!C19</f>
        <v>3430.7641919188468</v>
      </c>
      <c r="D77" s="153">
        <v>0.56999999999999995</v>
      </c>
      <c r="E77" s="87">
        <f t="shared" si="20"/>
        <v>1955.5355893937426</v>
      </c>
    </row>
    <row r="78" spans="2:7" x14ac:dyDescent="0.25">
      <c r="B78" s="95" t="str">
        <f>B68</f>
        <v>General Service 50 to 4,999 kW</v>
      </c>
      <c r="C78" s="85"/>
      <c r="D78" s="153"/>
      <c r="E78" s="87">
        <f t="shared" si="20"/>
        <v>0</v>
      </c>
    </row>
    <row r="79" spans="2:7" x14ac:dyDescent="0.25">
      <c r="B79" s="77" t="s">
        <v>140</v>
      </c>
      <c r="C79" s="85"/>
      <c r="D79" s="153"/>
      <c r="E79" s="87">
        <f t="shared" si="20"/>
        <v>0</v>
      </c>
    </row>
    <row r="80" spans="2:7" x14ac:dyDescent="0.25">
      <c r="B80" s="95" t="str">
        <f>B70</f>
        <v>Street Lights</v>
      </c>
      <c r="C80" s="85"/>
      <c r="D80" s="153"/>
      <c r="E80" s="87">
        <f t="shared" si="20"/>
        <v>0</v>
      </c>
    </row>
    <row r="81" spans="2:5" x14ac:dyDescent="0.25">
      <c r="B81" s="95" t="str">
        <f>B71</f>
        <v xml:space="preserve">Unmetered Loads </v>
      </c>
      <c r="C81" s="85"/>
      <c r="D81" s="153"/>
      <c r="E81" s="87">
        <f t="shared" si="20"/>
        <v>0</v>
      </c>
    </row>
    <row r="82" spans="2:5" x14ac:dyDescent="0.25">
      <c r="B82" s="81" t="s">
        <v>85</v>
      </c>
      <c r="C82" s="82">
        <f>SUM(C76:C81)</f>
        <v>33246.265798050794</v>
      </c>
      <c r="D82" s="88"/>
      <c r="E82" s="98">
        <f>SUM(E76:E81)</f>
        <v>18950.371504888946</v>
      </c>
    </row>
    <row r="85" spans="2:5" x14ac:dyDescent="0.25">
      <c r="B85" s="146"/>
      <c r="C85" s="147">
        <v>2018</v>
      </c>
    </row>
    <row r="86" spans="2:5" x14ac:dyDescent="0.25">
      <c r="B86" s="60"/>
      <c r="C86" s="99"/>
    </row>
    <row r="87" spans="2:5" x14ac:dyDescent="0.25">
      <c r="B87" s="58" t="s">
        <v>96</v>
      </c>
      <c r="C87" s="100">
        <f>G22+G32</f>
        <v>70804808.674800068</v>
      </c>
    </row>
    <row r="88" spans="2:5" x14ac:dyDescent="0.25">
      <c r="B88" s="58" t="s">
        <v>97</v>
      </c>
      <c r="C88" s="101">
        <f>G62</f>
        <v>2354302.479600267</v>
      </c>
    </row>
    <row r="89" spans="2:5" x14ac:dyDescent="0.25">
      <c r="B89" s="58" t="s">
        <v>98</v>
      </c>
      <c r="C89" s="101">
        <f>G42</f>
        <v>3739524.7972973553</v>
      </c>
    </row>
    <row r="90" spans="2:5" x14ac:dyDescent="0.25">
      <c r="B90" s="58" t="s">
        <v>99</v>
      </c>
      <c r="C90" s="100">
        <f>G52</f>
        <v>0</v>
      </c>
    </row>
    <row r="91" spans="2:5" x14ac:dyDescent="0.25">
      <c r="B91" s="58" t="s">
        <v>100</v>
      </c>
      <c r="C91" s="100">
        <f>G72</f>
        <v>196191.87330002224</v>
      </c>
    </row>
    <row r="92" spans="2:5" x14ac:dyDescent="0.25">
      <c r="B92" s="58" t="s">
        <v>101</v>
      </c>
      <c r="C92" s="100"/>
    </row>
    <row r="93" spans="2:5" x14ac:dyDescent="0.25">
      <c r="B93" s="148" t="s">
        <v>131</v>
      </c>
      <c r="C93" s="100">
        <f>+E82</f>
        <v>18950.371504888946</v>
      </c>
    </row>
    <row r="94" spans="2:5" x14ac:dyDescent="0.25">
      <c r="B94" s="65" t="s">
        <v>85</v>
      </c>
      <c r="C94" s="208">
        <f>SUM(C87:C93)</f>
        <v>77113778.196502596</v>
      </c>
    </row>
    <row r="95" spans="2:5" x14ac:dyDescent="0.25">
      <c r="C95" s="32"/>
    </row>
    <row r="96" spans="2:5" x14ac:dyDescent="0.25">
      <c r="C96" s="54"/>
    </row>
    <row r="98" spans="3:3" x14ac:dyDescent="0.25">
      <c r="C98" s="221"/>
    </row>
  </sheetData>
  <mergeCells count="12">
    <mergeCell ref="B3:E3"/>
    <mergeCell ref="C14:C15"/>
    <mergeCell ref="D14:D15"/>
    <mergeCell ref="E14:G15"/>
    <mergeCell ref="C24:C25"/>
    <mergeCell ref="D24:D25"/>
    <mergeCell ref="E24:G25"/>
    <mergeCell ref="D74:E75"/>
    <mergeCell ref="E35:G35"/>
    <mergeCell ref="E45:G45"/>
    <mergeCell ref="E55:G55"/>
    <mergeCell ref="E65:G65"/>
  </mergeCells>
  <pageMargins left="0.7" right="0.7" top="0.75" bottom="0.75" header="0.3" footer="0.3"/>
  <pageSetup scale="55" orientation="portrait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1"/>
  <sheetViews>
    <sheetView zoomScaleNormal="100" workbookViewId="0">
      <pane xSplit="1" ySplit="3" topLeftCell="I41" activePane="bottomRight" state="frozen"/>
      <selection pane="topRight" activeCell="B1" sqref="B1"/>
      <selection pane="bottomLeft" activeCell="A4" sqref="A4"/>
      <selection pane="bottomRight" activeCell="Q46" sqref="Q46"/>
    </sheetView>
  </sheetViews>
  <sheetFormatPr defaultRowHeight="13.2" x14ac:dyDescent="0.25"/>
  <cols>
    <col min="1" max="1" width="31.88671875" customWidth="1"/>
    <col min="2" max="2" width="13.109375" style="1" customWidth="1"/>
    <col min="3" max="3" width="13" style="1" customWidth="1"/>
    <col min="4" max="4" width="12.5546875" style="1" customWidth="1"/>
    <col min="5" max="5" width="14.109375" style="1" bestFit="1" customWidth="1"/>
    <col min="6" max="6" width="13.5546875" style="1" customWidth="1"/>
    <col min="7" max="7" width="12.6640625" style="1" customWidth="1"/>
    <col min="8" max="8" width="13" style="1" customWidth="1"/>
    <col min="9" max="9" width="14.33203125" style="1" bestFit="1" customWidth="1"/>
    <col min="10" max="10" width="12.88671875" style="68" customWidth="1"/>
    <col min="11" max="11" width="14" style="69" bestFit="1" customWidth="1"/>
    <col min="12" max="12" width="14" bestFit="1" customWidth="1"/>
    <col min="13" max="15" width="12.6640625" style="32" bestFit="1" customWidth="1"/>
    <col min="16" max="16" width="12.6640625" style="32" customWidth="1"/>
    <col min="17" max="17" width="15.109375" style="32" bestFit="1" customWidth="1"/>
    <col min="18" max="18" width="13.33203125" hidden="1" customWidth="1"/>
    <col min="19" max="19" width="15" style="54" hidden="1" customWidth="1"/>
    <col min="20" max="20" width="12.109375" customWidth="1"/>
  </cols>
  <sheetData>
    <row r="1" spans="1:19" ht="15.6" x14ac:dyDescent="0.3">
      <c r="A1" s="173" t="s">
        <v>321</v>
      </c>
      <c r="J1" s="23"/>
      <c r="K1" s="32"/>
    </row>
    <row r="2" spans="1:19" x14ac:dyDescent="0.25">
      <c r="J2" s="23"/>
      <c r="K2" s="32"/>
    </row>
    <row r="3" spans="1:19" ht="54" customHeight="1" x14ac:dyDescent="0.25">
      <c r="B3" s="46" t="s">
        <v>53</v>
      </c>
      <c r="C3" s="46" t="s">
        <v>54</v>
      </c>
      <c r="D3" s="46" t="s">
        <v>55</v>
      </c>
      <c r="E3" s="46" t="s">
        <v>56</v>
      </c>
      <c r="F3" s="46" t="s">
        <v>57</v>
      </c>
      <c r="G3" s="46" t="s">
        <v>105</v>
      </c>
      <c r="H3" s="46" t="s">
        <v>108</v>
      </c>
      <c r="I3" s="46" t="s">
        <v>106</v>
      </c>
      <c r="J3" s="46" t="s">
        <v>107</v>
      </c>
      <c r="K3" s="46" t="s">
        <v>109</v>
      </c>
      <c r="L3" s="46" t="s">
        <v>133</v>
      </c>
      <c r="M3" s="46" t="s">
        <v>134</v>
      </c>
      <c r="N3" s="107" t="s">
        <v>173</v>
      </c>
      <c r="O3" s="107" t="s">
        <v>174</v>
      </c>
      <c r="P3" s="107" t="s">
        <v>320</v>
      </c>
      <c r="Q3" s="199" t="s">
        <v>175</v>
      </c>
      <c r="R3" s="107" t="s">
        <v>176</v>
      </c>
      <c r="S3" s="202" t="s">
        <v>177</v>
      </c>
    </row>
    <row r="4" spans="1:19" ht="54" customHeight="1" x14ac:dyDescent="0.25">
      <c r="A4" s="18" t="s">
        <v>60</v>
      </c>
      <c r="B4" s="29">
        <f>'Purchased Power Model'!B200</f>
        <v>755126020</v>
      </c>
      <c r="C4" s="6">
        <f>'Purchased Power Model'!B201</f>
        <v>757685752</v>
      </c>
      <c r="D4" s="29">
        <f>'Purchased Power Model'!B202</f>
        <v>749219032</v>
      </c>
      <c r="E4" s="29">
        <f>'Purchased Power Model'!B203</f>
        <v>728093333</v>
      </c>
      <c r="F4" s="29">
        <f>'Purchased Power Model'!B204</f>
        <v>738093576</v>
      </c>
      <c r="G4" s="29">
        <f>'Purchased Power Model'!B205</f>
        <v>740966486</v>
      </c>
      <c r="H4" s="29">
        <f>'Purchased Power Model'!B206</f>
        <v>732869984</v>
      </c>
      <c r="I4" s="29">
        <f>'Purchased Power Model'!B207</f>
        <v>714199062</v>
      </c>
      <c r="J4" s="70">
        <f>'Purchased Power Model'!B208</f>
        <v>745049194</v>
      </c>
      <c r="K4" s="27">
        <f>'Purchased Power Model'!B209</f>
        <v>706953513</v>
      </c>
      <c r="L4" s="6">
        <f>'Purchased Power Model'!B210</f>
        <v>730568311</v>
      </c>
      <c r="M4" s="27">
        <f>'Purchased Power Model'!B211</f>
        <v>730490284.99000001</v>
      </c>
      <c r="N4" s="194">
        <f>'Purchased Power Model'!B212</f>
        <v>698517377.1099999</v>
      </c>
      <c r="O4" s="194">
        <f>'Purchased Power Model'!B213</f>
        <v>669958461.73000014</v>
      </c>
      <c r="P4" s="194">
        <f>'Purchased Power Model'!B214</f>
        <v>652970473</v>
      </c>
      <c r="Q4" s="194"/>
    </row>
    <row r="5" spans="1:19" x14ac:dyDescent="0.25">
      <c r="A5" s="18" t="s">
        <v>61</v>
      </c>
      <c r="B5" s="29">
        <f>'Purchased Power Model'!S200</f>
        <v>768656326.90473604</v>
      </c>
      <c r="C5" s="29">
        <f>'Purchased Power Model'!S201</f>
        <v>757594250.17188394</v>
      </c>
      <c r="D5" s="29">
        <f>'Purchased Power Model'!S202</f>
        <v>750911727.29060423</v>
      </c>
      <c r="E5" s="29">
        <f>'Purchased Power Model'!S203</f>
        <v>726441624.6923728</v>
      </c>
      <c r="F5" s="29">
        <f>'Purchased Power Model'!S204</f>
        <v>728638475.67092574</v>
      </c>
      <c r="G5" s="29">
        <f>'Purchased Power Model'!S205</f>
        <v>738275421.79925954</v>
      </c>
      <c r="H5" s="29">
        <f>'Purchased Power Model'!S206</f>
        <v>737513680.63064003</v>
      </c>
      <c r="I5" s="29">
        <f>'Purchased Power Model'!S207</f>
        <v>724028404.90524507</v>
      </c>
      <c r="J5" s="70">
        <f>'Purchased Power Model'!S208</f>
        <v>728744313.26114869</v>
      </c>
      <c r="K5" s="70">
        <f>'Purchased Power Model'!S209</f>
        <v>690424216.97638214</v>
      </c>
      <c r="L5" s="6">
        <f>'Purchased Power Model'!S210</f>
        <v>713407470.02798212</v>
      </c>
      <c r="M5" s="27">
        <f>'Purchased Power Model'!S211</f>
        <v>737572548.30719113</v>
      </c>
      <c r="N5" s="27">
        <f>'Purchased Power Model'!S212</f>
        <v>708683636.16478336</v>
      </c>
      <c r="O5" s="27">
        <f>'Purchased Power Model'!S213</f>
        <v>675150954.70934606</v>
      </c>
      <c r="P5" s="194">
        <f>'Purchased Power Model'!S214</f>
        <v>664717808.31750035</v>
      </c>
      <c r="Q5" s="194">
        <f>'Purchased Power Model'!S215</f>
        <v>659540193.78788912</v>
      </c>
    </row>
    <row r="6" spans="1:19" x14ac:dyDescent="0.25">
      <c r="A6" s="18" t="s">
        <v>11</v>
      </c>
      <c r="B6" s="45">
        <f t="shared" ref="B6:P6" si="0">(B5-B4)/B4</f>
        <v>1.7917945543362474E-2</v>
      </c>
      <c r="C6" s="45">
        <f t="shared" si="0"/>
        <v>-1.2076487894160546E-4</v>
      </c>
      <c r="D6" s="45">
        <f t="shared" si="0"/>
        <v>2.2592796209216343E-3</v>
      </c>
      <c r="E6" s="45">
        <f t="shared" si="0"/>
        <v>-2.2685392555671169E-3</v>
      </c>
      <c r="F6" s="45">
        <f t="shared" si="0"/>
        <v>-1.2810164776551671E-2</v>
      </c>
      <c r="G6" s="45">
        <f t="shared" si="0"/>
        <v>-3.6318298486990633E-3</v>
      </c>
      <c r="H6" s="45">
        <f t="shared" si="0"/>
        <v>6.336317125849201E-3</v>
      </c>
      <c r="I6" s="45">
        <f t="shared" si="0"/>
        <v>1.3762749670546425E-2</v>
      </c>
      <c r="J6" s="108">
        <f t="shared" si="0"/>
        <v>-2.1884300889333366E-2</v>
      </c>
      <c r="K6" s="108">
        <f t="shared" si="0"/>
        <v>-2.3381022542026557E-2</v>
      </c>
      <c r="L6" s="45">
        <f t="shared" si="0"/>
        <v>-2.3489714395808065E-2</v>
      </c>
      <c r="M6" s="108">
        <f t="shared" si="0"/>
        <v>9.6952190367433511E-3</v>
      </c>
      <c r="N6" s="108">
        <f t="shared" si="0"/>
        <v>1.4554053181675564E-2</v>
      </c>
      <c r="O6" s="108">
        <f t="shared" si="0"/>
        <v>7.7504700305413019E-3</v>
      </c>
      <c r="P6" s="108">
        <f t="shared" si="0"/>
        <v>1.7990607237611422E-2</v>
      </c>
      <c r="Q6" s="159"/>
    </row>
    <row r="7" spans="1:19" x14ac:dyDescent="0.25">
      <c r="A7" s="18" t="s">
        <v>110</v>
      </c>
      <c r="B7" s="45"/>
      <c r="C7" s="45"/>
      <c r="D7" s="45"/>
      <c r="E7" s="45"/>
      <c r="F7" s="45"/>
      <c r="G7" s="45"/>
      <c r="H7" s="45"/>
      <c r="I7" s="45"/>
      <c r="J7" s="108"/>
      <c r="K7" s="108"/>
      <c r="L7" s="45"/>
      <c r="M7" s="108"/>
      <c r="N7" s="114"/>
      <c r="O7" s="114"/>
      <c r="P7" s="114"/>
      <c r="Q7" s="114">
        <f>-'Rate Class Energy Model'!G85*'Rate Class Energy Model'!$F$29</f>
        <v>-6799672.6565009085</v>
      </c>
    </row>
    <row r="8" spans="1:19" x14ac:dyDescent="0.25">
      <c r="A8" s="18" t="s">
        <v>111</v>
      </c>
      <c r="B8" s="45"/>
      <c r="C8" s="45"/>
      <c r="D8" s="45"/>
      <c r="E8" s="45"/>
      <c r="F8" s="45"/>
      <c r="G8" s="45"/>
      <c r="H8" s="45"/>
      <c r="I8" s="45"/>
      <c r="J8" s="108"/>
      <c r="K8" s="108"/>
      <c r="L8" s="45"/>
      <c r="M8" s="108"/>
      <c r="N8" s="27"/>
      <c r="O8" s="27"/>
      <c r="P8" s="194"/>
      <c r="Q8" s="194">
        <f>Q5+Q7</f>
        <v>652740521.13138819</v>
      </c>
    </row>
    <row r="9" spans="1:19" x14ac:dyDescent="0.25">
      <c r="A9" s="18"/>
      <c r="B9" s="42"/>
      <c r="C9" s="42"/>
      <c r="D9" s="42"/>
      <c r="E9" s="42"/>
      <c r="F9" s="42"/>
      <c r="G9" s="42"/>
      <c r="H9" s="42"/>
      <c r="I9" s="42"/>
      <c r="J9" s="71"/>
      <c r="K9" s="32"/>
      <c r="L9" s="1"/>
      <c r="M9" s="23"/>
      <c r="N9" s="23"/>
      <c r="O9" s="23"/>
      <c r="P9" s="159"/>
      <c r="Q9" s="159"/>
    </row>
    <row r="10" spans="1:19" x14ac:dyDescent="0.25">
      <c r="A10" s="18" t="s">
        <v>112</v>
      </c>
      <c r="B10" s="29">
        <f>'Rate Class Energy Model'!G12</f>
        <v>719286098</v>
      </c>
      <c r="C10" s="29">
        <f>'Rate Class Energy Model'!G13</f>
        <v>727308120</v>
      </c>
      <c r="D10" s="29">
        <f>'Rate Class Energy Model'!G14</f>
        <v>717783995</v>
      </c>
      <c r="E10" s="29">
        <f>'Rate Class Energy Model'!G15</f>
        <v>697140805</v>
      </c>
      <c r="F10" s="29">
        <f>'Rate Class Energy Model'!G16</f>
        <v>701800772</v>
      </c>
      <c r="G10" s="29">
        <f>'Rate Class Energy Model'!G17</f>
        <v>710698626</v>
      </c>
      <c r="H10" s="29">
        <f>'Rate Class Energy Model'!G18</f>
        <v>707756700</v>
      </c>
      <c r="I10" s="29">
        <f>'Rate Class Energy Model'!G19</f>
        <v>683757862</v>
      </c>
      <c r="J10" s="70">
        <f>'Rate Class Energy Model'!G20</f>
        <v>711929017</v>
      </c>
      <c r="K10" s="115">
        <f>'Rate Class Energy Model'!G21</f>
        <v>676765709</v>
      </c>
      <c r="L10" s="6">
        <f>'Rate Class Energy Model'!G22</f>
        <v>688244167</v>
      </c>
      <c r="M10" s="27">
        <f>'Rate Class Energy Model'!G23</f>
        <v>701843127</v>
      </c>
      <c r="N10" s="194">
        <f>'Rate Class Energy Model'!G24</f>
        <v>669387526</v>
      </c>
      <c r="O10" s="194">
        <f>'Rate Class Energy Model'!G25</f>
        <v>636876243.92999995</v>
      </c>
      <c r="P10" s="194">
        <f>'Rate Class Energy Model'!G26</f>
        <v>622542513.29999995</v>
      </c>
      <c r="Q10" s="194">
        <f>'Rate Class Energy Model'!G27-'Rate Class Energy Model'!G85</f>
        <v>623960415.03680384</v>
      </c>
    </row>
    <row r="11" spans="1:19" x14ac:dyDescent="0.25">
      <c r="A11" s="18"/>
      <c r="B11" s="42"/>
      <c r="C11" s="42"/>
      <c r="D11" s="42"/>
      <c r="E11" s="42"/>
      <c r="F11" s="42"/>
      <c r="G11" s="42"/>
      <c r="H11" s="42"/>
      <c r="I11" s="42"/>
      <c r="J11" s="23"/>
      <c r="K11" s="32"/>
      <c r="L11" s="1"/>
      <c r="M11" s="109"/>
      <c r="N11" s="23"/>
      <c r="P11" s="159"/>
      <c r="Q11" s="159"/>
    </row>
    <row r="12" spans="1:19" ht="15.6" x14ac:dyDescent="0.3">
      <c r="A12" s="44" t="s">
        <v>62</v>
      </c>
      <c r="J12" s="23"/>
      <c r="K12" s="32"/>
      <c r="L12" s="1"/>
      <c r="M12" s="23"/>
      <c r="N12" s="23"/>
      <c r="O12" s="23"/>
      <c r="P12" s="159"/>
      <c r="Q12" s="159"/>
    </row>
    <row r="13" spans="1:19" x14ac:dyDescent="0.25">
      <c r="A13" s="43" t="str">
        <f>'Rate Class Energy Model'!H2</f>
        <v>Residential</v>
      </c>
      <c r="J13" s="23"/>
      <c r="K13" s="32"/>
      <c r="L13" s="1"/>
      <c r="M13" s="23"/>
      <c r="N13" s="23"/>
      <c r="O13" s="23"/>
      <c r="P13" s="159"/>
      <c r="Q13" s="159"/>
    </row>
    <row r="14" spans="1:19" x14ac:dyDescent="0.25">
      <c r="A14" t="s">
        <v>50</v>
      </c>
      <c r="B14" s="6">
        <f>'Rate Class Customer Model'!B4</f>
        <v>28544</v>
      </c>
      <c r="C14" s="6">
        <f>'Rate Class Customer Model'!B5</f>
        <v>28560</v>
      </c>
      <c r="D14" s="6">
        <f>'Rate Class Customer Model'!B6</f>
        <v>28576</v>
      </c>
      <c r="E14" s="6">
        <f>'Rate Class Customer Model'!B7</f>
        <v>28596</v>
      </c>
      <c r="F14" s="6">
        <f>'Rate Class Customer Model'!B8</f>
        <v>28630</v>
      </c>
      <c r="G14" s="6">
        <f>'Rate Class Customer Model'!B9</f>
        <v>28780</v>
      </c>
      <c r="H14" s="6">
        <f>'Rate Class Customer Model'!B10</f>
        <v>28971</v>
      </c>
      <c r="I14" s="6">
        <f>'Rate Class Customer Model'!B11</f>
        <v>29057</v>
      </c>
      <c r="J14" s="27">
        <f>'Rate Class Customer Model'!B12</f>
        <v>29124</v>
      </c>
      <c r="K14" s="27">
        <f>'Rate Class Customer Model'!B13</f>
        <v>29327</v>
      </c>
      <c r="L14" s="6">
        <f>'Rate Class Customer Model'!B14</f>
        <v>29504</v>
      </c>
      <c r="M14" s="27">
        <f>'Rate Class Customer Model'!B15</f>
        <v>29514</v>
      </c>
      <c r="N14" s="27">
        <f>'Rate Class Customer Model'!B16</f>
        <v>29566</v>
      </c>
      <c r="O14" s="27">
        <f>'Rate Class Customer Model'!B17</f>
        <v>29620</v>
      </c>
      <c r="P14" s="194">
        <f>'Rate Class Customer Model'!B18</f>
        <v>29729</v>
      </c>
      <c r="Q14" s="194">
        <f>'Rate Class Customer Model'!B19</f>
        <v>29815.501606131944</v>
      </c>
      <c r="R14">
        <v>16.79</v>
      </c>
      <c r="S14" s="54">
        <f>+Q14*R14*12</f>
        <v>6007227.2636034638</v>
      </c>
    </row>
    <row r="15" spans="1:19" x14ac:dyDescent="0.25">
      <c r="A15" t="s">
        <v>51</v>
      </c>
      <c r="B15" s="6">
        <f>'Rate Class Energy Model'!H12</f>
        <v>351037890</v>
      </c>
      <c r="C15" s="6">
        <f>'Rate Class Energy Model'!H13</f>
        <v>356490492</v>
      </c>
      <c r="D15" s="6">
        <f>'Rate Class Energy Model'!H14</f>
        <v>347274259</v>
      </c>
      <c r="E15" s="6">
        <f>'Rate Class Energy Model'!H15</f>
        <v>335395539</v>
      </c>
      <c r="F15" s="6">
        <f>'Rate Class Energy Model'!H16</f>
        <v>338874337</v>
      </c>
      <c r="G15" s="6">
        <f>'Rate Class Energy Model'!H17</f>
        <v>347363230</v>
      </c>
      <c r="H15" s="6">
        <f>'Rate Class Energy Model'!H18</f>
        <v>348619359</v>
      </c>
      <c r="I15" s="6">
        <f>'Rate Class Energy Model'!H19</f>
        <v>326493714</v>
      </c>
      <c r="J15" s="27">
        <f>'Rate Class Energy Model'!H20</f>
        <v>345282279</v>
      </c>
      <c r="K15" s="27">
        <f>'Rate Class Energy Model'!H21</f>
        <v>316127645</v>
      </c>
      <c r="L15" s="55">
        <f>'Rate Class Energy Model'!H22</f>
        <v>324185392</v>
      </c>
      <c r="M15" s="27">
        <f>'Rate Class Energy Model'!H23</f>
        <v>334950383</v>
      </c>
      <c r="N15" s="194">
        <f>'Rate Class Energy Model'!H24</f>
        <v>310458240</v>
      </c>
      <c r="O15" s="194">
        <f>'Rate Class Energy Model'!H25</f>
        <v>288746486.39999998</v>
      </c>
      <c r="P15" s="194">
        <f>'Rate Class Energy Model'!H26</f>
        <v>282820546.89999998</v>
      </c>
      <c r="Q15" s="194">
        <f>'Rate Class Energy Model'!H76</f>
        <v>285978989.05512553</v>
      </c>
      <c r="R15">
        <v>1.04E-2</v>
      </c>
      <c r="S15" s="203">
        <f>+Q15*R15</f>
        <v>2974181.4861733052</v>
      </c>
    </row>
    <row r="16" spans="1:19" x14ac:dyDescent="0.25">
      <c r="J16" s="23"/>
      <c r="K16" s="32"/>
      <c r="L16" s="55"/>
      <c r="M16" s="23"/>
      <c r="N16" s="23"/>
      <c r="P16" s="159"/>
      <c r="Q16" s="159"/>
      <c r="S16" s="54">
        <f>SUM(S14:S15)</f>
        <v>8981408.7497767694</v>
      </c>
    </row>
    <row r="17" spans="1:20" x14ac:dyDescent="0.25">
      <c r="A17" s="43" t="str">
        <f>'Rate Class Energy Model'!I2</f>
        <v>General Service &lt;50 kW</v>
      </c>
      <c r="J17" s="23"/>
      <c r="K17" s="32"/>
      <c r="L17" s="74"/>
      <c r="M17" s="23"/>
      <c r="N17" s="23"/>
      <c r="O17" s="23"/>
      <c r="P17" s="159"/>
      <c r="Q17" s="159"/>
    </row>
    <row r="18" spans="1:20" x14ac:dyDescent="0.25">
      <c r="A18" t="s">
        <v>50</v>
      </c>
      <c r="B18" s="6">
        <f>'Rate Class Customer Model'!C4</f>
        <v>3230</v>
      </c>
      <c r="C18" s="6">
        <f>'Rate Class Customer Model'!C5</f>
        <v>3247</v>
      </c>
      <c r="D18" s="6">
        <f>'Rate Class Customer Model'!C6</f>
        <v>3274</v>
      </c>
      <c r="E18" s="6">
        <f>'Rate Class Customer Model'!C7</f>
        <v>3301</v>
      </c>
      <c r="F18" s="6">
        <f>'Rate Class Customer Model'!C8</f>
        <v>3302</v>
      </c>
      <c r="G18" s="6">
        <f>'Rate Class Customer Model'!C9</f>
        <v>3325</v>
      </c>
      <c r="H18" s="6">
        <f>'Rate Class Customer Model'!C10</f>
        <v>3352</v>
      </c>
      <c r="I18" s="6">
        <f>'Rate Class Customer Model'!C11</f>
        <v>3345</v>
      </c>
      <c r="J18" s="27">
        <f>'Rate Class Customer Model'!C12</f>
        <v>3366</v>
      </c>
      <c r="K18" s="27">
        <f>'Rate Class Customer Model'!C13</f>
        <v>3448</v>
      </c>
      <c r="L18" s="6">
        <f>'Rate Class Customer Model'!C14</f>
        <v>3474</v>
      </c>
      <c r="M18" s="27">
        <f>'Rate Class Customer Model'!C15</f>
        <v>3464</v>
      </c>
      <c r="N18" s="27">
        <f>'Rate Class Customer Model'!C16</f>
        <v>3431</v>
      </c>
      <c r="O18" s="27">
        <f>'Rate Class Customer Model'!C17</f>
        <v>3414</v>
      </c>
      <c r="P18" s="194">
        <f>'Rate Class Customer Model'!C18</f>
        <v>3417</v>
      </c>
      <c r="Q18" s="194">
        <f>'Rate Class Customer Model'!C19</f>
        <v>3430.7641919188468</v>
      </c>
      <c r="R18">
        <v>17.11</v>
      </c>
      <c r="S18" s="54">
        <f>+Q18*R18*12</f>
        <v>704404.50388477766</v>
      </c>
    </row>
    <row r="19" spans="1:20" x14ac:dyDescent="0.25">
      <c r="A19" t="s">
        <v>51</v>
      </c>
      <c r="B19" s="6">
        <f>'Rate Class Energy Model'!I12</f>
        <v>96164282</v>
      </c>
      <c r="C19" s="6">
        <f>'Rate Class Energy Model'!I13</f>
        <v>95721847</v>
      </c>
      <c r="D19" s="6">
        <f>'Rate Class Energy Model'!I14</f>
        <v>95591622</v>
      </c>
      <c r="E19" s="6">
        <f>'Rate Class Energy Model'!I15</f>
        <v>86770873</v>
      </c>
      <c r="F19" s="6">
        <f>'Rate Class Energy Model'!I16</f>
        <v>94225468</v>
      </c>
      <c r="G19" s="6">
        <f>'Rate Class Energy Model'!I17</f>
        <v>93474158</v>
      </c>
      <c r="H19" s="6">
        <f>'Rate Class Energy Model'!I18</f>
        <v>91450221</v>
      </c>
      <c r="I19" s="6">
        <f>'Rate Class Energy Model'!I19</f>
        <v>91377364</v>
      </c>
      <c r="J19" s="27">
        <f>'Rate Class Energy Model'!I20</f>
        <v>101728299</v>
      </c>
      <c r="K19" s="27">
        <f>'Rate Class Energy Model'!I21</f>
        <v>97479014</v>
      </c>
      <c r="L19" s="6">
        <f>'Rate Class Energy Model'!I22</f>
        <v>95827695</v>
      </c>
      <c r="M19" s="27">
        <f>'Rate Class Energy Model'!I23</f>
        <v>99153426</v>
      </c>
      <c r="N19" s="194">
        <f>'Rate Class Energy Model'!I24</f>
        <v>95701162</v>
      </c>
      <c r="O19" s="194">
        <f>'Rate Class Energy Model'!I25</f>
        <v>92174996</v>
      </c>
      <c r="P19" s="194">
        <f>'Rate Class Energy Model'!I26</f>
        <v>91035995.200000003</v>
      </c>
      <c r="Q19" s="194">
        <f>'Rate Class Energy Model'!I76</f>
        <v>91654269.719868049</v>
      </c>
      <c r="R19">
        <v>2.0500000000000001E-2</v>
      </c>
      <c r="S19" s="203">
        <f>+Q19*R19</f>
        <v>1878912.5292572952</v>
      </c>
    </row>
    <row r="20" spans="1:20" x14ac:dyDescent="0.25">
      <c r="J20" s="23"/>
      <c r="K20" s="27"/>
      <c r="L20" s="1"/>
      <c r="M20" s="23"/>
      <c r="N20" s="23"/>
      <c r="P20" s="159"/>
      <c r="Q20" s="159"/>
      <c r="S20" s="54">
        <f>SUM(S18:S19)</f>
        <v>2583317.0331420731</v>
      </c>
    </row>
    <row r="21" spans="1:20" x14ac:dyDescent="0.25">
      <c r="A21" s="43" t="str">
        <f>'Rate Class Energy Model'!J2</f>
        <v>General Service 50 to 4,999 kW</v>
      </c>
      <c r="J21" s="23"/>
      <c r="K21" s="27"/>
      <c r="L21" s="1"/>
      <c r="M21" s="23"/>
      <c r="N21" s="23"/>
      <c r="O21" s="23"/>
      <c r="P21" s="159"/>
      <c r="Q21" s="159"/>
    </row>
    <row r="22" spans="1:20" x14ac:dyDescent="0.25">
      <c r="A22" t="s">
        <v>50</v>
      </c>
      <c r="B22" s="6">
        <f>'Rate Class Customer Model'!D4</f>
        <v>419</v>
      </c>
      <c r="C22" s="6">
        <f>'Rate Class Customer Model'!D5</f>
        <v>424</v>
      </c>
      <c r="D22" s="6">
        <f>'Rate Class Customer Model'!D6</f>
        <v>431</v>
      </c>
      <c r="E22" s="6">
        <f>'Rate Class Customer Model'!D7</f>
        <v>432</v>
      </c>
      <c r="F22" s="6">
        <f>'Rate Class Customer Model'!D8</f>
        <v>429</v>
      </c>
      <c r="G22" s="6">
        <f>'Rate Class Customer Model'!D9</f>
        <v>426</v>
      </c>
      <c r="H22" s="6">
        <f>'Rate Class Customer Model'!D10</f>
        <v>433</v>
      </c>
      <c r="I22" s="6">
        <f>'Rate Class Customer Model'!D11</f>
        <v>435</v>
      </c>
      <c r="J22" s="27">
        <f>'Rate Class Customer Model'!D12</f>
        <v>403</v>
      </c>
      <c r="K22" s="27">
        <f>'Rate Class Customer Model'!D13</f>
        <v>366</v>
      </c>
      <c r="L22" s="6">
        <f>'Rate Class Customer Model'!D14</f>
        <v>373</v>
      </c>
      <c r="M22" s="27">
        <f>'Rate Class Customer Model'!D15</f>
        <v>370</v>
      </c>
      <c r="N22" s="27">
        <f>'Rate Class Customer Model'!D16</f>
        <v>373</v>
      </c>
      <c r="O22" s="27">
        <f>'Rate Class Customer Model'!D17</f>
        <v>361</v>
      </c>
      <c r="P22" s="194">
        <f>'Rate Class Customer Model'!D18</f>
        <v>361</v>
      </c>
      <c r="Q22" s="194">
        <f>'Rate Class Customer Model'!D19</f>
        <v>357.17848110967191</v>
      </c>
      <c r="R22">
        <v>114.46</v>
      </c>
      <c r="S22" s="54">
        <f>+Q22*R22*12</f>
        <v>490591.78737375652</v>
      </c>
    </row>
    <row r="23" spans="1:20" x14ac:dyDescent="0.25">
      <c r="A23" t="s">
        <v>51</v>
      </c>
      <c r="B23" s="6">
        <f>'Rate Class Energy Model'!J12</f>
        <v>263763186</v>
      </c>
      <c r="C23" s="6">
        <f>'Rate Class Energy Model'!J13</f>
        <v>266586772</v>
      </c>
      <c r="D23" s="6">
        <f>'Rate Class Energy Model'!J14</f>
        <v>266071754</v>
      </c>
      <c r="E23" s="6">
        <f>'Rate Class Energy Model'!J15</f>
        <v>266238407</v>
      </c>
      <c r="F23" s="6">
        <f>'Rate Class Energy Model'!J16</f>
        <v>259930403</v>
      </c>
      <c r="G23" s="6">
        <f>'Rate Class Energy Model'!J17</f>
        <v>261123945</v>
      </c>
      <c r="H23" s="6">
        <f>'Rate Class Energy Model'!J18</f>
        <v>258998141</v>
      </c>
      <c r="I23" s="6">
        <f>'Rate Class Energy Model'!J19</f>
        <v>257036820</v>
      </c>
      <c r="J23" s="27">
        <f>'Rate Class Energy Model'!J20</f>
        <v>255968368</v>
      </c>
      <c r="K23" s="27">
        <f>'Rate Class Energy Model'!J21</f>
        <v>254314087</v>
      </c>
      <c r="L23" s="6">
        <f>'Rate Class Energy Model'!J22</f>
        <v>259048750</v>
      </c>
      <c r="M23" s="27">
        <f>'Rate Class Energy Model'!J23</f>
        <v>258807830</v>
      </c>
      <c r="N23" s="194">
        <f>'Rate Class Energy Model'!J24</f>
        <v>254784565</v>
      </c>
      <c r="O23" s="194">
        <f>'Rate Class Energy Model'!J25</f>
        <v>249955178</v>
      </c>
      <c r="P23" s="194">
        <f>'Rate Class Energy Model'!J26</f>
        <v>245166375.80000001</v>
      </c>
      <c r="Q23" s="194">
        <f>'Rate Class Energy Model'!J76</f>
        <v>242774403.3919211</v>
      </c>
      <c r="S23" s="54">
        <v>-85746.599999999991</v>
      </c>
      <c r="T23" s="106" t="s">
        <v>189</v>
      </c>
    </row>
    <row r="24" spans="1:20" x14ac:dyDescent="0.25">
      <c r="A24" t="s">
        <v>52</v>
      </c>
      <c r="B24" s="6">
        <f>'Rate Class Load Model'!B4</f>
        <v>659827</v>
      </c>
      <c r="C24" s="6">
        <f>'Rate Class Load Model'!B5</f>
        <v>673069</v>
      </c>
      <c r="D24" s="6">
        <f>'Rate Class Load Model'!B6</f>
        <v>682195</v>
      </c>
      <c r="E24" s="6">
        <f>'Rate Class Load Model'!B7</f>
        <v>657827</v>
      </c>
      <c r="F24" s="6">
        <f>'Rate Class Load Model'!B8</f>
        <v>657184</v>
      </c>
      <c r="G24" s="6">
        <f>'Rate Class Load Model'!B9</f>
        <v>650699</v>
      </c>
      <c r="H24" s="6">
        <f>'Rate Class Load Model'!B10</f>
        <v>637622</v>
      </c>
      <c r="I24" s="6">
        <f>'Rate Class Load Model'!B11</f>
        <v>635104</v>
      </c>
      <c r="J24" s="27">
        <f>'Rate Class Load Model'!B12</f>
        <v>629024</v>
      </c>
      <c r="K24" s="27">
        <f>'Rate Class Load Model'!B13</f>
        <v>627836</v>
      </c>
      <c r="L24" s="6">
        <f>'Rate Class Load Model'!B14</f>
        <v>656137</v>
      </c>
      <c r="M24" s="27">
        <f>'Rate Class Load Model'!B15</f>
        <v>634289</v>
      </c>
      <c r="N24" s="27">
        <f>'Rate Class Load Model'!B16</f>
        <v>711311</v>
      </c>
      <c r="O24" s="27">
        <f>'Rate Class Load Model'!B17</f>
        <v>622066.30000000005</v>
      </c>
      <c r="P24" s="194">
        <f>'Rate Class Load Model'!B18</f>
        <v>610764.1</v>
      </c>
      <c r="Q24" s="194">
        <f>'Rate Class Load Model'!B19</f>
        <v>610103.32693664508</v>
      </c>
      <c r="R24">
        <v>5.4371999999999998</v>
      </c>
      <c r="S24" s="203">
        <f>+Q24*R24</f>
        <v>3317253.8092199266</v>
      </c>
    </row>
    <row r="25" spans="1:20" x14ac:dyDescent="0.25">
      <c r="J25" s="23"/>
      <c r="K25" s="32"/>
      <c r="L25" s="1"/>
      <c r="M25" s="23"/>
      <c r="N25" s="23"/>
      <c r="Q25" s="159"/>
      <c r="S25" s="54">
        <f>SUM(S22:S24)</f>
        <v>3722098.996593683</v>
      </c>
      <c r="T25" s="54"/>
    </row>
    <row r="26" spans="1:20" x14ac:dyDescent="0.25">
      <c r="A26" s="43" t="str">
        <f>'Rate Class Energy Model'!K2</f>
        <v>Sentinel Lights</v>
      </c>
      <c r="J26" s="23"/>
      <c r="K26" s="27"/>
      <c r="L26" s="1"/>
      <c r="M26" s="23"/>
      <c r="N26" s="23"/>
      <c r="O26" s="23"/>
      <c r="P26" s="159"/>
      <c r="Q26" s="159"/>
    </row>
    <row r="27" spans="1:20" x14ac:dyDescent="0.25">
      <c r="A27" s="194" t="e">
        <f>'[16]Rate Class Energy Model'!#REF!</f>
        <v>#REF!</v>
      </c>
      <c r="B27" s="6">
        <f>'Rate Class Customer Model'!E4</f>
        <v>466</v>
      </c>
      <c r="C27" s="6">
        <f>'Rate Class Customer Model'!E5</f>
        <v>466</v>
      </c>
      <c r="D27" s="6">
        <f>'Rate Class Customer Model'!E6</f>
        <v>459</v>
      </c>
      <c r="E27" s="6">
        <f>'Rate Class Customer Model'!E7</f>
        <v>449</v>
      </c>
      <c r="F27" s="6">
        <f>'Rate Class Customer Model'!E8</f>
        <v>443</v>
      </c>
      <c r="G27" s="6">
        <f>'Rate Class Customer Model'!E9</f>
        <v>435</v>
      </c>
      <c r="H27" s="6">
        <f>'Rate Class Customer Model'!E10</f>
        <v>423</v>
      </c>
      <c r="I27" s="6">
        <f>'Rate Class Customer Model'!E11</f>
        <v>411</v>
      </c>
      <c r="J27" s="27">
        <f>'Rate Class Customer Model'!E12</f>
        <v>402</v>
      </c>
      <c r="K27" s="27">
        <f>'Rate Class Customer Model'!E13</f>
        <v>392</v>
      </c>
      <c r="L27" s="6">
        <f>'Rate Class Customer Model'!E14</f>
        <v>374</v>
      </c>
      <c r="M27" s="27">
        <f>'Rate Class Customer Model'!E15</f>
        <v>362</v>
      </c>
      <c r="N27" s="27">
        <f>'Rate Class Customer Model'!E16</f>
        <v>360</v>
      </c>
      <c r="O27" s="27">
        <f>'Rate Class Customer Model'!E17</f>
        <v>362</v>
      </c>
      <c r="P27" s="194">
        <f>'Rate Class Customer Model'!E18</f>
        <v>361</v>
      </c>
      <c r="Q27" s="194">
        <f>'Rate Class Customer Model'!E19</f>
        <v>354.47637329291484</v>
      </c>
      <c r="R27">
        <v>2.93</v>
      </c>
      <c r="S27" s="54">
        <f>+Q27*R27*12</f>
        <v>12463.389284978886</v>
      </c>
    </row>
    <row r="28" spans="1:20" x14ac:dyDescent="0.25">
      <c r="A28" t="s">
        <v>51</v>
      </c>
      <c r="B28" s="6">
        <f>'Rate Class Energy Model'!K12</f>
        <v>276562</v>
      </c>
      <c r="C28" s="6">
        <f>'Rate Class Energy Model'!K13</f>
        <v>291228</v>
      </c>
      <c r="D28" s="6">
        <f>'Rate Class Energy Model'!K14</f>
        <v>281406</v>
      </c>
      <c r="E28" s="6">
        <f>'Rate Class Energy Model'!K15</f>
        <v>274009</v>
      </c>
      <c r="F28" s="6">
        <f>'Rate Class Energy Model'!K16</f>
        <v>269054</v>
      </c>
      <c r="G28" s="6">
        <f>'Rate Class Energy Model'!K17</f>
        <v>268763</v>
      </c>
      <c r="H28" s="6">
        <f>'Rate Class Energy Model'!K18</f>
        <v>262522</v>
      </c>
      <c r="I28" s="6">
        <f>'Rate Class Energy Model'!K19</f>
        <v>258147</v>
      </c>
      <c r="J28" s="27">
        <f>'Rate Class Energy Model'!K20</f>
        <v>260362</v>
      </c>
      <c r="K28" s="27">
        <f>'Rate Class Energy Model'!K21</f>
        <v>246512</v>
      </c>
      <c r="L28" s="6">
        <f>'Rate Class Energy Model'!K22</f>
        <v>237315</v>
      </c>
      <c r="M28" s="27">
        <f>'Rate Class Energy Model'!K23</f>
        <v>243349</v>
      </c>
      <c r="N28" s="194">
        <f>'Rate Class Energy Model'!K24</f>
        <v>235238</v>
      </c>
      <c r="O28" s="194">
        <f>'Rate Class Energy Model'!K25</f>
        <v>227055.8</v>
      </c>
      <c r="P28" s="194">
        <f>'Rate Class Energy Model'!K26</f>
        <v>213661.2</v>
      </c>
      <c r="Q28" s="194">
        <f>'Rate Class Energy Model'!K76</f>
        <v>209800.13099560147</v>
      </c>
    </row>
    <row r="29" spans="1:20" x14ac:dyDescent="0.25">
      <c r="A29" t="s">
        <v>52</v>
      </c>
      <c r="B29" s="6">
        <f>'Rate Class Load Model'!C4</f>
        <v>768</v>
      </c>
      <c r="C29" s="6">
        <f>'Rate Class Load Model'!C5</f>
        <v>873</v>
      </c>
      <c r="D29" s="6">
        <f>'Rate Class Load Model'!C6</f>
        <v>784</v>
      </c>
      <c r="E29" s="6">
        <f>'Rate Class Load Model'!C7</f>
        <v>766</v>
      </c>
      <c r="F29" s="6">
        <f>'Rate Class Load Model'!C8</f>
        <v>747</v>
      </c>
      <c r="G29" s="6">
        <f>'Rate Class Load Model'!C9</f>
        <v>744</v>
      </c>
      <c r="H29" s="6">
        <f>'Rate Class Load Model'!C10</f>
        <v>730</v>
      </c>
      <c r="I29" s="6">
        <f>'Rate Class Load Model'!C11</f>
        <v>714</v>
      </c>
      <c r="J29" s="27">
        <f>'Rate Class Load Model'!C12</f>
        <v>703</v>
      </c>
      <c r="K29" s="27">
        <f>'Rate Class Load Model'!C13</f>
        <v>687</v>
      </c>
      <c r="L29" s="6">
        <f>'Rate Class Load Model'!C14</f>
        <v>660</v>
      </c>
      <c r="M29" s="27">
        <f>'Rate Class Load Model'!C15</f>
        <v>676</v>
      </c>
      <c r="N29" s="27">
        <f>'Rate Class Load Model'!C16</f>
        <v>752</v>
      </c>
      <c r="O29" s="27">
        <f>'Rate Class Load Model'!C17</f>
        <v>630</v>
      </c>
      <c r="P29" s="194">
        <f>'Rate Class Load Model'!C18</f>
        <v>619.20000000000005</v>
      </c>
      <c r="Q29" s="194">
        <f>'Rate Class Load Model'!C19</f>
        <v>592.51480879014923</v>
      </c>
      <c r="R29">
        <v>27.3551</v>
      </c>
      <c r="S29" s="203">
        <f>+Q29*R29</f>
        <v>16208.301845935412</v>
      </c>
    </row>
    <row r="30" spans="1:20" x14ac:dyDescent="0.25">
      <c r="J30" s="23"/>
      <c r="K30" s="32"/>
      <c r="L30" s="1"/>
      <c r="M30" s="23"/>
      <c r="N30" s="23"/>
      <c r="Q30" s="159"/>
      <c r="S30" s="54">
        <f>SUM(S27:S29)</f>
        <v>28671.691130914296</v>
      </c>
    </row>
    <row r="31" spans="1:20" x14ac:dyDescent="0.25">
      <c r="A31" s="43" t="str">
        <f>'Rate Class Energy Model'!L2</f>
        <v>Street Lights</v>
      </c>
      <c r="J31" s="23"/>
      <c r="K31" s="32"/>
      <c r="L31" s="1"/>
      <c r="M31" s="23"/>
      <c r="N31" s="23"/>
      <c r="O31" s="23"/>
      <c r="P31" s="159"/>
      <c r="Q31" s="159"/>
    </row>
    <row r="32" spans="1:20" x14ac:dyDescent="0.25">
      <c r="A32" t="s">
        <v>50</v>
      </c>
      <c r="B32" s="6">
        <f>'Rate Class Customer Model'!F4</f>
        <v>8619</v>
      </c>
      <c r="C32" s="6">
        <f>'Rate Class Customer Model'!F5</f>
        <v>8635</v>
      </c>
      <c r="D32" s="6">
        <f>'Rate Class Customer Model'!F6</f>
        <v>8642</v>
      </c>
      <c r="E32" s="6">
        <f>'Rate Class Customer Model'!F7</f>
        <v>8663</v>
      </c>
      <c r="F32" s="6">
        <f>'Rate Class Customer Model'!F8</f>
        <v>8707</v>
      </c>
      <c r="G32" s="6">
        <f>'Rate Class Customer Model'!F9</f>
        <v>8741</v>
      </c>
      <c r="H32" s="6">
        <f>'Rate Class Customer Model'!F10</f>
        <v>8799</v>
      </c>
      <c r="I32" s="6">
        <f>'Rate Class Customer Model'!F11</f>
        <v>8846</v>
      </c>
      <c r="J32" s="27">
        <f>'Rate Class Customer Model'!F12</f>
        <v>8846</v>
      </c>
      <c r="K32" s="27">
        <f>'Rate Class Customer Model'!F13</f>
        <v>8846</v>
      </c>
      <c r="L32" s="6">
        <f>'Rate Class Customer Model'!F14</f>
        <v>8846</v>
      </c>
      <c r="M32" s="27">
        <f>'Rate Class Customer Model'!F15</f>
        <v>8846</v>
      </c>
      <c r="N32" s="27">
        <f>'Rate Class Customer Model'!F16</f>
        <v>8839</v>
      </c>
      <c r="O32" s="27">
        <f>'Rate Class Customer Model'!F17</f>
        <v>8872</v>
      </c>
      <c r="P32" s="194">
        <f>'Rate Class Customer Model'!F18</f>
        <v>8070</v>
      </c>
      <c r="Q32" s="194">
        <f>'Rate Class Customer Model'!F19</f>
        <v>8070</v>
      </c>
      <c r="R32">
        <v>2.94</v>
      </c>
      <c r="S32" s="54">
        <f>+Q32*R32*12</f>
        <v>284709.59999999998</v>
      </c>
    </row>
    <row r="33" spans="1:19" x14ac:dyDescent="0.25">
      <c r="A33" t="s">
        <v>51</v>
      </c>
      <c r="B33" s="6">
        <f>'Rate Class Energy Model'!L12</f>
        <v>7192541</v>
      </c>
      <c r="C33" s="6">
        <f>'Rate Class Energy Model'!L13</f>
        <v>7375127</v>
      </c>
      <c r="D33" s="6">
        <f>'Rate Class Energy Model'!L14</f>
        <v>7719127</v>
      </c>
      <c r="E33" s="6">
        <f>'Rate Class Energy Model'!L15</f>
        <v>7605824</v>
      </c>
      <c r="F33" s="6">
        <f>'Rate Class Energy Model'!L16</f>
        <v>7637528</v>
      </c>
      <c r="G33" s="6">
        <f>'Rate Class Energy Model'!L17</f>
        <v>7620205</v>
      </c>
      <c r="H33" s="6">
        <f>'Rate Class Energy Model'!L18</f>
        <v>7603009</v>
      </c>
      <c r="I33" s="6">
        <f>'Rate Class Energy Model'!L19</f>
        <v>7754588</v>
      </c>
      <c r="J33" s="27">
        <f>'Rate Class Energy Model'!L20</f>
        <v>7814836</v>
      </c>
      <c r="K33" s="27">
        <f>'Rate Class Energy Model'!L21</f>
        <v>7736459</v>
      </c>
      <c r="L33" s="6">
        <f>'Rate Class Energy Model'!L22</f>
        <v>8087592</v>
      </c>
      <c r="M33" s="27">
        <f>'Rate Class Energy Model'!L23</f>
        <v>7812115</v>
      </c>
      <c r="N33" s="194">
        <f>'Rate Class Energy Model'!L24</f>
        <v>7295612</v>
      </c>
      <c r="O33" s="194">
        <f>'Rate Class Energy Model'!L25</f>
        <v>4869277.0999999996</v>
      </c>
      <c r="P33" s="194">
        <f>'Rate Class Energy Model'!L26</f>
        <v>2398221.2999999998</v>
      </c>
      <c r="Q33" s="194">
        <f>'Rate Class Energy Model'!L76</f>
        <v>2398221.2999999998</v>
      </c>
    </row>
    <row r="34" spans="1:19" x14ac:dyDescent="0.25">
      <c r="A34" t="s">
        <v>52</v>
      </c>
      <c r="B34" s="6">
        <f>'Rate Class Load Model'!D4</f>
        <v>21295</v>
      </c>
      <c r="C34" s="6">
        <f>'Rate Class Load Model'!D5</f>
        <v>21340</v>
      </c>
      <c r="D34" s="6">
        <f>'Rate Class Load Model'!D6</f>
        <v>21295</v>
      </c>
      <c r="E34" s="6">
        <f>'Rate Class Load Model'!D7</f>
        <v>23029</v>
      </c>
      <c r="F34" s="6">
        <f>'Rate Class Load Model'!D8</f>
        <v>21406</v>
      </c>
      <c r="G34" s="6">
        <f>'Rate Class Load Model'!D9</f>
        <v>21317</v>
      </c>
      <c r="H34" s="6">
        <f>'Rate Class Load Model'!D10</f>
        <v>21346</v>
      </c>
      <c r="I34" s="6">
        <f>'Rate Class Load Model'!D11</f>
        <v>23264</v>
      </c>
      <c r="J34" s="27">
        <f>'Rate Class Load Model'!D12</f>
        <v>21619</v>
      </c>
      <c r="K34" s="27">
        <f>'Rate Class Load Model'!D13</f>
        <v>21596</v>
      </c>
      <c r="L34" s="6">
        <f>'Rate Class Load Model'!D14</f>
        <v>21588</v>
      </c>
      <c r="M34" s="27">
        <f>'Rate Class Load Model'!D15</f>
        <v>21876</v>
      </c>
      <c r="N34" s="27">
        <f>'Rate Class Load Model'!D16</f>
        <v>21794</v>
      </c>
      <c r="O34" s="27">
        <f>'Rate Class Load Model'!D17</f>
        <v>14262.4</v>
      </c>
      <c r="P34" s="194">
        <f>'Rate Class Load Model'!D18</f>
        <v>7030.1</v>
      </c>
      <c r="Q34" s="194">
        <f>'Rate Class Load Model'!D19</f>
        <v>7030.1</v>
      </c>
      <c r="R34">
        <v>19.1736</v>
      </c>
      <c r="S34" s="203">
        <f>+Q34*R34</f>
        <v>134792.32536000002</v>
      </c>
    </row>
    <row r="35" spans="1:19" x14ac:dyDescent="0.25">
      <c r="J35" s="23"/>
      <c r="K35" s="27"/>
      <c r="L35" s="1"/>
      <c r="M35" s="23"/>
      <c r="N35" s="23"/>
      <c r="Q35" s="159"/>
      <c r="S35" s="54">
        <f>SUM(S32:S34)</f>
        <v>419501.92535999999</v>
      </c>
    </row>
    <row r="36" spans="1:19" x14ac:dyDescent="0.25">
      <c r="A36" s="43" t="str">
        <f>'Rate Class Energy Model'!M2</f>
        <v>USL</v>
      </c>
      <c r="B36" s="111"/>
      <c r="C36" s="111"/>
      <c r="D36" s="111"/>
      <c r="E36" s="111"/>
      <c r="F36" s="111"/>
      <c r="G36" s="111"/>
      <c r="H36" s="111"/>
      <c r="I36" s="111"/>
      <c r="J36" s="23"/>
      <c r="K36" s="27"/>
      <c r="L36" s="111"/>
      <c r="M36" s="23"/>
      <c r="N36" s="23"/>
      <c r="O36" s="23"/>
      <c r="P36" s="159"/>
      <c r="Q36" s="159"/>
    </row>
    <row r="37" spans="1:19" x14ac:dyDescent="0.25">
      <c r="A37" t="s">
        <v>50</v>
      </c>
      <c r="B37" s="27">
        <f>'Rate Class Customer Model'!G4</f>
        <v>12</v>
      </c>
      <c r="C37" s="27">
        <f>'Rate Class Customer Model'!G5</f>
        <v>19</v>
      </c>
      <c r="D37" s="27">
        <f>'Rate Class Customer Model'!G6</f>
        <v>27</v>
      </c>
      <c r="E37" s="27">
        <f>'Rate Class Customer Model'!G7</f>
        <v>28</v>
      </c>
      <c r="F37" s="27">
        <f>'Rate Class Customer Model'!G8</f>
        <v>27</v>
      </c>
      <c r="G37" s="27">
        <f>'Rate Class Customer Model'!G9</f>
        <v>22</v>
      </c>
      <c r="H37" s="27">
        <f>'Rate Class Customer Model'!G10</f>
        <v>17</v>
      </c>
      <c r="I37" s="27">
        <f>'Rate Class Customer Model'!G11</f>
        <v>16</v>
      </c>
      <c r="J37" s="27">
        <f>'Rate Class Customer Model'!G12</f>
        <v>19</v>
      </c>
      <c r="K37" s="27">
        <f>'Rate Class Customer Model'!G13</f>
        <v>21</v>
      </c>
      <c r="L37" s="27">
        <f>'Rate Class Customer Model'!G14</f>
        <v>21</v>
      </c>
      <c r="M37" s="27">
        <f>'Rate Class Customer Model'!G15</f>
        <v>21</v>
      </c>
      <c r="N37" s="27">
        <f>'Rate Class Customer Model'!G16</f>
        <v>21</v>
      </c>
      <c r="O37" s="27">
        <f>'Rate Class Customer Model'!G17</f>
        <v>21</v>
      </c>
      <c r="P37" s="194">
        <f>'Rate Class Customer Model'!G18</f>
        <v>21</v>
      </c>
      <c r="Q37" s="194">
        <f>'Rate Class Customer Model'!G19</f>
        <v>21.856426428186388</v>
      </c>
      <c r="R37">
        <v>12.69</v>
      </c>
      <c r="S37" s="54">
        <f>+Q37*R37*12</f>
        <v>3328.2966164842233</v>
      </c>
    </row>
    <row r="38" spans="1:19" x14ac:dyDescent="0.25">
      <c r="A38" t="s">
        <v>51</v>
      </c>
      <c r="B38" s="27">
        <f>'Rate Class Energy Model'!M12</f>
        <v>851637</v>
      </c>
      <c r="C38" s="27">
        <f>'Rate Class Energy Model'!M13</f>
        <v>842654</v>
      </c>
      <c r="D38" s="27">
        <f>'Rate Class Energy Model'!M14</f>
        <v>845827</v>
      </c>
      <c r="E38" s="27">
        <f>'Rate Class Energy Model'!M15</f>
        <v>856153</v>
      </c>
      <c r="F38" s="27">
        <f>'Rate Class Energy Model'!M16</f>
        <v>863982</v>
      </c>
      <c r="G38" s="27">
        <f>'Rate Class Energy Model'!M17</f>
        <v>848325</v>
      </c>
      <c r="H38" s="27">
        <f>'Rate Class Energy Model'!M18</f>
        <v>823448</v>
      </c>
      <c r="I38" s="27">
        <f>'Rate Class Energy Model'!M19</f>
        <v>837229</v>
      </c>
      <c r="J38" s="27">
        <f>'Rate Class Energy Model'!M20</f>
        <v>874873</v>
      </c>
      <c r="K38" s="27">
        <f>'Rate Class Energy Model'!M21</f>
        <v>861992</v>
      </c>
      <c r="L38" s="27">
        <f>'Rate Class Energy Model'!M22</f>
        <v>857423</v>
      </c>
      <c r="M38" s="27">
        <f>'Rate Class Energy Model'!M23</f>
        <v>876024</v>
      </c>
      <c r="N38" s="194">
        <f>'Rate Class Energy Model'!M24</f>
        <v>912709</v>
      </c>
      <c r="O38" s="194">
        <f>'Rate Class Energy Model'!M25</f>
        <v>903250.63</v>
      </c>
      <c r="P38" s="194">
        <f>'Rate Class Energy Model'!M26</f>
        <v>907712.9</v>
      </c>
      <c r="Q38" s="194">
        <f>'Rate Class Energy Model'!M76</f>
        <v>944731.43889360514</v>
      </c>
      <c r="R38" s="201">
        <v>3.1E-2</v>
      </c>
      <c r="S38" s="203">
        <f>+Q38*R38</f>
        <v>29286.674605701759</v>
      </c>
    </row>
    <row r="39" spans="1:19" x14ac:dyDescent="0.25">
      <c r="J39" s="23"/>
      <c r="K39" s="32"/>
      <c r="L39" s="23"/>
      <c r="M39" s="23"/>
      <c r="N39" s="23"/>
      <c r="P39" s="159"/>
      <c r="Q39" s="159"/>
      <c r="S39" s="54">
        <f>SUM(S37:S38)</f>
        <v>32614.971222185981</v>
      </c>
    </row>
    <row r="40" spans="1:19" x14ac:dyDescent="0.25">
      <c r="A40" s="43" t="s">
        <v>12</v>
      </c>
      <c r="J40" s="23"/>
      <c r="K40" s="32"/>
      <c r="L40" s="23"/>
      <c r="M40" s="23"/>
      <c r="N40" s="23"/>
      <c r="O40" s="23"/>
      <c r="P40" s="159"/>
      <c r="Q40" s="159"/>
    </row>
    <row r="41" spans="1:19" x14ac:dyDescent="0.25">
      <c r="A41" t="s">
        <v>59</v>
      </c>
      <c r="B41" s="27">
        <f t="shared" ref="B41:F42" si="1">B14+B18+B22+B27+B32+B37</f>
        <v>41290</v>
      </c>
      <c r="C41" s="27">
        <f t="shared" si="1"/>
        <v>41351</v>
      </c>
      <c r="D41" s="27">
        <f t="shared" si="1"/>
        <v>41409</v>
      </c>
      <c r="E41" s="27">
        <f t="shared" si="1"/>
        <v>41469</v>
      </c>
      <c r="F41" s="27">
        <f t="shared" si="1"/>
        <v>41538</v>
      </c>
      <c r="G41" s="27">
        <f t="shared" ref="G41:P41" si="2">G14+G18+G22+G27+G32+G37</f>
        <v>41729</v>
      </c>
      <c r="H41" s="27">
        <f t="shared" si="2"/>
        <v>41995</v>
      </c>
      <c r="I41" s="27">
        <f t="shared" si="2"/>
        <v>42110</v>
      </c>
      <c r="J41" s="27">
        <f t="shared" si="2"/>
        <v>42160</v>
      </c>
      <c r="K41" s="27">
        <f t="shared" si="2"/>
        <v>42400</v>
      </c>
      <c r="L41" s="27">
        <f t="shared" si="2"/>
        <v>42592</v>
      </c>
      <c r="M41" s="27">
        <f t="shared" si="2"/>
        <v>42577</v>
      </c>
      <c r="N41" s="27">
        <f t="shared" si="2"/>
        <v>42590</v>
      </c>
      <c r="O41" s="27">
        <f t="shared" si="2"/>
        <v>42650</v>
      </c>
      <c r="P41" s="194">
        <f t="shared" si="2"/>
        <v>41959</v>
      </c>
      <c r="Q41" s="194">
        <f>Q14+Q18+Q22+Q27+Q32+Q37</f>
        <v>42049.777078881569</v>
      </c>
    </row>
    <row r="42" spans="1:19" x14ac:dyDescent="0.25">
      <c r="A42" t="s">
        <v>51</v>
      </c>
      <c r="B42" s="27">
        <f t="shared" si="1"/>
        <v>719286098</v>
      </c>
      <c r="C42" s="27">
        <f t="shared" si="1"/>
        <v>727308120</v>
      </c>
      <c r="D42" s="27">
        <f t="shared" si="1"/>
        <v>717783995</v>
      </c>
      <c r="E42" s="27">
        <f t="shared" si="1"/>
        <v>697140805</v>
      </c>
      <c r="F42" s="27">
        <f t="shared" si="1"/>
        <v>701800772</v>
      </c>
      <c r="G42" s="27">
        <f t="shared" ref="G42:Q42" si="3">G15+G19+G23+G28+G33+G38</f>
        <v>710698626</v>
      </c>
      <c r="H42" s="27">
        <f t="shared" si="3"/>
        <v>707756700</v>
      </c>
      <c r="I42" s="27">
        <f t="shared" si="3"/>
        <v>683757862</v>
      </c>
      <c r="J42" s="27">
        <f t="shared" si="3"/>
        <v>711929017</v>
      </c>
      <c r="K42" s="27">
        <f t="shared" si="3"/>
        <v>676765709</v>
      </c>
      <c r="L42" s="27">
        <f t="shared" si="3"/>
        <v>688244167</v>
      </c>
      <c r="M42" s="27">
        <f t="shared" si="3"/>
        <v>701843127</v>
      </c>
      <c r="N42" s="27">
        <f t="shared" si="3"/>
        <v>669387526</v>
      </c>
      <c r="O42" s="27">
        <f t="shared" si="3"/>
        <v>636876243.92999995</v>
      </c>
      <c r="P42" s="194">
        <f t="shared" si="3"/>
        <v>622542513.29999995</v>
      </c>
      <c r="Q42" s="194">
        <f t="shared" si="3"/>
        <v>623960415.03680384</v>
      </c>
      <c r="S42" s="204">
        <f>+S16+S20+S25+S30+S35+S39</f>
        <v>15767613.367225625</v>
      </c>
    </row>
    <row r="43" spans="1:19" x14ac:dyDescent="0.25">
      <c r="A43" t="s">
        <v>58</v>
      </c>
      <c r="B43" s="27">
        <f>B24+B29+B34</f>
        <v>681890</v>
      </c>
      <c r="C43" s="27">
        <f>C24+C29+C34</f>
        <v>695282</v>
      </c>
      <c r="D43" s="27">
        <f>D24+D29+D34</f>
        <v>704274</v>
      </c>
      <c r="E43" s="27">
        <f>E24+E29+E34</f>
        <v>681622</v>
      </c>
      <c r="F43" s="27">
        <f>F24+F29+F34</f>
        <v>679337</v>
      </c>
      <c r="G43" s="27">
        <f t="shared" ref="G43:Q43" si="4">G24+G29+G34</f>
        <v>672760</v>
      </c>
      <c r="H43" s="27">
        <f t="shared" si="4"/>
        <v>659698</v>
      </c>
      <c r="I43" s="27">
        <f t="shared" si="4"/>
        <v>659082</v>
      </c>
      <c r="J43" s="27">
        <f t="shared" si="4"/>
        <v>651346</v>
      </c>
      <c r="K43" s="27">
        <f t="shared" si="4"/>
        <v>650119</v>
      </c>
      <c r="L43" s="27">
        <f t="shared" si="4"/>
        <v>678385</v>
      </c>
      <c r="M43" s="27">
        <f t="shared" si="4"/>
        <v>656841</v>
      </c>
      <c r="N43" s="27">
        <f t="shared" si="4"/>
        <v>733857</v>
      </c>
      <c r="O43" s="27">
        <f>O24+O29+O34</f>
        <v>636958.70000000007</v>
      </c>
      <c r="P43" s="194">
        <f>P24+P29+P34</f>
        <v>618413.39999999991</v>
      </c>
      <c r="Q43" s="194">
        <f t="shared" si="4"/>
        <v>617725.94174543524</v>
      </c>
    </row>
    <row r="44" spans="1:19" x14ac:dyDescent="0.25">
      <c r="B44" s="6"/>
      <c r="C44" s="6"/>
      <c r="D44" s="6"/>
      <c r="E44" s="6"/>
      <c r="F44" s="6"/>
      <c r="G44" s="6"/>
      <c r="I44" s="6"/>
      <c r="J44" s="27"/>
      <c r="K44" s="32"/>
      <c r="L44" s="110"/>
      <c r="M44" s="23"/>
      <c r="N44" s="23"/>
      <c r="O44" s="23"/>
      <c r="P44" s="159"/>
      <c r="Q44" s="159"/>
    </row>
    <row r="45" spans="1:19" x14ac:dyDescent="0.25">
      <c r="B45" s="6">
        <f>'Rate Class Customer Model'!H4</f>
        <v>41290</v>
      </c>
      <c r="C45" s="6">
        <f>'Rate Class Customer Model'!H5</f>
        <v>41351</v>
      </c>
      <c r="D45" s="6">
        <f>'Rate Class Customer Model'!H6</f>
        <v>41409</v>
      </c>
      <c r="E45" s="6">
        <f>'Rate Class Customer Model'!H7</f>
        <v>41469</v>
      </c>
      <c r="F45" s="6">
        <f>'Rate Class Customer Model'!H8</f>
        <v>41538</v>
      </c>
      <c r="G45" s="6">
        <f>'Rate Class Customer Model'!H9</f>
        <v>41729</v>
      </c>
      <c r="H45" s="6">
        <f>'Rate Class Customer Model'!H10</f>
        <v>41995</v>
      </c>
      <c r="I45" s="6">
        <f>'Rate Class Customer Model'!H11</f>
        <v>42110</v>
      </c>
      <c r="J45" s="27">
        <f>'Rate Class Customer Model'!H12</f>
        <v>42160</v>
      </c>
      <c r="K45" s="27">
        <f>'Rate Class Customer Model'!H13</f>
        <v>42400</v>
      </c>
      <c r="L45" s="27">
        <f>'Rate Class Customer Model'!H14</f>
        <v>42592</v>
      </c>
      <c r="M45" s="27">
        <f>'Rate Class Customer Model'!H15</f>
        <v>42577</v>
      </c>
      <c r="N45" s="27">
        <f>'Rate Class Customer Model'!H16</f>
        <v>42590</v>
      </c>
      <c r="O45" s="27">
        <f>'Rate Class Customer Model'!H17</f>
        <v>42650</v>
      </c>
      <c r="P45" s="194">
        <f>'Rate Class Customer Model'!H18</f>
        <v>41959</v>
      </c>
      <c r="Q45" s="194">
        <f>'Rate Class Customer Model'!H19</f>
        <v>42049.777078881569</v>
      </c>
    </row>
    <row r="46" spans="1:19" x14ac:dyDescent="0.25">
      <c r="B46" s="6">
        <f>'Rate Class Energy Model'!G12</f>
        <v>719286098</v>
      </c>
      <c r="C46" s="6">
        <f>'Rate Class Energy Model'!G13</f>
        <v>727308120</v>
      </c>
      <c r="D46" s="6">
        <f>'Rate Class Energy Model'!G14</f>
        <v>717783995</v>
      </c>
      <c r="E46" s="6">
        <f>'Rate Class Energy Model'!G15</f>
        <v>697140805</v>
      </c>
      <c r="F46" s="6">
        <f>'Rate Class Energy Model'!G16</f>
        <v>701800772</v>
      </c>
      <c r="G46" s="6">
        <f>'Rate Class Energy Model'!G17</f>
        <v>710698626</v>
      </c>
      <c r="H46" s="6">
        <f>'Rate Class Energy Model'!G18</f>
        <v>707756700</v>
      </c>
      <c r="I46" s="6">
        <f>'Rate Class Energy Model'!G19</f>
        <v>683757862</v>
      </c>
      <c r="J46" s="27">
        <f>'Rate Class Energy Model'!G20</f>
        <v>711929017</v>
      </c>
      <c r="K46" s="27">
        <f>'Rate Class Energy Model'!G21</f>
        <v>676765709</v>
      </c>
      <c r="L46" s="27">
        <f>'Rate Class Energy Model'!G22</f>
        <v>688244167</v>
      </c>
      <c r="M46" s="27">
        <f>'Rate Class Energy Model'!G23</f>
        <v>701843127</v>
      </c>
      <c r="N46" s="194">
        <f>'Rate Class Energy Model'!G24</f>
        <v>669387526</v>
      </c>
      <c r="O46" s="194">
        <f>'Rate Class Energy Model'!G25</f>
        <v>636876243.92999995</v>
      </c>
      <c r="P46" s="194">
        <f>'Rate Class Energy Model'!G26</f>
        <v>622542513.29999995</v>
      </c>
      <c r="Q46" s="194">
        <f>'Rate Class Energy Model'!N76</f>
        <v>623960415.03680384</v>
      </c>
    </row>
    <row r="47" spans="1:19" x14ac:dyDescent="0.25">
      <c r="B47" s="6">
        <f>'Rate Class Load Model'!E4</f>
        <v>681890</v>
      </c>
      <c r="C47" s="6">
        <f>'Rate Class Load Model'!E5</f>
        <v>695282</v>
      </c>
      <c r="D47" s="6">
        <f>'Rate Class Load Model'!E6</f>
        <v>704274</v>
      </c>
      <c r="E47" s="6">
        <f>'Rate Class Load Model'!E7</f>
        <v>681622</v>
      </c>
      <c r="F47" s="6">
        <f>'Rate Class Load Model'!E8</f>
        <v>679337</v>
      </c>
      <c r="G47" s="6">
        <f>'Rate Class Load Model'!E9</f>
        <v>672760</v>
      </c>
      <c r="H47" s="6">
        <f>'Rate Class Load Model'!E10</f>
        <v>659698</v>
      </c>
      <c r="I47" s="6">
        <f>'Rate Class Load Model'!E11</f>
        <v>659082</v>
      </c>
      <c r="J47" s="27">
        <f>'Rate Class Load Model'!E12</f>
        <v>651346</v>
      </c>
      <c r="K47" s="27">
        <f>'Rate Class Load Model'!E13</f>
        <v>650119</v>
      </c>
      <c r="L47" s="27">
        <f>'Rate Class Load Model'!E14</f>
        <v>678385</v>
      </c>
      <c r="M47" s="27">
        <f>'Rate Class Load Model'!E15</f>
        <v>656841</v>
      </c>
      <c r="N47" s="27">
        <f>'Rate Class Load Model'!E16</f>
        <v>733857</v>
      </c>
      <c r="O47" s="27">
        <f>'Rate Class Load Model'!E17</f>
        <v>636958.70000000007</v>
      </c>
      <c r="P47" s="194">
        <f>'Rate Class Load Model'!E18</f>
        <v>618413.39999999991</v>
      </c>
      <c r="Q47" s="194">
        <f>'Rate Class Load Model'!E19</f>
        <v>617725.94174543524</v>
      </c>
    </row>
    <row r="48" spans="1:19" x14ac:dyDescent="0.25">
      <c r="J48" s="23"/>
      <c r="K48" s="32"/>
      <c r="L48" s="32"/>
    </row>
    <row r="49" spans="1:17" x14ac:dyDescent="0.25">
      <c r="A49" s="106" t="s">
        <v>19</v>
      </c>
      <c r="J49"/>
      <c r="K49"/>
    </row>
    <row r="50" spans="1:17" x14ac:dyDescent="0.25">
      <c r="A50" t="s">
        <v>59</v>
      </c>
      <c r="B50" s="6">
        <f>B41-B45</f>
        <v>0</v>
      </c>
      <c r="C50" s="6">
        <f t="shared" ref="C50:O50" si="5">C41-C45</f>
        <v>0</v>
      </c>
      <c r="D50" s="6">
        <f t="shared" si="5"/>
        <v>0</v>
      </c>
      <c r="E50" s="6">
        <f t="shared" si="5"/>
        <v>0</v>
      </c>
      <c r="F50" s="6">
        <f t="shared" si="5"/>
        <v>0</v>
      </c>
      <c r="G50" s="6">
        <f t="shared" si="5"/>
        <v>0</v>
      </c>
      <c r="H50" s="6">
        <f t="shared" si="5"/>
        <v>0</v>
      </c>
      <c r="I50" s="6">
        <f t="shared" si="5"/>
        <v>0</v>
      </c>
      <c r="J50" s="6">
        <f t="shared" si="5"/>
        <v>0</v>
      </c>
      <c r="K50" s="6">
        <f t="shared" si="5"/>
        <v>0</v>
      </c>
      <c r="L50" s="6">
        <f t="shared" si="5"/>
        <v>0</v>
      </c>
      <c r="M50" s="27">
        <f t="shared" si="5"/>
        <v>0</v>
      </c>
      <c r="N50" s="27">
        <f t="shared" si="5"/>
        <v>0</v>
      </c>
      <c r="O50" s="27">
        <f t="shared" si="5"/>
        <v>0</v>
      </c>
      <c r="P50" s="194">
        <f t="shared" ref="P50" si="6">P41-P45</f>
        <v>0</v>
      </c>
      <c r="Q50" s="194">
        <f t="shared" ref="Q50" si="7">Q41-Q45</f>
        <v>0</v>
      </c>
    </row>
    <row r="51" spans="1:17" x14ac:dyDescent="0.25">
      <c r="A51" t="s">
        <v>51</v>
      </c>
      <c r="B51" s="6">
        <f>B42-B46</f>
        <v>0</v>
      </c>
      <c r="C51" s="6">
        <f t="shared" ref="C51:O51" si="8">C42-C46</f>
        <v>0</v>
      </c>
      <c r="D51" s="6">
        <f t="shared" si="8"/>
        <v>0</v>
      </c>
      <c r="E51" s="6">
        <f t="shared" si="8"/>
        <v>0</v>
      </c>
      <c r="F51" s="6">
        <f t="shared" si="8"/>
        <v>0</v>
      </c>
      <c r="G51" s="6">
        <f t="shared" si="8"/>
        <v>0</v>
      </c>
      <c r="H51" s="6">
        <f t="shared" si="8"/>
        <v>0</v>
      </c>
      <c r="I51" s="6">
        <f t="shared" si="8"/>
        <v>0</v>
      </c>
      <c r="J51" s="6">
        <f t="shared" si="8"/>
        <v>0</v>
      </c>
      <c r="K51" s="6">
        <f t="shared" si="8"/>
        <v>0</v>
      </c>
      <c r="L51" s="6">
        <f t="shared" si="8"/>
        <v>0</v>
      </c>
      <c r="M51" s="27">
        <f t="shared" si="8"/>
        <v>0</v>
      </c>
      <c r="N51" s="27">
        <f t="shared" si="8"/>
        <v>0</v>
      </c>
      <c r="O51" s="27">
        <f t="shared" si="8"/>
        <v>0</v>
      </c>
      <c r="P51" s="194">
        <f t="shared" ref="P51" si="9">P42-P46</f>
        <v>0</v>
      </c>
      <c r="Q51" s="194">
        <f t="shared" ref="Q51" si="10">Q42-Q46</f>
        <v>0</v>
      </c>
    </row>
    <row r="52" spans="1:17" x14ac:dyDescent="0.25">
      <c r="A52" t="s">
        <v>58</v>
      </c>
      <c r="B52" s="6">
        <f>B43-B47</f>
        <v>0</v>
      </c>
      <c r="C52" s="6">
        <f t="shared" ref="C52:N52" si="11">C43-C47</f>
        <v>0</v>
      </c>
      <c r="D52" s="6">
        <f t="shared" si="11"/>
        <v>0</v>
      </c>
      <c r="E52" s="6">
        <f t="shared" si="11"/>
        <v>0</v>
      </c>
      <c r="F52" s="6">
        <f t="shared" si="11"/>
        <v>0</v>
      </c>
      <c r="G52" s="6">
        <f t="shared" si="11"/>
        <v>0</v>
      </c>
      <c r="H52" s="6">
        <f t="shared" si="11"/>
        <v>0</v>
      </c>
      <c r="I52" s="6">
        <f t="shared" si="11"/>
        <v>0</v>
      </c>
      <c r="J52" s="6">
        <f t="shared" si="11"/>
        <v>0</v>
      </c>
      <c r="K52" s="6">
        <f t="shared" si="11"/>
        <v>0</v>
      </c>
      <c r="L52" s="6">
        <f t="shared" si="11"/>
        <v>0</v>
      </c>
      <c r="M52" s="27">
        <f t="shared" si="11"/>
        <v>0</v>
      </c>
      <c r="N52" s="27">
        <f t="shared" si="11"/>
        <v>0</v>
      </c>
      <c r="O52" s="27">
        <f>O43-O47</f>
        <v>0</v>
      </c>
      <c r="P52" s="194">
        <f>P43-P47</f>
        <v>0</v>
      </c>
      <c r="Q52" s="194">
        <f t="shared" ref="Q52" si="12">Q43-Q47</f>
        <v>0</v>
      </c>
    </row>
    <row r="53" spans="1:17" x14ac:dyDescent="0.25">
      <c r="J53"/>
      <c r="K53"/>
    </row>
    <row r="54" spans="1:17" x14ac:dyDescent="0.25">
      <c r="J54"/>
      <c r="K54"/>
      <c r="O54" s="115">
        <f>O15+O19+O23</f>
        <v>630876660.39999998</v>
      </c>
      <c r="P54" s="115">
        <f t="shared" ref="P54:Q54" si="13">P15+P19+P23</f>
        <v>619022917.89999998</v>
      </c>
      <c r="Q54" s="115">
        <f t="shared" si="13"/>
        <v>620407662.1669147</v>
      </c>
    </row>
    <row r="55" spans="1:17" x14ac:dyDescent="0.25">
      <c r="J55"/>
      <c r="K55"/>
    </row>
    <row r="56" spans="1:17" x14ac:dyDescent="0.25">
      <c r="J56"/>
      <c r="K56"/>
    </row>
    <row r="57" spans="1:17" x14ac:dyDescent="0.25">
      <c r="J57"/>
      <c r="K57"/>
      <c r="Q57" s="377"/>
    </row>
    <row r="58" spans="1:17" x14ac:dyDescent="0.25">
      <c r="J58"/>
      <c r="K58"/>
      <c r="Q58" s="377"/>
    </row>
    <row r="59" spans="1:17" x14ac:dyDescent="0.25">
      <c r="J59"/>
      <c r="K59"/>
      <c r="Q59" s="377"/>
    </row>
    <row r="60" spans="1:17" x14ac:dyDescent="0.25">
      <c r="J60"/>
      <c r="K60"/>
    </row>
    <row r="61" spans="1:17" x14ac:dyDescent="0.25">
      <c r="J61"/>
      <c r="K61"/>
    </row>
    <row r="62" spans="1:17" x14ac:dyDescent="0.25">
      <c r="J62"/>
      <c r="K62"/>
    </row>
    <row r="63" spans="1:17" x14ac:dyDescent="0.25">
      <c r="J63"/>
      <c r="K63"/>
    </row>
    <row r="64" spans="1:17" x14ac:dyDescent="0.25">
      <c r="J64"/>
      <c r="K64"/>
    </row>
    <row r="65" spans="10:11" x14ac:dyDescent="0.25">
      <c r="J65"/>
      <c r="K65"/>
    </row>
    <row r="66" spans="10:11" x14ac:dyDescent="0.25">
      <c r="J66"/>
      <c r="K66"/>
    </row>
    <row r="67" spans="10:11" x14ac:dyDescent="0.25">
      <c r="J67"/>
      <c r="K67"/>
    </row>
    <row r="68" spans="10:11" x14ac:dyDescent="0.25">
      <c r="J68"/>
      <c r="K68"/>
    </row>
    <row r="69" spans="10:11" x14ac:dyDescent="0.25">
      <c r="J69"/>
      <c r="K69"/>
    </row>
    <row r="70" spans="10:11" x14ac:dyDescent="0.25">
      <c r="J70"/>
      <c r="K70"/>
    </row>
    <row r="71" spans="10:11" x14ac:dyDescent="0.25">
      <c r="J71"/>
      <c r="K71"/>
    </row>
    <row r="72" spans="10:11" x14ac:dyDescent="0.25">
      <c r="J72"/>
      <c r="K72"/>
    </row>
    <row r="73" spans="10:11" x14ac:dyDescent="0.25">
      <c r="J73"/>
      <c r="K73"/>
    </row>
    <row r="74" spans="10:11" x14ac:dyDescent="0.25">
      <c r="J74"/>
      <c r="K74"/>
    </row>
    <row r="75" spans="10:11" x14ac:dyDescent="0.25">
      <c r="J75"/>
      <c r="K75"/>
    </row>
    <row r="76" spans="10:11" x14ac:dyDescent="0.25">
      <c r="J76"/>
      <c r="K76"/>
    </row>
    <row r="77" spans="10:11" x14ac:dyDescent="0.25">
      <c r="J77"/>
      <c r="K77"/>
    </row>
    <row r="78" spans="10:11" x14ac:dyDescent="0.25">
      <c r="J78"/>
      <c r="K78"/>
    </row>
    <row r="79" spans="10:11" x14ac:dyDescent="0.25">
      <c r="J79"/>
      <c r="K79"/>
    </row>
    <row r="80" spans="10:11" x14ac:dyDescent="0.25">
      <c r="J80"/>
      <c r="K80"/>
    </row>
    <row r="81" spans="10:11" x14ac:dyDescent="0.25">
      <c r="J81"/>
      <c r="K81"/>
    </row>
    <row r="82" spans="10:11" x14ac:dyDescent="0.25">
      <c r="J82"/>
      <c r="K82"/>
    </row>
    <row r="83" spans="10:11" x14ac:dyDescent="0.25">
      <c r="J83"/>
      <c r="K83"/>
    </row>
    <row r="84" spans="10:11" x14ac:dyDescent="0.25">
      <c r="J84"/>
      <c r="K84"/>
    </row>
    <row r="85" spans="10:11" x14ac:dyDescent="0.25">
      <c r="J85"/>
      <c r="K85"/>
    </row>
    <row r="86" spans="10:11" x14ac:dyDescent="0.25">
      <c r="J86"/>
      <c r="K86"/>
    </row>
    <row r="87" spans="10:11" x14ac:dyDescent="0.25">
      <c r="J87"/>
      <c r="K87"/>
    </row>
    <row r="88" spans="10:11" x14ac:dyDescent="0.25">
      <c r="J88"/>
      <c r="K88"/>
    </row>
    <row r="89" spans="10:11" x14ac:dyDescent="0.25">
      <c r="J89"/>
      <c r="K89"/>
    </row>
    <row r="90" spans="10:11" x14ac:dyDescent="0.25">
      <c r="J90"/>
      <c r="K90"/>
    </row>
    <row r="91" spans="10:11" x14ac:dyDescent="0.25">
      <c r="J91"/>
      <c r="K91"/>
    </row>
  </sheetData>
  <phoneticPr fontId="0" type="noConversion"/>
  <pageMargins left="0.38" right="0.75" top="0.73" bottom="0.74" header="0.5" footer="0.5"/>
  <pageSetup scale="53" orientation="landscape" verticalDpi="3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D266"/>
  <sheetViews>
    <sheetView zoomScaleNormal="100" workbookViewId="0">
      <pane xSplit="1" ySplit="2" topLeftCell="T199" activePane="bottomRight" state="frozen"/>
      <selection activeCell="M35" sqref="M35"/>
      <selection pane="topRight" activeCell="M35" sqref="M35"/>
      <selection pane="bottomLeft" activeCell="M35" sqref="M35"/>
      <selection pane="bottomRight" activeCell="Y209" sqref="Y209"/>
    </sheetView>
  </sheetViews>
  <sheetFormatPr defaultRowHeight="13.2" x14ac:dyDescent="0.25"/>
  <cols>
    <col min="1" max="1" width="11.88671875" style="41" customWidth="1"/>
    <col min="2" max="2" width="18" style="6" customWidth="1"/>
    <col min="3" max="6" width="18" style="158" customWidth="1"/>
    <col min="7" max="7" width="11.6640625" style="1" customWidth="1"/>
    <col min="8" max="8" width="13.44140625" style="1" customWidth="1"/>
    <col min="9" max="9" width="12.44140625" style="1" customWidth="1"/>
    <col min="10" max="10" width="12.33203125" style="180" customWidth="1"/>
    <col min="11" max="11" width="12.6640625" style="159" bestFit="1" customWidth="1"/>
    <col min="12" max="12" width="14.88671875" style="159" customWidth="1"/>
    <col min="13" max="13" width="13" style="159" hidden="1" customWidth="1"/>
    <col min="14" max="14" width="10.109375" style="159" hidden="1" customWidth="1"/>
    <col min="15" max="16" width="14.88671875" style="159" hidden="1" customWidth="1"/>
    <col min="17" max="17" width="16.44140625" style="198" bestFit="1" customWidth="1"/>
    <col min="18" max="18" width="14.88671875" style="159" customWidth="1"/>
    <col min="19" max="19" width="16.44140625" style="1" bestFit="1" customWidth="1"/>
    <col min="20" max="20" width="16" style="1" customWidth="1"/>
    <col min="21" max="21" width="9.44140625" style="1" customWidth="1"/>
    <col min="22" max="22" width="8.88671875" style="1" customWidth="1"/>
    <col min="23" max="23" width="14.5546875" style="1" customWidth="1"/>
    <col min="24" max="24" width="17.33203125" style="1" bestFit="1" customWidth="1"/>
    <col min="25" max="25" width="42.109375" customWidth="1"/>
    <col min="26" max="26" width="15.88671875" bestFit="1" customWidth="1"/>
    <col min="27" max="27" width="15.33203125" bestFit="1" customWidth="1"/>
    <col min="28" max="28" width="13" bestFit="1" customWidth="1"/>
    <col min="29" max="29" width="17.109375" customWidth="1"/>
    <col min="30" max="30" width="17.109375" bestFit="1" customWidth="1"/>
    <col min="31" max="31" width="16" bestFit="1" customWidth="1"/>
    <col min="32" max="32" width="26.109375" bestFit="1" customWidth="1"/>
    <col min="33" max="33" width="23" bestFit="1" customWidth="1"/>
    <col min="36" max="36" width="40.6640625" bestFit="1" customWidth="1"/>
    <col min="37" max="37" width="42.88671875" bestFit="1" customWidth="1"/>
  </cols>
  <sheetData>
    <row r="2" spans="1:31" s="32" customFormat="1" ht="39.6" x14ac:dyDescent="0.25">
      <c r="A2" s="166"/>
      <c r="B2" s="154" t="s">
        <v>65</v>
      </c>
      <c r="C2" s="155" t="s">
        <v>113</v>
      </c>
      <c r="D2" s="154" t="s">
        <v>0</v>
      </c>
      <c r="E2" s="154" t="s">
        <v>323</v>
      </c>
      <c r="F2" s="154" t="s">
        <v>324</v>
      </c>
      <c r="G2" s="155" t="s">
        <v>4</v>
      </c>
      <c r="H2" s="155" t="s">
        <v>5</v>
      </c>
      <c r="I2" s="155" t="s">
        <v>22</v>
      </c>
      <c r="J2" s="156" t="s">
        <v>6</v>
      </c>
      <c r="K2" s="155" t="s">
        <v>325</v>
      </c>
      <c r="L2" s="155" t="s">
        <v>102</v>
      </c>
      <c r="M2" s="157" t="s">
        <v>8</v>
      </c>
      <c r="N2" s="165" t="s">
        <v>7</v>
      </c>
      <c r="O2" s="155" t="s">
        <v>135</v>
      </c>
      <c r="P2" s="155" t="s">
        <v>136</v>
      </c>
      <c r="Q2" s="155" t="s">
        <v>345</v>
      </c>
      <c r="R2" s="155" t="s">
        <v>323</v>
      </c>
      <c r="S2" s="155" t="s">
        <v>13</v>
      </c>
      <c r="T2" s="156" t="s">
        <v>14</v>
      </c>
      <c r="U2" s="155" t="s">
        <v>15</v>
      </c>
      <c r="V2" s="155" t="s">
        <v>103</v>
      </c>
      <c r="Y2" t="s">
        <v>23</v>
      </c>
      <c r="Z2"/>
      <c r="AA2"/>
      <c r="AB2"/>
      <c r="AC2"/>
      <c r="AD2"/>
      <c r="AE2"/>
    </row>
    <row r="3" spans="1:31" ht="13.8" thickBot="1" x14ac:dyDescent="0.3">
      <c r="A3" s="167">
        <v>37652</v>
      </c>
      <c r="B3" s="168">
        <v>85049952</v>
      </c>
      <c r="C3" s="288">
        <v>0</v>
      </c>
      <c r="D3" s="171"/>
      <c r="E3" s="171">
        <f>C3*D3</f>
        <v>0</v>
      </c>
      <c r="F3" s="171">
        <f>B3+E3</f>
        <v>85049952</v>
      </c>
      <c r="G3" s="222">
        <f>'Weather Analysis '!J8</f>
        <v>920.6</v>
      </c>
      <c r="H3" s="222">
        <f>+'Weather Analysis '!J28</f>
        <v>0</v>
      </c>
      <c r="I3" s="169">
        <v>0</v>
      </c>
      <c r="J3" s="169">
        <v>31</v>
      </c>
      <c r="K3" s="287">
        <v>1</v>
      </c>
      <c r="L3" s="288">
        <v>32198</v>
      </c>
      <c r="M3" s="289">
        <v>125.66024937363977</v>
      </c>
      <c r="N3" s="290">
        <v>351.91199999999998</v>
      </c>
      <c r="O3" s="169">
        <v>166.9</v>
      </c>
      <c r="P3" s="291">
        <v>9.1</v>
      </c>
      <c r="Q3" s="287">
        <f>+$Z$43+G3*$Z$44+H3*$Z$45+I3*$Z$46+J3*$Z$47+K3*$Z$48+ L3*$Z$49</f>
        <v>85661183.578995258</v>
      </c>
      <c r="R3" s="291">
        <f>E3</f>
        <v>0</v>
      </c>
      <c r="S3" s="287">
        <f>+$Z$43+$G$3*$Z$44+$H$3*$Z$45+$I$3*$Z$46+$J$3*$Z$47+$K$3*$Z$48+ $L$3*$Z$49</f>
        <v>85661183.578995258</v>
      </c>
      <c r="T3" s="50">
        <f t="shared" ref="T3:T34" si="0">S3-B3</f>
        <v>611231.57899525762</v>
      </c>
      <c r="U3" s="103">
        <f t="shared" ref="U3:U34" si="1">T3/B3</f>
        <v>7.1867363193251141E-3</v>
      </c>
      <c r="V3" s="13">
        <f t="shared" ref="V3:V66" si="2">ABS(U3)</f>
        <v>7.1867363193251141E-3</v>
      </c>
      <c r="W3" s="13"/>
      <c r="X3" s="13"/>
    </row>
    <row r="4" spans="1:31" x14ac:dyDescent="0.25">
      <c r="A4" s="167">
        <f t="shared" ref="A4:A11" si="3">EOMONTH(A3,1)</f>
        <v>37680</v>
      </c>
      <c r="B4" s="168">
        <v>76788076</v>
      </c>
      <c r="C4" s="288">
        <v>0</v>
      </c>
      <c r="D4" s="171"/>
      <c r="E4" s="171">
        <f t="shared" ref="E4:E67" si="4">C4*D4</f>
        <v>0</v>
      </c>
      <c r="F4" s="171">
        <f t="shared" ref="F4:F67" si="5">B4+E4</f>
        <v>76788076</v>
      </c>
      <c r="G4" s="222">
        <f>'Weather Analysis '!J9</f>
        <v>902.6</v>
      </c>
      <c r="H4" s="222">
        <f>+'Weather Analysis '!J29</f>
        <v>0</v>
      </c>
      <c r="I4" s="169">
        <v>0</v>
      </c>
      <c r="J4" s="169">
        <v>28</v>
      </c>
      <c r="K4" s="287">
        <v>2</v>
      </c>
      <c r="L4" s="288">
        <v>32198</v>
      </c>
      <c r="M4" s="289">
        <v>125.80592062045517</v>
      </c>
      <c r="N4" s="290">
        <v>319.87200000000001</v>
      </c>
      <c r="O4" s="169">
        <v>167.8</v>
      </c>
      <c r="P4" s="291">
        <v>9.3000000000000007</v>
      </c>
      <c r="Q4" s="287">
        <f t="shared" ref="Q4:Q67" si="6">+$Z$43+G4*$Z$44+H4*$Z$45+I4*$Z$46+J4*$Z$47+K4*$Z$48+ L4*$Z$49</f>
        <v>79552587.042233333</v>
      </c>
      <c r="R4" s="291">
        <f t="shared" ref="R4:R67" si="7">E4</f>
        <v>0</v>
      </c>
      <c r="S4" s="287">
        <f t="shared" ref="S4:S35" si="8">+$Z$43+G4*$Z$44+H4*$Z$45+I4*$Z$46+J4*$Z$47+K4*$Z$48+ L4*$Z$49</f>
        <v>79552587.042233333</v>
      </c>
      <c r="T4" s="50">
        <f t="shared" si="0"/>
        <v>2764511.042233333</v>
      </c>
      <c r="U4" s="103">
        <f t="shared" si="1"/>
        <v>3.6001827187769793E-2</v>
      </c>
      <c r="V4" s="13">
        <f t="shared" si="2"/>
        <v>3.6001827187769793E-2</v>
      </c>
      <c r="W4" s="338"/>
      <c r="X4" s="13"/>
      <c r="Y4" s="36" t="s">
        <v>24</v>
      </c>
      <c r="Z4" s="36"/>
    </row>
    <row r="5" spans="1:31" x14ac:dyDescent="0.25">
      <c r="A5" s="167">
        <f t="shared" si="3"/>
        <v>37711</v>
      </c>
      <c r="B5" s="168">
        <v>75545096</v>
      </c>
      <c r="C5" s="288">
        <v>0</v>
      </c>
      <c r="D5" s="171"/>
      <c r="E5" s="171">
        <f t="shared" si="4"/>
        <v>0</v>
      </c>
      <c r="F5" s="171">
        <f t="shared" si="5"/>
        <v>75545096</v>
      </c>
      <c r="G5" s="222">
        <f>'Weather Analysis '!J10</f>
        <v>745.5</v>
      </c>
      <c r="H5" s="222">
        <f>+'Weather Analysis '!J30</f>
        <v>0</v>
      </c>
      <c r="I5" s="169">
        <v>1</v>
      </c>
      <c r="J5" s="169">
        <v>31</v>
      </c>
      <c r="K5" s="287">
        <v>3</v>
      </c>
      <c r="L5" s="288">
        <v>32199</v>
      </c>
      <c r="M5" s="289">
        <v>125.9517607362029</v>
      </c>
      <c r="N5" s="290">
        <v>336.28800000000001</v>
      </c>
      <c r="O5" s="169">
        <v>169.4</v>
      </c>
      <c r="P5" s="291">
        <v>9.3000000000000007</v>
      </c>
      <c r="Q5" s="287">
        <f t="shared" si="6"/>
        <v>75807720.123925939</v>
      </c>
      <c r="R5" s="291">
        <f t="shared" si="7"/>
        <v>0</v>
      </c>
      <c r="S5" s="287">
        <f t="shared" si="8"/>
        <v>75807720.123925939</v>
      </c>
      <c r="T5" s="50">
        <f t="shared" si="0"/>
        <v>262624.1239259392</v>
      </c>
      <c r="U5" s="103">
        <f t="shared" si="1"/>
        <v>3.4763887774520693E-3</v>
      </c>
      <c r="V5" s="13">
        <f t="shared" si="2"/>
        <v>3.4763887774520693E-3</v>
      </c>
      <c r="W5" s="338"/>
      <c r="X5" s="13"/>
      <c r="Y5" s="33" t="s">
        <v>25</v>
      </c>
      <c r="Z5" s="286">
        <v>0.98246480723030005</v>
      </c>
    </row>
    <row r="6" spans="1:31" x14ac:dyDescent="0.25">
      <c r="A6" s="167">
        <f t="shared" si="3"/>
        <v>37741</v>
      </c>
      <c r="B6" s="168">
        <v>63274204</v>
      </c>
      <c r="C6" s="288">
        <v>0</v>
      </c>
      <c r="D6" s="171"/>
      <c r="E6" s="171">
        <f t="shared" si="4"/>
        <v>0</v>
      </c>
      <c r="F6" s="171">
        <f t="shared" si="5"/>
        <v>63274204</v>
      </c>
      <c r="G6" s="222">
        <f>'Weather Analysis '!J11</f>
        <v>497.2</v>
      </c>
      <c r="H6" s="222">
        <f>+'Weather Analysis '!J31</f>
        <v>0</v>
      </c>
      <c r="I6" s="169">
        <v>1</v>
      </c>
      <c r="J6" s="169">
        <v>30</v>
      </c>
      <c r="K6" s="287">
        <v>4</v>
      </c>
      <c r="L6" s="288">
        <v>32198</v>
      </c>
      <c r="M6" s="289">
        <v>126.09776991664374</v>
      </c>
      <c r="N6" s="290">
        <v>336.24</v>
      </c>
      <c r="O6" s="169">
        <v>170.5</v>
      </c>
      <c r="P6" s="291">
        <v>9.4</v>
      </c>
      <c r="Q6" s="287">
        <f t="shared" si="6"/>
        <v>64262693.407154649</v>
      </c>
      <c r="R6" s="291">
        <f t="shared" si="7"/>
        <v>0</v>
      </c>
      <c r="S6" s="287">
        <f t="shared" si="8"/>
        <v>64262693.407154649</v>
      </c>
      <c r="T6" s="50">
        <f t="shared" si="0"/>
        <v>988489.4071546495</v>
      </c>
      <c r="U6" s="103">
        <f t="shared" si="1"/>
        <v>1.562231280151149E-2</v>
      </c>
      <c r="V6" s="13">
        <f t="shared" si="2"/>
        <v>1.562231280151149E-2</v>
      </c>
      <c r="W6" s="338"/>
      <c r="X6" s="13"/>
      <c r="Y6" s="33" t="s">
        <v>26</v>
      </c>
      <c r="Z6" s="286">
        <v>0.96523709744607056</v>
      </c>
    </row>
    <row r="7" spans="1:31" x14ac:dyDescent="0.25">
      <c r="A7" s="167">
        <f t="shared" si="3"/>
        <v>37772</v>
      </c>
      <c r="B7" s="168">
        <v>52784032</v>
      </c>
      <c r="C7" s="288">
        <v>0</v>
      </c>
      <c r="D7" s="171"/>
      <c r="E7" s="171">
        <f t="shared" si="4"/>
        <v>0</v>
      </c>
      <c r="F7" s="171">
        <f t="shared" si="5"/>
        <v>52784032</v>
      </c>
      <c r="G7" s="222">
        <f>'Weather Analysis '!J12</f>
        <v>236.5</v>
      </c>
      <c r="H7" s="222">
        <f>+'Weather Analysis '!J32</f>
        <v>0</v>
      </c>
      <c r="I7" s="169">
        <v>1</v>
      </c>
      <c r="J7" s="169">
        <v>31</v>
      </c>
      <c r="K7" s="287">
        <v>5</v>
      </c>
      <c r="L7" s="288">
        <v>32136</v>
      </c>
      <c r="M7" s="289">
        <v>126.2439483577654</v>
      </c>
      <c r="N7" s="290">
        <v>336.28800000000001</v>
      </c>
      <c r="O7" s="169">
        <v>173.3</v>
      </c>
      <c r="P7" s="291">
        <v>9.9</v>
      </c>
      <c r="Q7" s="287">
        <f t="shared" si="6"/>
        <v>55411417.608271688</v>
      </c>
      <c r="R7" s="291">
        <f t="shared" si="7"/>
        <v>0</v>
      </c>
      <c r="S7" s="287">
        <f t="shared" si="8"/>
        <v>55411417.608271688</v>
      </c>
      <c r="T7" s="50">
        <f t="shared" si="0"/>
        <v>2627385.6082716882</v>
      </c>
      <c r="U7" s="103">
        <f t="shared" si="1"/>
        <v>4.977614457856664E-2</v>
      </c>
      <c r="V7" s="13">
        <f t="shared" si="2"/>
        <v>4.977614457856664E-2</v>
      </c>
      <c r="W7" s="338"/>
      <c r="X7" s="13"/>
      <c r="Y7" s="33" t="s">
        <v>27</v>
      </c>
      <c r="Z7" s="286">
        <v>0.96394158554965081</v>
      </c>
    </row>
    <row r="8" spans="1:31" x14ac:dyDescent="0.25">
      <c r="A8" s="167">
        <f t="shared" si="3"/>
        <v>37802</v>
      </c>
      <c r="B8" s="168">
        <v>49325848</v>
      </c>
      <c r="C8" s="288">
        <v>0</v>
      </c>
      <c r="D8" s="171"/>
      <c r="E8" s="171">
        <f t="shared" si="4"/>
        <v>0</v>
      </c>
      <c r="F8" s="171">
        <f t="shared" si="5"/>
        <v>49325848</v>
      </c>
      <c r="G8" s="222">
        <f>'Weather Analysis '!J13</f>
        <v>112.8</v>
      </c>
      <c r="H8" s="222">
        <f>+'Weather Analysis '!J33</f>
        <v>11.9</v>
      </c>
      <c r="I8" s="169">
        <v>0</v>
      </c>
      <c r="J8" s="169">
        <v>30</v>
      </c>
      <c r="K8" s="287">
        <v>6</v>
      </c>
      <c r="L8" s="288">
        <v>32119</v>
      </c>
      <c r="M8" s="289">
        <v>126.3902962557828</v>
      </c>
      <c r="N8" s="290">
        <v>336.24</v>
      </c>
      <c r="O8" s="169">
        <v>175.5</v>
      </c>
      <c r="P8" s="291">
        <v>10.1</v>
      </c>
      <c r="Q8" s="287">
        <f t="shared" si="6"/>
        <v>52517582.365313351</v>
      </c>
      <c r="R8" s="291">
        <f t="shared" si="7"/>
        <v>0</v>
      </c>
      <c r="S8" s="287">
        <f t="shared" si="8"/>
        <v>52517582.365313351</v>
      </c>
      <c r="T8" s="50">
        <f t="shared" si="0"/>
        <v>3191734.3653133512</v>
      </c>
      <c r="U8" s="103">
        <f t="shared" si="1"/>
        <v>6.4707136212100225E-2</v>
      </c>
      <c r="V8" s="13">
        <f t="shared" si="2"/>
        <v>6.4707136212100225E-2</v>
      </c>
      <c r="W8" s="338"/>
      <c r="X8" s="13"/>
      <c r="Y8" s="33" t="s">
        <v>28</v>
      </c>
      <c r="Z8" s="284">
        <v>2156983.4758142433</v>
      </c>
    </row>
    <row r="9" spans="1:31" ht="13.8" thickBot="1" x14ac:dyDescent="0.3">
      <c r="A9" s="167">
        <f t="shared" si="3"/>
        <v>37833</v>
      </c>
      <c r="B9" s="168">
        <v>51148508</v>
      </c>
      <c r="C9" s="288">
        <v>0</v>
      </c>
      <c r="D9" s="171"/>
      <c r="E9" s="171">
        <f t="shared" si="4"/>
        <v>0</v>
      </c>
      <c r="F9" s="171">
        <f t="shared" si="5"/>
        <v>51148508</v>
      </c>
      <c r="G9" s="222">
        <f>'Weather Analysis '!J14</f>
        <v>28</v>
      </c>
      <c r="H9" s="222">
        <f>+'Weather Analysis '!J34</f>
        <v>27.9</v>
      </c>
      <c r="I9" s="169">
        <v>0</v>
      </c>
      <c r="J9" s="169">
        <v>31</v>
      </c>
      <c r="K9" s="287">
        <v>7</v>
      </c>
      <c r="L9" s="288">
        <v>32132</v>
      </c>
      <c r="M9" s="289">
        <v>126.5368138071383</v>
      </c>
      <c r="N9" s="290">
        <v>351.91199999999998</v>
      </c>
      <c r="O9" s="169">
        <v>176.8</v>
      </c>
      <c r="P9" s="291">
        <v>10.9</v>
      </c>
      <c r="Q9" s="287">
        <f t="shared" si="6"/>
        <v>52347523.966200501</v>
      </c>
      <c r="R9" s="291">
        <f t="shared" si="7"/>
        <v>0</v>
      </c>
      <c r="S9" s="287">
        <f t="shared" si="8"/>
        <v>52347523.966200501</v>
      </c>
      <c r="T9" s="50">
        <f t="shared" si="0"/>
        <v>1199015.9662005007</v>
      </c>
      <c r="U9" s="103">
        <f t="shared" si="1"/>
        <v>2.3441856137827143E-2</v>
      </c>
      <c r="V9" s="13">
        <f t="shared" si="2"/>
        <v>2.3441856137827143E-2</v>
      </c>
      <c r="W9" s="338"/>
      <c r="X9" s="13"/>
      <c r="Y9" s="34" t="s">
        <v>29</v>
      </c>
      <c r="Z9" s="285">
        <v>168</v>
      </c>
    </row>
    <row r="10" spans="1:31" x14ac:dyDescent="0.25">
      <c r="A10" s="167">
        <f t="shared" si="3"/>
        <v>37864</v>
      </c>
      <c r="B10" s="168">
        <v>50113412</v>
      </c>
      <c r="C10" s="288">
        <v>0</v>
      </c>
      <c r="D10" s="171"/>
      <c r="E10" s="171">
        <f t="shared" si="4"/>
        <v>0</v>
      </c>
      <c r="F10" s="171">
        <f t="shared" si="5"/>
        <v>50113412</v>
      </c>
      <c r="G10" s="222">
        <f>'Weather Analysis '!J15</f>
        <v>32.200000000000003</v>
      </c>
      <c r="H10" s="222">
        <f>+'Weather Analysis '!J35</f>
        <v>48.6</v>
      </c>
      <c r="I10" s="169">
        <v>0</v>
      </c>
      <c r="J10" s="169">
        <v>31</v>
      </c>
      <c r="K10" s="287">
        <v>8</v>
      </c>
      <c r="L10" s="288">
        <v>32143</v>
      </c>
      <c r="M10" s="289">
        <v>126.68350120850199</v>
      </c>
      <c r="N10" s="290">
        <v>319.92</v>
      </c>
      <c r="O10" s="169">
        <v>177.7</v>
      </c>
      <c r="P10" s="291">
        <v>10.3</v>
      </c>
      <c r="Q10" s="287">
        <f t="shared" si="6"/>
        <v>54257131.651088059</v>
      </c>
      <c r="R10" s="291">
        <f t="shared" si="7"/>
        <v>0</v>
      </c>
      <c r="S10" s="287">
        <f t="shared" si="8"/>
        <v>54257131.651088059</v>
      </c>
      <c r="T10" s="50">
        <f t="shared" si="0"/>
        <v>4143719.6510880589</v>
      </c>
      <c r="U10" s="103">
        <f t="shared" si="1"/>
        <v>8.2686839425103575E-2</v>
      </c>
      <c r="V10" s="13">
        <f t="shared" si="2"/>
        <v>8.2686839425103575E-2</v>
      </c>
      <c r="W10" s="338"/>
      <c r="X10" s="13"/>
    </row>
    <row r="11" spans="1:31" ht="13.8" thickBot="1" x14ac:dyDescent="0.3">
      <c r="A11" s="167">
        <f t="shared" si="3"/>
        <v>37894</v>
      </c>
      <c r="B11" s="168">
        <v>49728476</v>
      </c>
      <c r="C11" s="288">
        <v>0</v>
      </c>
      <c r="D11" s="171"/>
      <c r="E11" s="171">
        <f t="shared" si="4"/>
        <v>0</v>
      </c>
      <c r="F11" s="171">
        <f t="shared" si="5"/>
        <v>49728476</v>
      </c>
      <c r="G11" s="222">
        <f>'Weather Analysis '!J16</f>
        <v>123.1</v>
      </c>
      <c r="H11" s="222">
        <f>+'Weather Analysis '!J36</f>
        <v>14.2</v>
      </c>
      <c r="I11" s="169">
        <v>1</v>
      </c>
      <c r="J11" s="169">
        <v>30</v>
      </c>
      <c r="K11" s="287">
        <v>9</v>
      </c>
      <c r="L11" s="288">
        <v>32159</v>
      </c>
      <c r="M11" s="289">
        <v>126.83035865677196</v>
      </c>
      <c r="N11" s="290">
        <v>336.24</v>
      </c>
      <c r="O11" s="169">
        <v>176.9</v>
      </c>
      <c r="P11" s="291">
        <v>10.1</v>
      </c>
      <c r="Q11" s="287">
        <f t="shared" si="6"/>
        <v>50262256.956166357</v>
      </c>
      <c r="R11" s="291">
        <f t="shared" si="7"/>
        <v>0</v>
      </c>
      <c r="S11" s="287">
        <f t="shared" si="8"/>
        <v>50262256.956166357</v>
      </c>
      <c r="T11" s="50">
        <f t="shared" si="0"/>
        <v>533780.9561663568</v>
      </c>
      <c r="U11" s="103">
        <f t="shared" si="1"/>
        <v>1.0733909403665554E-2</v>
      </c>
      <c r="V11" s="13">
        <f t="shared" si="2"/>
        <v>1.0733909403665554E-2</v>
      </c>
      <c r="W11" s="338"/>
      <c r="X11" s="13"/>
      <c r="Y11" t="s">
        <v>30</v>
      </c>
    </row>
    <row r="12" spans="1:31" x14ac:dyDescent="0.25">
      <c r="A12" s="167">
        <f t="shared" ref="A12:A75" si="9">EOMONTH(A11,1)</f>
        <v>37925</v>
      </c>
      <c r="B12" s="168">
        <v>58883124</v>
      </c>
      <c r="C12" s="288">
        <v>0</v>
      </c>
      <c r="D12" s="171"/>
      <c r="E12" s="171">
        <f t="shared" si="4"/>
        <v>0</v>
      </c>
      <c r="F12" s="171">
        <f t="shared" si="5"/>
        <v>58883124</v>
      </c>
      <c r="G12" s="222">
        <f>'Weather Analysis '!J17</f>
        <v>348.5</v>
      </c>
      <c r="H12" s="222">
        <f>+'Weather Analysis '!J37</f>
        <v>0</v>
      </c>
      <c r="I12" s="169">
        <v>1</v>
      </c>
      <c r="J12" s="169">
        <v>31</v>
      </c>
      <c r="K12" s="287">
        <v>10</v>
      </c>
      <c r="L12" s="288">
        <v>32189</v>
      </c>
      <c r="M12" s="289">
        <v>126.97738634907456</v>
      </c>
      <c r="N12" s="290">
        <v>351.91199999999998</v>
      </c>
      <c r="O12" s="169">
        <v>176.6</v>
      </c>
      <c r="P12" s="291">
        <v>8.6999999999999993</v>
      </c>
      <c r="Q12" s="287">
        <f t="shared" si="6"/>
        <v>59748491.947864681</v>
      </c>
      <c r="R12" s="291">
        <f t="shared" si="7"/>
        <v>0</v>
      </c>
      <c r="S12" s="287">
        <f t="shared" si="8"/>
        <v>59748491.947864681</v>
      </c>
      <c r="T12" s="50">
        <f t="shared" si="0"/>
        <v>865367.94786468148</v>
      </c>
      <c r="U12" s="103">
        <f t="shared" si="1"/>
        <v>1.4696366107625021E-2</v>
      </c>
      <c r="V12" s="13">
        <f t="shared" si="2"/>
        <v>1.4696366107625021E-2</v>
      </c>
      <c r="W12" s="338"/>
      <c r="X12" s="13"/>
      <c r="Y12" s="35"/>
      <c r="Z12" s="35" t="s">
        <v>34</v>
      </c>
      <c r="AA12" s="35" t="s">
        <v>35</v>
      </c>
      <c r="AB12" s="35" t="s">
        <v>36</v>
      </c>
      <c r="AC12" s="35" t="s">
        <v>37</v>
      </c>
      <c r="AD12" s="35" t="s">
        <v>38</v>
      </c>
    </row>
    <row r="13" spans="1:31" x14ac:dyDescent="0.25">
      <c r="A13" s="167">
        <f t="shared" si="9"/>
        <v>37955</v>
      </c>
      <c r="B13" s="168">
        <v>66040876</v>
      </c>
      <c r="C13" s="288">
        <v>0</v>
      </c>
      <c r="D13" s="171"/>
      <c r="E13" s="171">
        <f t="shared" si="4"/>
        <v>0</v>
      </c>
      <c r="F13" s="171">
        <f t="shared" si="5"/>
        <v>66040876</v>
      </c>
      <c r="G13" s="222">
        <f>'Weather Analysis '!J18</f>
        <v>494.7</v>
      </c>
      <c r="H13" s="222">
        <f>+'Weather Analysis '!J38</f>
        <v>0</v>
      </c>
      <c r="I13" s="169">
        <v>1</v>
      </c>
      <c r="J13" s="169">
        <v>30</v>
      </c>
      <c r="K13" s="287">
        <v>11</v>
      </c>
      <c r="L13" s="288">
        <v>32230</v>
      </c>
      <c r="M13" s="289">
        <v>127.12458448276465</v>
      </c>
      <c r="N13" s="290">
        <v>319.68</v>
      </c>
      <c r="O13" s="169">
        <v>175</v>
      </c>
      <c r="P13" s="291">
        <v>8.5</v>
      </c>
      <c r="Q13" s="287">
        <f t="shared" si="6"/>
        <v>63857084.836068124</v>
      </c>
      <c r="R13" s="291">
        <f t="shared" si="7"/>
        <v>0</v>
      </c>
      <c r="S13" s="287">
        <f t="shared" si="8"/>
        <v>63857084.836068124</v>
      </c>
      <c r="T13" s="50">
        <f t="shared" si="0"/>
        <v>-2183791.1639318764</v>
      </c>
      <c r="U13" s="103">
        <f t="shared" si="1"/>
        <v>-3.3067265248448198E-2</v>
      </c>
      <c r="V13" s="13">
        <f t="shared" si="2"/>
        <v>3.3067265248448198E-2</v>
      </c>
      <c r="W13" s="338"/>
      <c r="X13" s="13"/>
      <c r="Y13" s="33" t="s">
        <v>31</v>
      </c>
      <c r="Z13" s="33">
        <v>6</v>
      </c>
      <c r="AA13" s="33">
        <v>2.0798762041248708E+16</v>
      </c>
      <c r="AB13" s="33">
        <v>3466460340208118</v>
      </c>
      <c r="AC13" s="33">
        <v>745.06231869703004</v>
      </c>
      <c r="AD13" s="33">
        <v>1.1378208740977467E-114</v>
      </c>
    </row>
    <row r="14" spans="1:31" x14ac:dyDescent="0.25">
      <c r="A14" s="167">
        <f t="shared" si="9"/>
        <v>37986</v>
      </c>
      <c r="B14" s="168">
        <v>76444416</v>
      </c>
      <c r="C14" s="288">
        <v>0</v>
      </c>
      <c r="D14" s="171"/>
      <c r="E14" s="171">
        <f t="shared" si="4"/>
        <v>0</v>
      </c>
      <c r="F14" s="171">
        <f t="shared" si="5"/>
        <v>76444416</v>
      </c>
      <c r="G14" s="222">
        <f>'Weather Analysis '!J19</f>
        <v>657.8</v>
      </c>
      <c r="H14" s="222">
        <f>+'Weather Analysis '!J39</f>
        <v>0</v>
      </c>
      <c r="I14" s="169">
        <v>0</v>
      </c>
      <c r="J14" s="169">
        <v>31</v>
      </c>
      <c r="K14" s="287">
        <v>12</v>
      </c>
      <c r="L14" s="288">
        <v>32256</v>
      </c>
      <c r="M14" s="289">
        <v>127.27195325542573</v>
      </c>
      <c r="N14" s="290">
        <v>336.28800000000001</v>
      </c>
      <c r="O14" s="169">
        <v>175.6</v>
      </c>
      <c r="P14" s="291">
        <v>7.8</v>
      </c>
      <c r="Q14" s="287">
        <f t="shared" si="6"/>
        <v>74970653.421454087</v>
      </c>
      <c r="R14" s="291">
        <f t="shared" si="7"/>
        <v>0</v>
      </c>
      <c r="S14" s="287">
        <f t="shared" si="8"/>
        <v>74970653.421454087</v>
      </c>
      <c r="T14" s="50">
        <f t="shared" si="0"/>
        <v>-1473762.5785459131</v>
      </c>
      <c r="U14" s="103">
        <f t="shared" si="1"/>
        <v>-1.9278878113816882E-2</v>
      </c>
      <c r="V14" s="13">
        <f t="shared" si="2"/>
        <v>1.9278878113816882E-2</v>
      </c>
      <c r="W14" s="338"/>
      <c r="X14" s="13"/>
      <c r="Y14" s="33" t="s">
        <v>32</v>
      </c>
      <c r="Z14" s="33">
        <v>161</v>
      </c>
      <c r="AA14" s="33">
        <v>749065012104646.75</v>
      </c>
      <c r="AB14" s="33">
        <v>4652577714935.6943</v>
      </c>
      <c r="AC14" s="33"/>
      <c r="AD14" s="33"/>
    </row>
    <row r="15" spans="1:31" ht="13.8" thickBot="1" x14ac:dyDescent="0.3">
      <c r="A15" s="167">
        <f t="shared" si="9"/>
        <v>38017</v>
      </c>
      <c r="B15" s="168">
        <v>89226740</v>
      </c>
      <c r="C15" s="288">
        <v>0</v>
      </c>
      <c r="D15" s="171"/>
      <c r="E15" s="171">
        <f t="shared" si="4"/>
        <v>0</v>
      </c>
      <c r="F15" s="171">
        <f t="shared" si="5"/>
        <v>89226740</v>
      </c>
      <c r="G15" s="222">
        <f>'Weather Analysis '!K8</f>
        <v>1006</v>
      </c>
      <c r="H15" s="222">
        <f>+'Weather Analysis '!K28</f>
        <v>0</v>
      </c>
      <c r="I15" s="169">
        <v>0</v>
      </c>
      <c r="J15" s="169">
        <v>31</v>
      </c>
      <c r="K15" s="287">
        <v>13</v>
      </c>
      <c r="L15" s="288">
        <v>32257</v>
      </c>
      <c r="M15" s="289">
        <v>127.53411264087498</v>
      </c>
      <c r="N15" s="292">
        <v>336.28800000000001</v>
      </c>
      <c r="O15" s="169">
        <v>175.8</v>
      </c>
      <c r="P15" s="291">
        <v>8.6</v>
      </c>
      <c r="Q15" s="287">
        <f t="shared" si="6"/>
        <v>88491026.272442684</v>
      </c>
      <c r="R15" s="291">
        <f t="shared" si="7"/>
        <v>0</v>
      </c>
      <c r="S15" s="287">
        <f t="shared" si="8"/>
        <v>88491026.272442684</v>
      </c>
      <c r="T15" s="50">
        <f t="shared" si="0"/>
        <v>-735713.72755731642</v>
      </c>
      <c r="U15" s="103">
        <f t="shared" si="1"/>
        <v>-8.2454399606812535E-3</v>
      </c>
      <c r="V15" s="13">
        <f t="shared" si="2"/>
        <v>8.2454399606812535E-3</v>
      </c>
      <c r="W15" s="338"/>
      <c r="X15" s="13"/>
      <c r="Y15" s="34" t="s">
        <v>12</v>
      </c>
      <c r="Z15" s="34">
        <v>167</v>
      </c>
      <c r="AA15" s="34">
        <v>2.1547827053353356E+16</v>
      </c>
      <c r="AB15" s="34"/>
      <c r="AC15" s="34"/>
      <c r="AD15" s="34"/>
    </row>
    <row r="16" spans="1:31" ht="13.8" thickBot="1" x14ac:dyDescent="0.3">
      <c r="A16" s="167">
        <f t="shared" si="9"/>
        <v>38046</v>
      </c>
      <c r="B16" s="168">
        <v>73066340</v>
      </c>
      <c r="C16" s="288">
        <v>0</v>
      </c>
      <c r="D16" s="171"/>
      <c r="E16" s="171">
        <f t="shared" si="4"/>
        <v>0</v>
      </c>
      <c r="F16" s="171">
        <f t="shared" si="5"/>
        <v>73066340</v>
      </c>
      <c r="G16" s="222">
        <f>'Weather Analysis '!K9</f>
        <v>707</v>
      </c>
      <c r="H16" s="222">
        <f>+'Weather Analysis '!K29</f>
        <v>0</v>
      </c>
      <c r="I16" s="169">
        <v>0</v>
      </c>
      <c r="J16" s="169">
        <v>29</v>
      </c>
      <c r="K16" s="287">
        <v>14</v>
      </c>
      <c r="L16" s="288">
        <v>32250</v>
      </c>
      <c r="M16" s="289">
        <v>127.79681203173486</v>
      </c>
      <c r="N16" s="292">
        <v>320.16000000000003</v>
      </c>
      <c r="O16" s="169">
        <v>175.4</v>
      </c>
      <c r="P16" s="291">
        <v>8.8000000000000007</v>
      </c>
      <c r="Q16" s="287">
        <f t="shared" si="6"/>
        <v>73152543.792464137</v>
      </c>
      <c r="R16" s="291">
        <f t="shared" si="7"/>
        <v>0</v>
      </c>
      <c r="S16" s="287">
        <f t="shared" si="8"/>
        <v>73152543.792464137</v>
      </c>
      <c r="T16" s="50">
        <f t="shared" si="0"/>
        <v>86203.792464137077</v>
      </c>
      <c r="U16" s="103">
        <f t="shared" si="1"/>
        <v>1.1798017043708098E-3</v>
      </c>
      <c r="V16" s="13">
        <f t="shared" si="2"/>
        <v>1.1798017043708098E-3</v>
      </c>
      <c r="W16" s="338"/>
      <c r="X16" s="13"/>
    </row>
    <row r="17" spans="1:31" x14ac:dyDescent="0.25">
      <c r="A17" s="167">
        <f t="shared" si="9"/>
        <v>38077</v>
      </c>
      <c r="B17" s="168">
        <v>71196888</v>
      </c>
      <c r="C17" s="288">
        <v>0</v>
      </c>
      <c r="D17" s="171"/>
      <c r="E17" s="171">
        <f t="shared" si="4"/>
        <v>0</v>
      </c>
      <c r="F17" s="171">
        <f t="shared" si="5"/>
        <v>71196888</v>
      </c>
      <c r="G17" s="222">
        <f>'Weather Analysis '!K10</f>
        <v>652.70000000000005</v>
      </c>
      <c r="H17" s="222">
        <f>+'Weather Analysis '!K30</f>
        <v>0</v>
      </c>
      <c r="I17" s="169">
        <v>1</v>
      </c>
      <c r="J17" s="169">
        <v>31</v>
      </c>
      <c r="K17" s="287">
        <v>15</v>
      </c>
      <c r="L17" s="288">
        <v>32199</v>
      </c>
      <c r="M17" s="289">
        <v>128.06005254032812</v>
      </c>
      <c r="N17" s="292">
        <v>368.28</v>
      </c>
      <c r="O17" s="169">
        <v>173.9</v>
      </c>
      <c r="P17" s="291">
        <v>10.1</v>
      </c>
      <c r="Q17" s="287">
        <f t="shared" si="6"/>
        <v>71318387.84571147</v>
      </c>
      <c r="R17" s="291">
        <f t="shared" si="7"/>
        <v>0</v>
      </c>
      <c r="S17" s="287">
        <f t="shared" si="8"/>
        <v>71318387.84571147</v>
      </c>
      <c r="T17" s="50">
        <f t="shared" si="0"/>
        <v>121499.84571146965</v>
      </c>
      <c r="U17" s="103">
        <f t="shared" si="1"/>
        <v>1.7065330961020327E-3</v>
      </c>
      <c r="V17" s="13">
        <f t="shared" si="2"/>
        <v>1.7065330961020327E-3</v>
      </c>
      <c r="W17" s="338"/>
      <c r="X17" s="13"/>
      <c r="Y17" s="35"/>
      <c r="Z17" s="35" t="s">
        <v>39</v>
      </c>
      <c r="AA17" s="35" t="s">
        <v>28</v>
      </c>
      <c r="AB17" s="35" t="s">
        <v>40</v>
      </c>
      <c r="AC17" s="35" t="s">
        <v>41</v>
      </c>
      <c r="AD17" s="35" t="s">
        <v>42</v>
      </c>
      <c r="AE17" s="35" t="s">
        <v>43</v>
      </c>
    </row>
    <row r="18" spans="1:31" x14ac:dyDescent="0.25">
      <c r="A18" s="167">
        <f t="shared" si="9"/>
        <v>38107</v>
      </c>
      <c r="B18" s="168">
        <v>61357220</v>
      </c>
      <c r="C18" s="288">
        <v>0</v>
      </c>
      <c r="D18" s="171"/>
      <c r="E18" s="171">
        <f t="shared" si="4"/>
        <v>0</v>
      </c>
      <c r="F18" s="171">
        <f t="shared" si="5"/>
        <v>61357220</v>
      </c>
      <c r="G18" s="222">
        <f>'Weather Analysis '!K11</f>
        <v>457.4</v>
      </c>
      <c r="H18" s="222">
        <f>+'Weather Analysis '!K31</f>
        <v>0</v>
      </c>
      <c r="I18" s="169">
        <v>1</v>
      </c>
      <c r="J18" s="169">
        <v>30</v>
      </c>
      <c r="K18" s="287">
        <v>16</v>
      </c>
      <c r="L18" s="288">
        <v>32154</v>
      </c>
      <c r="M18" s="289">
        <v>128.32383528126866</v>
      </c>
      <c r="N18" s="292">
        <v>336.24</v>
      </c>
      <c r="O18" s="169">
        <v>173.7</v>
      </c>
      <c r="P18" s="291">
        <v>10.5</v>
      </c>
      <c r="Q18" s="287">
        <f t="shared" si="6"/>
        <v>61568489.173117936</v>
      </c>
      <c r="R18" s="291">
        <f t="shared" si="7"/>
        <v>0</v>
      </c>
      <c r="S18" s="287">
        <f t="shared" si="8"/>
        <v>61568489.173117936</v>
      </c>
      <c r="T18" s="50">
        <f t="shared" si="0"/>
        <v>211269.17311793566</v>
      </c>
      <c r="U18" s="103">
        <f t="shared" si="1"/>
        <v>3.4432650814025744E-3</v>
      </c>
      <c r="V18" s="13">
        <f t="shared" si="2"/>
        <v>3.4432650814025744E-3</v>
      </c>
      <c r="W18" s="338"/>
      <c r="X18" s="13"/>
      <c r="Y18" s="33" t="s">
        <v>33</v>
      </c>
      <c r="Z18" s="284">
        <v>-92792689.92313543</v>
      </c>
      <c r="AA18" s="284">
        <v>28164980.221083801</v>
      </c>
      <c r="AB18" s="339">
        <v>-3.2946122878393673</v>
      </c>
      <c r="AC18" s="33">
        <v>1.2120833294354738E-3</v>
      </c>
      <c r="AD18" s="284">
        <v>-148413120.76776084</v>
      </c>
      <c r="AE18" s="284">
        <v>-37172259.078510024</v>
      </c>
    </row>
    <row r="19" spans="1:31" x14ac:dyDescent="0.25">
      <c r="A19" s="167">
        <f t="shared" si="9"/>
        <v>38138</v>
      </c>
      <c r="B19" s="168">
        <v>55571152</v>
      </c>
      <c r="C19" s="288">
        <v>0</v>
      </c>
      <c r="D19" s="171"/>
      <c r="E19" s="171">
        <f t="shared" si="4"/>
        <v>0</v>
      </c>
      <c r="F19" s="171">
        <f t="shared" si="5"/>
        <v>55571152</v>
      </c>
      <c r="G19" s="222">
        <f>'Weather Analysis '!K12</f>
        <v>297.89999999999998</v>
      </c>
      <c r="H19" s="222">
        <f>+'Weather Analysis '!K32</f>
        <v>0.2</v>
      </c>
      <c r="I19" s="169">
        <v>1</v>
      </c>
      <c r="J19" s="169">
        <v>31</v>
      </c>
      <c r="K19" s="287">
        <v>17</v>
      </c>
      <c r="L19" s="288">
        <v>32212</v>
      </c>
      <c r="M19" s="289">
        <v>128.58816137146633</v>
      </c>
      <c r="N19" s="292">
        <v>319.92</v>
      </c>
      <c r="O19" s="169">
        <v>174.9</v>
      </c>
      <c r="P19" s="291">
        <v>10</v>
      </c>
      <c r="Q19" s="287">
        <f t="shared" si="6"/>
        <v>57427140.526985019</v>
      </c>
      <c r="R19" s="291">
        <f t="shared" si="7"/>
        <v>0</v>
      </c>
      <c r="S19" s="287">
        <f t="shared" si="8"/>
        <v>57427140.526985019</v>
      </c>
      <c r="T19" s="50">
        <f t="shared" si="0"/>
        <v>1855988.5269850194</v>
      </c>
      <c r="U19" s="103">
        <f t="shared" si="1"/>
        <v>3.3398417347637842E-2</v>
      </c>
      <c r="V19" s="13">
        <f t="shared" si="2"/>
        <v>3.3398417347637842E-2</v>
      </c>
      <c r="W19" s="338"/>
      <c r="X19" s="13"/>
      <c r="Y19" s="33" t="s">
        <v>4</v>
      </c>
      <c r="Z19" s="284">
        <v>39810.865930730841</v>
      </c>
      <c r="AA19" s="284">
        <v>784.63483761578448</v>
      </c>
      <c r="AB19" s="339">
        <v>50.738080980066293</v>
      </c>
      <c r="AC19" s="33">
        <v>6.0362413048508782E-101</v>
      </c>
      <c r="AD19" s="284">
        <v>38261.36270433684</v>
      </c>
      <c r="AE19" s="284">
        <v>41360.369157124842</v>
      </c>
    </row>
    <row r="20" spans="1:31" x14ac:dyDescent="0.25">
      <c r="A20" s="167">
        <f t="shared" si="9"/>
        <v>38168</v>
      </c>
      <c r="B20" s="168">
        <v>49366380</v>
      </c>
      <c r="C20" s="288">
        <v>0</v>
      </c>
      <c r="D20" s="171"/>
      <c r="E20" s="171">
        <f t="shared" si="4"/>
        <v>0</v>
      </c>
      <c r="F20" s="171">
        <f t="shared" si="5"/>
        <v>49366380</v>
      </c>
      <c r="G20" s="222">
        <f>'Weather Analysis '!K13</f>
        <v>151.4</v>
      </c>
      <c r="H20" s="222">
        <f>+'Weather Analysis '!K33</f>
        <v>2.2000000000000002</v>
      </c>
      <c r="I20" s="169">
        <v>0</v>
      </c>
      <c r="J20" s="169">
        <v>30</v>
      </c>
      <c r="K20" s="287">
        <v>18</v>
      </c>
      <c r="L20" s="288">
        <v>32194</v>
      </c>
      <c r="M20" s="289">
        <v>128.85303193013166</v>
      </c>
      <c r="N20" s="292">
        <v>352.08</v>
      </c>
      <c r="O20" s="169">
        <v>176.9</v>
      </c>
      <c r="P20" s="291">
        <v>9.4</v>
      </c>
      <c r="Q20" s="287">
        <f t="shared" si="6"/>
        <v>52800570.875620395</v>
      </c>
      <c r="R20" s="291">
        <f t="shared" si="7"/>
        <v>0</v>
      </c>
      <c r="S20" s="287">
        <f t="shared" si="8"/>
        <v>52800570.875620395</v>
      </c>
      <c r="T20" s="50">
        <f t="shared" si="0"/>
        <v>3434190.8756203949</v>
      </c>
      <c r="U20" s="103">
        <f t="shared" si="1"/>
        <v>6.9565377806118156E-2</v>
      </c>
      <c r="V20" s="13">
        <f t="shared" si="2"/>
        <v>6.9565377806118156E-2</v>
      </c>
      <c r="W20" s="338"/>
      <c r="X20" s="13"/>
      <c r="Y20" s="33" t="s">
        <v>5</v>
      </c>
      <c r="Z20" s="284">
        <v>84271.358698521362</v>
      </c>
      <c r="AA20" s="284">
        <v>14582.622019041599</v>
      </c>
      <c r="AB20" s="339">
        <v>5.7788893237774435</v>
      </c>
      <c r="AC20" s="33">
        <v>3.789338892856753E-8</v>
      </c>
      <c r="AD20" s="284">
        <v>55473.478736360194</v>
      </c>
      <c r="AE20" s="284">
        <v>113069.23866068253</v>
      </c>
    </row>
    <row r="21" spans="1:31" x14ac:dyDescent="0.25">
      <c r="A21" s="167">
        <f t="shared" si="9"/>
        <v>38199</v>
      </c>
      <c r="B21" s="168">
        <v>51210208</v>
      </c>
      <c r="C21" s="288">
        <v>0</v>
      </c>
      <c r="D21" s="171"/>
      <c r="E21" s="171">
        <f t="shared" si="4"/>
        <v>0</v>
      </c>
      <c r="F21" s="171">
        <f t="shared" si="5"/>
        <v>51210208</v>
      </c>
      <c r="G21" s="222">
        <f>'Weather Analysis '!K14</f>
        <v>54.7</v>
      </c>
      <c r="H21" s="222">
        <f>+'Weather Analysis '!K34</f>
        <v>15.4</v>
      </c>
      <c r="I21" s="169">
        <v>0</v>
      </c>
      <c r="J21" s="169">
        <v>31</v>
      </c>
      <c r="K21" s="287">
        <v>19</v>
      </c>
      <c r="L21" s="288">
        <v>32195</v>
      </c>
      <c r="M21" s="289">
        <v>129.11844807878055</v>
      </c>
      <c r="N21" s="292">
        <v>336.28800000000001</v>
      </c>
      <c r="O21" s="169">
        <v>175.7</v>
      </c>
      <c r="P21" s="291">
        <v>8.9</v>
      </c>
      <c r="Q21" s="287">
        <f t="shared" si="6"/>
        <v>51855059.480700016</v>
      </c>
      <c r="R21" s="291">
        <f t="shared" si="7"/>
        <v>0</v>
      </c>
      <c r="S21" s="287">
        <f t="shared" si="8"/>
        <v>51855059.480700016</v>
      </c>
      <c r="T21" s="50">
        <f t="shared" si="0"/>
        <v>644851.48070001602</v>
      </c>
      <c r="U21" s="103">
        <f t="shared" si="1"/>
        <v>1.2592244903594533E-2</v>
      </c>
      <c r="V21" s="13">
        <f t="shared" si="2"/>
        <v>1.2592244903594533E-2</v>
      </c>
      <c r="W21" s="338"/>
      <c r="X21" s="13"/>
      <c r="Y21" s="33" t="s">
        <v>22</v>
      </c>
      <c r="Z21" s="284">
        <v>-2894992.4692334202</v>
      </c>
      <c r="AA21" s="284">
        <v>391995.56300616142</v>
      </c>
      <c r="AB21" s="339">
        <v>-7.3852684633267556</v>
      </c>
      <c r="AC21" s="33">
        <v>7.7418540189495814E-12</v>
      </c>
      <c r="AD21" s="284">
        <v>-3669108.4789887862</v>
      </c>
      <c r="AE21" s="284">
        <v>-2120876.4594780542</v>
      </c>
    </row>
    <row r="22" spans="1:31" x14ac:dyDescent="0.25">
      <c r="A22" s="167">
        <f t="shared" si="9"/>
        <v>38230</v>
      </c>
      <c r="B22" s="168">
        <v>50192756</v>
      </c>
      <c r="C22" s="288">
        <v>0</v>
      </c>
      <c r="D22" s="171"/>
      <c r="E22" s="171">
        <f t="shared" si="4"/>
        <v>0</v>
      </c>
      <c r="F22" s="171">
        <f t="shared" si="5"/>
        <v>50192756</v>
      </c>
      <c r="G22" s="222">
        <f>'Weather Analysis '!K15</f>
        <v>83</v>
      </c>
      <c r="H22" s="222">
        <f>+'Weather Analysis '!K35</f>
        <v>13.5</v>
      </c>
      <c r="I22" s="169">
        <v>0</v>
      </c>
      <c r="J22" s="169">
        <v>31</v>
      </c>
      <c r="K22" s="287">
        <v>20</v>
      </c>
      <c r="L22" s="288">
        <v>32205</v>
      </c>
      <c r="M22" s="289">
        <v>129.38441094123903</v>
      </c>
      <c r="N22" s="292">
        <v>336.28800000000001</v>
      </c>
      <c r="O22" s="169">
        <v>172.6</v>
      </c>
      <c r="P22" s="291">
        <v>9.8000000000000007</v>
      </c>
      <c r="Q22" s="287">
        <f t="shared" si="6"/>
        <v>52788351.582336783</v>
      </c>
      <c r="R22" s="291">
        <f t="shared" si="7"/>
        <v>0</v>
      </c>
      <c r="S22" s="287">
        <f t="shared" si="8"/>
        <v>52788351.582336783</v>
      </c>
      <c r="T22" s="50">
        <f t="shared" si="0"/>
        <v>2595595.5823367834</v>
      </c>
      <c r="U22" s="103">
        <f t="shared" si="1"/>
        <v>5.1712553547304384E-2</v>
      </c>
      <c r="V22" s="13">
        <f t="shared" si="2"/>
        <v>5.1712553547304384E-2</v>
      </c>
      <c r="W22" s="338"/>
      <c r="X22" s="13"/>
      <c r="Y22" s="33" t="s">
        <v>6</v>
      </c>
      <c r="Z22" s="284">
        <v>1815876.5056657675</v>
      </c>
      <c r="AA22" s="284">
        <v>210619.83519123937</v>
      </c>
      <c r="AB22" s="339">
        <v>8.6215835465685426</v>
      </c>
      <c r="AC22" s="33">
        <v>5.911812343582763E-15</v>
      </c>
      <c r="AD22" s="284">
        <v>1399942.7508466796</v>
      </c>
      <c r="AE22" s="284">
        <v>2231810.2604848556</v>
      </c>
    </row>
    <row r="23" spans="1:31" x14ac:dyDescent="0.25">
      <c r="A23" s="167">
        <f t="shared" si="9"/>
        <v>38260</v>
      </c>
      <c r="B23" s="168">
        <v>50272804</v>
      </c>
      <c r="C23" s="288">
        <v>0</v>
      </c>
      <c r="D23" s="171"/>
      <c r="E23" s="171">
        <f t="shared" si="4"/>
        <v>0</v>
      </c>
      <c r="F23" s="171">
        <f t="shared" si="5"/>
        <v>50272804</v>
      </c>
      <c r="G23" s="222">
        <f>'Weather Analysis '!K16</f>
        <v>84.1</v>
      </c>
      <c r="H23" s="222">
        <f>+'Weather Analysis '!K36</f>
        <v>24.3</v>
      </c>
      <c r="I23" s="169">
        <v>1</v>
      </c>
      <c r="J23" s="169">
        <v>30</v>
      </c>
      <c r="K23" s="287">
        <v>21</v>
      </c>
      <c r="L23" s="288">
        <v>32206</v>
      </c>
      <c r="M23" s="289">
        <v>129.65092164364802</v>
      </c>
      <c r="N23" s="292">
        <v>336.24</v>
      </c>
      <c r="O23" s="169">
        <v>168.7</v>
      </c>
      <c r="P23" s="291">
        <v>10.5</v>
      </c>
      <c r="Q23" s="287">
        <f t="shared" si="6"/>
        <v>49017466.403613389</v>
      </c>
      <c r="R23" s="291">
        <f t="shared" si="7"/>
        <v>0</v>
      </c>
      <c r="S23" s="287">
        <f t="shared" si="8"/>
        <v>49017466.403613389</v>
      </c>
      <c r="T23" s="50">
        <f t="shared" si="0"/>
        <v>-1255337.5963866115</v>
      </c>
      <c r="U23" s="103">
        <f t="shared" si="1"/>
        <v>-2.4970510823040852E-2</v>
      </c>
      <c r="V23" s="13">
        <f t="shared" si="2"/>
        <v>2.4970510823040852E-2</v>
      </c>
      <c r="W23" s="338"/>
      <c r="X23" s="13"/>
      <c r="Y23" s="33" t="s">
        <v>113</v>
      </c>
      <c r="Z23" s="339">
        <v>-3.6795594206276183</v>
      </c>
      <c r="AA23" s="284">
        <v>0.55585713835404693</v>
      </c>
      <c r="AB23" s="339">
        <v>-6.6196135063106167</v>
      </c>
      <c r="AC23" s="33">
        <v>5.0996320928845613E-10</v>
      </c>
      <c r="AD23" s="284">
        <v>-4.7772705953071846</v>
      </c>
      <c r="AE23" s="284">
        <v>-2.5818482459480521</v>
      </c>
    </row>
    <row r="24" spans="1:31" ht="13.8" thickBot="1" x14ac:dyDescent="0.3">
      <c r="A24" s="167">
        <f t="shared" si="9"/>
        <v>38291</v>
      </c>
      <c r="B24" s="168">
        <v>57641764</v>
      </c>
      <c r="C24" s="288">
        <v>0</v>
      </c>
      <c r="D24" s="171"/>
      <c r="E24" s="171">
        <f t="shared" si="4"/>
        <v>0</v>
      </c>
      <c r="F24" s="171">
        <f t="shared" si="5"/>
        <v>57641764</v>
      </c>
      <c r="G24" s="222">
        <f>'Weather Analysis '!K17</f>
        <v>307.3</v>
      </c>
      <c r="H24" s="222">
        <f>+'Weather Analysis '!K37</f>
        <v>0</v>
      </c>
      <c r="I24" s="169">
        <v>1</v>
      </c>
      <c r="J24" s="169">
        <v>31</v>
      </c>
      <c r="K24" s="287">
        <v>22</v>
      </c>
      <c r="L24" s="288">
        <v>32231</v>
      </c>
      <c r="M24" s="289">
        <v>129.91798131446814</v>
      </c>
      <c r="N24" s="292">
        <v>319.92</v>
      </c>
      <c r="O24" s="169">
        <v>168.5</v>
      </c>
      <c r="P24" s="291">
        <v>9.9</v>
      </c>
      <c r="Q24" s="287">
        <f t="shared" si="6"/>
        <v>57533049.586172342</v>
      </c>
      <c r="R24" s="291">
        <f t="shared" si="7"/>
        <v>0</v>
      </c>
      <c r="S24" s="287">
        <f t="shared" si="8"/>
        <v>57533049.586172342</v>
      </c>
      <c r="T24" s="50">
        <f t="shared" si="0"/>
        <v>-108714.4138276577</v>
      </c>
      <c r="U24" s="103">
        <f t="shared" si="1"/>
        <v>-1.8860355111210284E-3</v>
      </c>
      <c r="V24" s="13">
        <f t="shared" si="2"/>
        <v>1.8860355111210284E-3</v>
      </c>
      <c r="W24" s="338"/>
      <c r="X24" s="13"/>
      <c r="Y24" s="34" t="s">
        <v>102</v>
      </c>
      <c r="Z24" s="285">
        <v>2620.2112079091107</v>
      </c>
      <c r="AA24" s="285">
        <v>846.07373372448887</v>
      </c>
      <c r="AB24" s="340">
        <v>3.0969064556285386</v>
      </c>
      <c r="AC24" s="34">
        <v>2.3075069986230302E-3</v>
      </c>
      <c r="AD24" s="285">
        <v>949.37795233134079</v>
      </c>
      <c r="AE24" s="285">
        <v>4291.0444634868809</v>
      </c>
    </row>
    <row r="25" spans="1:31" x14ac:dyDescent="0.25">
      <c r="A25" s="167">
        <f t="shared" si="9"/>
        <v>38321</v>
      </c>
      <c r="B25" s="168">
        <v>64887008</v>
      </c>
      <c r="C25" s="288">
        <v>0</v>
      </c>
      <c r="D25" s="171"/>
      <c r="E25" s="171">
        <f t="shared" si="4"/>
        <v>0</v>
      </c>
      <c r="F25" s="171">
        <f t="shared" si="5"/>
        <v>64887008</v>
      </c>
      <c r="G25" s="222">
        <f>'Weather Analysis '!K18</f>
        <v>462.7</v>
      </c>
      <c r="H25" s="222">
        <f>+'Weather Analysis '!K38</f>
        <v>0</v>
      </c>
      <c r="I25" s="169">
        <v>1</v>
      </c>
      <c r="J25" s="169">
        <v>30</v>
      </c>
      <c r="K25" s="287">
        <v>23</v>
      </c>
      <c r="L25" s="288">
        <v>32250</v>
      </c>
      <c r="M25" s="289">
        <v>130.18559108448443</v>
      </c>
      <c r="N25" s="292">
        <v>352.08</v>
      </c>
      <c r="O25" s="169">
        <v>169.9</v>
      </c>
      <c r="P25" s="291">
        <v>10</v>
      </c>
      <c r="Q25" s="287">
        <f t="shared" si="6"/>
        <v>61864172.015244961</v>
      </c>
      <c r="R25" s="291">
        <f t="shared" si="7"/>
        <v>0</v>
      </c>
      <c r="S25" s="287">
        <f t="shared" si="8"/>
        <v>61864172.015244961</v>
      </c>
      <c r="T25" s="50">
        <f t="shared" si="0"/>
        <v>-3022835.9847550392</v>
      </c>
      <c r="U25" s="103">
        <f t="shared" si="1"/>
        <v>-4.6586151495150448E-2</v>
      </c>
      <c r="V25" s="13">
        <f t="shared" si="2"/>
        <v>4.6586151495150448E-2</v>
      </c>
      <c r="W25" s="338"/>
      <c r="X25" s="13"/>
    </row>
    <row r="26" spans="1:31" x14ac:dyDescent="0.25">
      <c r="A26" s="167">
        <f t="shared" si="9"/>
        <v>38352</v>
      </c>
      <c r="B26" s="168">
        <v>83696492</v>
      </c>
      <c r="C26" s="288">
        <v>0</v>
      </c>
      <c r="D26" s="171"/>
      <c r="E26" s="171">
        <f t="shared" si="4"/>
        <v>0</v>
      </c>
      <c r="F26" s="171">
        <f t="shared" si="5"/>
        <v>83696492</v>
      </c>
      <c r="G26" s="222">
        <f>'Weather Analysis '!K19</f>
        <v>796.9</v>
      </c>
      <c r="H26" s="222">
        <f>+'Weather Analysis '!K39</f>
        <v>0</v>
      </c>
      <c r="I26" s="169">
        <v>0</v>
      </c>
      <c r="J26" s="169">
        <v>31</v>
      </c>
      <c r="K26" s="287">
        <v>24</v>
      </c>
      <c r="L26" s="288">
        <v>32296</v>
      </c>
      <c r="M26" s="289">
        <v>130.45375208681136</v>
      </c>
      <c r="N26" s="292">
        <v>336.28800000000001</v>
      </c>
      <c r="O26" s="169">
        <v>172.3</v>
      </c>
      <c r="P26" s="291">
        <v>9.5</v>
      </c>
      <c r="Q26" s="287">
        <f t="shared" si="6"/>
        <v>79777992.617474914</v>
      </c>
      <c r="R26" s="291">
        <f t="shared" si="7"/>
        <v>0</v>
      </c>
      <c r="S26" s="287">
        <f t="shared" si="8"/>
        <v>79777992.617474914</v>
      </c>
      <c r="T26" s="50">
        <f t="shared" si="0"/>
        <v>-3918499.3825250864</v>
      </c>
      <c r="U26" s="103">
        <f t="shared" si="1"/>
        <v>-4.6817964395987906E-2</v>
      </c>
      <c r="V26" s="13">
        <f t="shared" si="2"/>
        <v>4.6817964395987906E-2</v>
      </c>
      <c r="W26" s="338"/>
      <c r="X26" s="13"/>
    </row>
    <row r="27" spans="1:31" x14ac:dyDescent="0.25">
      <c r="A27" s="167">
        <f t="shared" si="9"/>
        <v>38383</v>
      </c>
      <c r="B27" s="168">
        <v>88287600</v>
      </c>
      <c r="C27" s="288">
        <v>0</v>
      </c>
      <c r="D27" s="171"/>
      <c r="E27" s="171">
        <f t="shared" si="4"/>
        <v>0</v>
      </c>
      <c r="F27" s="171">
        <f t="shared" si="5"/>
        <v>88287600</v>
      </c>
      <c r="G27" s="222">
        <f>'Weather Analysis '!L8</f>
        <v>925.1</v>
      </c>
      <c r="H27" s="222">
        <f>+'Weather Analysis '!L28</f>
        <v>0</v>
      </c>
      <c r="I27" s="169">
        <v>0</v>
      </c>
      <c r="J27" s="169">
        <v>31</v>
      </c>
      <c r="K27" s="287">
        <v>25</v>
      </c>
      <c r="L27" s="288">
        <v>32294</v>
      </c>
      <c r="M27" s="289">
        <v>130.74370215685079</v>
      </c>
      <c r="N27" s="292">
        <v>319.92</v>
      </c>
      <c r="O27" s="169">
        <v>173.3</v>
      </c>
      <c r="P27" s="291">
        <v>11.1</v>
      </c>
      <c r="Q27" s="287">
        <f t="shared" si="6"/>
        <v>84695505.359126091</v>
      </c>
      <c r="R27" s="291">
        <f t="shared" si="7"/>
        <v>0</v>
      </c>
      <c r="S27" s="287">
        <f t="shared" si="8"/>
        <v>84695505.359126091</v>
      </c>
      <c r="T27" s="50">
        <f t="shared" si="0"/>
        <v>-3592094.640873909</v>
      </c>
      <c r="U27" s="103">
        <f t="shared" si="1"/>
        <v>-4.0686287098912068E-2</v>
      </c>
      <c r="V27" s="13">
        <f t="shared" si="2"/>
        <v>4.0686287098912068E-2</v>
      </c>
      <c r="W27" s="338"/>
      <c r="X27" s="13"/>
      <c r="Y27" s="390" t="s">
        <v>23</v>
      </c>
      <c r="Z27" s="390"/>
      <c r="AA27" s="390"/>
      <c r="AB27" s="390"/>
      <c r="AC27" s="390"/>
      <c r="AD27" s="390"/>
      <c r="AE27" s="390"/>
    </row>
    <row r="28" spans="1:31" ht="13.8" thickBot="1" x14ac:dyDescent="0.3">
      <c r="A28" s="167">
        <f t="shared" si="9"/>
        <v>38411</v>
      </c>
      <c r="B28" s="168">
        <v>71065788</v>
      </c>
      <c r="C28" s="288">
        <v>0</v>
      </c>
      <c r="D28" s="171"/>
      <c r="E28" s="171">
        <f t="shared" si="4"/>
        <v>0</v>
      </c>
      <c r="F28" s="171">
        <f t="shared" si="5"/>
        <v>71065788</v>
      </c>
      <c r="G28" s="222">
        <f>'Weather Analysis '!L9</f>
        <v>693.6</v>
      </c>
      <c r="H28" s="222">
        <f>+'Weather Analysis '!L29</f>
        <v>0</v>
      </c>
      <c r="I28" s="169">
        <v>0</v>
      </c>
      <c r="J28" s="169">
        <v>28</v>
      </c>
      <c r="K28" s="287">
        <v>26</v>
      </c>
      <c r="L28" s="288">
        <v>32296</v>
      </c>
      <c r="M28" s="289">
        <v>131.0342966778299</v>
      </c>
      <c r="N28" s="292">
        <v>319.87200000000001</v>
      </c>
      <c r="O28" s="169">
        <v>175.1</v>
      </c>
      <c r="P28" s="291">
        <v>11.9</v>
      </c>
      <c r="Q28" s="287">
        <f t="shared" si="6"/>
        <v>70268685.370056018</v>
      </c>
      <c r="R28" s="291">
        <f t="shared" si="7"/>
        <v>0</v>
      </c>
      <c r="S28" s="287">
        <f t="shared" si="8"/>
        <v>70268685.370056018</v>
      </c>
      <c r="T28" s="50">
        <f t="shared" si="0"/>
        <v>-797102.62994398177</v>
      </c>
      <c r="U28" s="103">
        <f t="shared" si="1"/>
        <v>-1.1216404579148293E-2</v>
      </c>
      <c r="V28" s="13">
        <f t="shared" si="2"/>
        <v>1.1216404579148293E-2</v>
      </c>
      <c r="W28" s="338"/>
      <c r="X28" s="13"/>
      <c r="Y28" s="390"/>
      <c r="Z28" s="390"/>
      <c r="AA28" s="390"/>
      <c r="AB28" s="390"/>
      <c r="AC28" s="390"/>
      <c r="AD28" s="390"/>
      <c r="AE28" s="390"/>
    </row>
    <row r="29" spans="1:31" x14ac:dyDescent="0.25">
      <c r="A29" s="167">
        <f t="shared" si="9"/>
        <v>38442</v>
      </c>
      <c r="B29" s="168">
        <v>73186104</v>
      </c>
      <c r="C29" s="288">
        <v>0</v>
      </c>
      <c r="D29" s="171"/>
      <c r="E29" s="171">
        <f t="shared" si="4"/>
        <v>0</v>
      </c>
      <c r="F29" s="171">
        <f t="shared" si="5"/>
        <v>73186104</v>
      </c>
      <c r="G29" s="222">
        <f>'Weather Analysis '!L10</f>
        <v>744.9</v>
      </c>
      <c r="H29" s="222">
        <f>+'Weather Analysis '!L30</f>
        <v>0</v>
      </c>
      <c r="I29" s="169">
        <v>1</v>
      </c>
      <c r="J29" s="169">
        <v>31</v>
      </c>
      <c r="K29" s="287">
        <v>27</v>
      </c>
      <c r="L29" s="288">
        <v>32283</v>
      </c>
      <c r="M29" s="289">
        <v>131.32553708212293</v>
      </c>
      <c r="N29" s="292">
        <v>351.91199999999998</v>
      </c>
      <c r="O29" s="169">
        <v>176.4</v>
      </c>
      <c r="P29" s="291">
        <v>14.8</v>
      </c>
      <c r="Q29" s="287">
        <f t="shared" si="6"/>
        <v>74568616.936019316</v>
      </c>
      <c r="R29" s="291">
        <f t="shared" si="7"/>
        <v>0</v>
      </c>
      <c r="S29" s="287">
        <f t="shared" si="8"/>
        <v>74568616.936019316</v>
      </c>
      <c r="T29" s="50">
        <f t="shared" si="0"/>
        <v>1382512.9360193163</v>
      </c>
      <c r="U29" s="103">
        <f t="shared" si="1"/>
        <v>1.8890374817865919E-2</v>
      </c>
      <c r="V29" s="13">
        <f t="shared" si="2"/>
        <v>1.8890374817865919E-2</v>
      </c>
      <c r="W29" s="338"/>
      <c r="X29" s="13"/>
      <c r="Y29" s="391" t="s">
        <v>24</v>
      </c>
      <c r="Z29" s="391"/>
      <c r="AA29" s="390"/>
      <c r="AB29" s="390"/>
      <c r="AC29" s="390"/>
      <c r="AD29" s="390"/>
      <c r="AE29" s="390"/>
    </row>
    <row r="30" spans="1:31" x14ac:dyDescent="0.25">
      <c r="A30" s="167">
        <f t="shared" si="9"/>
        <v>38472</v>
      </c>
      <c r="B30" s="168">
        <v>56446820</v>
      </c>
      <c r="C30" s="288">
        <v>0</v>
      </c>
      <c r="D30" s="171"/>
      <c r="E30" s="171">
        <f t="shared" si="4"/>
        <v>0</v>
      </c>
      <c r="F30" s="171">
        <f t="shared" si="5"/>
        <v>56446820</v>
      </c>
      <c r="G30" s="222">
        <f>'Weather Analysis '!L11</f>
        <v>369.1</v>
      </c>
      <c r="H30" s="222">
        <f>+'Weather Analysis '!L31</f>
        <v>0</v>
      </c>
      <c r="I30" s="169">
        <v>1</v>
      </c>
      <c r="J30" s="169">
        <v>30</v>
      </c>
      <c r="K30" s="287">
        <v>28</v>
      </c>
      <c r="L30" s="288">
        <v>32297</v>
      </c>
      <c r="M30" s="289">
        <v>131.61742480528775</v>
      </c>
      <c r="N30" s="292">
        <v>336.24</v>
      </c>
      <c r="O30" s="169">
        <v>178.3</v>
      </c>
      <c r="P30" s="291">
        <v>14.5</v>
      </c>
      <c r="Q30" s="287">
        <f t="shared" si="6"/>
        <v>58141658.066677213</v>
      </c>
      <c r="R30" s="291">
        <f t="shared" si="7"/>
        <v>0</v>
      </c>
      <c r="S30" s="287">
        <f t="shared" si="8"/>
        <v>58141658.066677213</v>
      </c>
      <c r="T30" s="50">
        <f t="shared" si="0"/>
        <v>1694838.0666772127</v>
      </c>
      <c r="U30" s="103">
        <f t="shared" si="1"/>
        <v>3.0025394994389634E-2</v>
      </c>
      <c r="V30" s="13">
        <f t="shared" si="2"/>
        <v>3.0025394994389634E-2</v>
      </c>
      <c r="W30" s="338"/>
      <c r="X30" s="13"/>
      <c r="Y30" s="392" t="s">
        <v>25</v>
      </c>
      <c r="Z30" s="393">
        <v>0.97988170618314752</v>
      </c>
      <c r="AA30" s="390"/>
      <c r="AB30" s="390"/>
      <c r="AC30" s="390"/>
      <c r="AD30" s="390"/>
      <c r="AE30" s="390"/>
    </row>
    <row r="31" spans="1:31" x14ac:dyDescent="0.25">
      <c r="A31" s="167">
        <f t="shared" si="9"/>
        <v>38503</v>
      </c>
      <c r="B31" s="168">
        <v>53664344</v>
      </c>
      <c r="C31" s="288">
        <v>0</v>
      </c>
      <c r="D31" s="171"/>
      <c r="E31" s="171">
        <f t="shared" si="4"/>
        <v>0</v>
      </c>
      <c r="F31" s="171">
        <f t="shared" si="5"/>
        <v>53664344</v>
      </c>
      <c r="G31" s="222">
        <f>'Weather Analysis '!L12</f>
        <v>259</v>
      </c>
      <c r="H31" s="222">
        <f>+'Weather Analysis '!L32</f>
        <v>0</v>
      </c>
      <c r="I31" s="169">
        <v>1</v>
      </c>
      <c r="J31" s="169">
        <v>31</v>
      </c>
      <c r="K31" s="287">
        <v>29</v>
      </c>
      <c r="L31" s="288">
        <v>32300</v>
      </c>
      <c r="M31" s="289">
        <v>131.90996128607298</v>
      </c>
      <c r="N31" s="292">
        <v>336.28800000000001</v>
      </c>
      <c r="O31" s="169">
        <v>178.7</v>
      </c>
      <c r="P31" s="291">
        <v>13.2</v>
      </c>
      <c r="Q31" s="287">
        <f t="shared" si="6"/>
        <v>55569836.798112243</v>
      </c>
      <c r="R31" s="291">
        <f t="shared" si="7"/>
        <v>0</v>
      </c>
      <c r="S31" s="287">
        <f t="shared" si="8"/>
        <v>55569836.798112243</v>
      </c>
      <c r="T31" s="50">
        <f t="shared" si="0"/>
        <v>1905492.7981122434</v>
      </c>
      <c r="U31" s="103">
        <f t="shared" si="1"/>
        <v>3.5507613735336882E-2</v>
      </c>
      <c r="V31" s="13">
        <f t="shared" si="2"/>
        <v>3.5507613735336882E-2</v>
      </c>
      <c r="W31" s="338"/>
      <c r="X31" s="13"/>
      <c r="Y31" s="392" t="s">
        <v>26</v>
      </c>
      <c r="Z31" s="393">
        <v>0.9601681581123962</v>
      </c>
      <c r="AA31" s="390"/>
      <c r="AB31" s="390"/>
      <c r="AC31" s="390"/>
      <c r="AD31" s="390"/>
      <c r="AE31" s="390"/>
    </row>
    <row r="32" spans="1:31" x14ac:dyDescent="0.25">
      <c r="A32" s="167">
        <f t="shared" si="9"/>
        <v>38533</v>
      </c>
      <c r="B32" s="168">
        <v>51111168</v>
      </c>
      <c r="C32" s="288">
        <v>0</v>
      </c>
      <c r="D32" s="171"/>
      <c r="E32" s="171">
        <f t="shared" si="4"/>
        <v>0</v>
      </c>
      <c r="F32" s="171">
        <f t="shared" si="5"/>
        <v>51111168</v>
      </c>
      <c r="G32" s="222">
        <f>'Weather Analysis '!L13</f>
        <v>31.7</v>
      </c>
      <c r="H32" s="222">
        <f>+'Weather Analysis '!L33</f>
        <v>41.8</v>
      </c>
      <c r="I32" s="169">
        <v>0</v>
      </c>
      <c r="J32" s="169">
        <v>30</v>
      </c>
      <c r="K32" s="287">
        <v>30</v>
      </c>
      <c r="L32" s="288">
        <v>32310</v>
      </c>
      <c r="M32" s="289">
        <v>132.20314796642501</v>
      </c>
      <c r="N32" s="292">
        <v>352.08</v>
      </c>
      <c r="O32" s="169">
        <v>178.3</v>
      </c>
      <c r="P32" s="291">
        <v>11.3</v>
      </c>
      <c r="Q32" s="287">
        <f t="shared" si="6"/>
        <v>51328638.926658034</v>
      </c>
      <c r="R32" s="291">
        <f t="shared" si="7"/>
        <v>0</v>
      </c>
      <c r="S32" s="287">
        <f t="shared" si="8"/>
        <v>51328638.926658034</v>
      </c>
      <c r="T32" s="50">
        <f t="shared" si="0"/>
        <v>217470.92665803432</v>
      </c>
      <c r="U32" s="103">
        <f t="shared" si="1"/>
        <v>4.2548612205073133E-3</v>
      </c>
      <c r="V32" s="13">
        <f t="shared" si="2"/>
        <v>4.2548612205073133E-3</v>
      </c>
      <c r="W32" s="338"/>
      <c r="X32" s="13"/>
      <c r="Y32" s="392" t="s">
        <v>27</v>
      </c>
      <c r="Z32" s="393">
        <v>0.95878670694866419</v>
      </c>
      <c r="AA32" s="390"/>
      <c r="AB32" s="390"/>
      <c r="AC32" s="390"/>
      <c r="AD32" s="390"/>
      <c r="AE32" s="390"/>
    </row>
    <row r="33" spans="1:50" x14ac:dyDescent="0.25">
      <c r="A33" s="167">
        <f t="shared" si="9"/>
        <v>38564</v>
      </c>
      <c r="B33" s="168">
        <v>53387012</v>
      </c>
      <c r="C33" s="288">
        <v>0</v>
      </c>
      <c r="D33" s="171"/>
      <c r="E33" s="171">
        <f t="shared" si="4"/>
        <v>0</v>
      </c>
      <c r="F33" s="171">
        <f t="shared" si="5"/>
        <v>53387012</v>
      </c>
      <c r="G33" s="222">
        <f>'Weather Analysis '!L14</f>
        <v>34.9</v>
      </c>
      <c r="H33" s="222">
        <f>+'Weather Analysis '!L34</f>
        <v>78.8</v>
      </c>
      <c r="I33" s="169">
        <v>0</v>
      </c>
      <c r="J33" s="169">
        <v>31</v>
      </c>
      <c r="K33" s="287">
        <v>31</v>
      </c>
      <c r="L33" s="288">
        <v>32356</v>
      </c>
      <c r="M33" s="289">
        <v>132.49698629149512</v>
      </c>
      <c r="N33" s="292">
        <v>319.92</v>
      </c>
      <c r="O33" s="169">
        <v>176.6</v>
      </c>
      <c r="P33" s="291">
        <v>11.3</v>
      </c>
      <c r="Q33" s="287">
        <f t="shared" si="6"/>
        <v>56572178.600584179</v>
      </c>
      <c r="R33" s="291">
        <f t="shared" si="7"/>
        <v>0</v>
      </c>
      <c r="S33" s="287">
        <f t="shared" si="8"/>
        <v>56572178.600584179</v>
      </c>
      <c r="T33" s="50">
        <f t="shared" si="0"/>
        <v>3185166.6005841792</v>
      </c>
      <c r="U33" s="103">
        <f t="shared" si="1"/>
        <v>5.9661825625007429E-2</v>
      </c>
      <c r="V33" s="13">
        <f t="shared" si="2"/>
        <v>5.9661825625007429E-2</v>
      </c>
      <c r="W33" s="338"/>
      <c r="X33" s="13"/>
      <c r="Y33" s="392" t="s">
        <v>28</v>
      </c>
      <c r="Z33" s="394">
        <v>2262185.2810427058</v>
      </c>
      <c r="AA33" s="390"/>
      <c r="AB33" s="390"/>
      <c r="AC33" s="390"/>
      <c r="AD33" s="390"/>
      <c r="AE33" s="390"/>
    </row>
    <row r="34" spans="1:50" ht="13.8" thickBot="1" x14ac:dyDescent="0.3">
      <c r="A34" s="167">
        <f t="shared" si="9"/>
        <v>38595</v>
      </c>
      <c r="B34" s="168">
        <v>52102684</v>
      </c>
      <c r="C34" s="288">
        <v>0</v>
      </c>
      <c r="D34" s="171"/>
      <c r="E34" s="171">
        <f t="shared" si="4"/>
        <v>0</v>
      </c>
      <c r="F34" s="171">
        <f t="shared" si="5"/>
        <v>52102684</v>
      </c>
      <c r="G34" s="222">
        <f>'Weather Analysis '!L15</f>
        <v>23.7</v>
      </c>
      <c r="H34" s="222">
        <f>+'Weather Analysis '!L35</f>
        <v>40.6</v>
      </c>
      <c r="I34" s="169">
        <v>0</v>
      </c>
      <c r="J34" s="169">
        <v>31</v>
      </c>
      <c r="K34" s="287">
        <v>32</v>
      </c>
      <c r="L34" s="288">
        <v>32376</v>
      </c>
      <c r="M34" s="289">
        <v>132.79147770964664</v>
      </c>
      <c r="N34" s="292">
        <v>351.91199999999998</v>
      </c>
      <c r="O34" s="169">
        <v>175.5</v>
      </c>
      <c r="P34" s="291">
        <v>12.8</v>
      </c>
      <c r="Q34" s="287">
        <f t="shared" si="6"/>
        <v>52957627.200541079</v>
      </c>
      <c r="R34" s="291">
        <f t="shared" si="7"/>
        <v>0</v>
      </c>
      <c r="S34" s="287">
        <f t="shared" si="8"/>
        <v>52957627.200541079</v>
      </c>
      <c r="T34" s="50">
        <f t="shared" si="0"/>
        <v>854943.20054107904</v>
      </c>
      <c r="U34" s="103">
        <f t="shared" si="1"/>
        <v>1.6408813038135982E-2</v>
      </c>
      <c r="V34" s="13">
        <f t="shared" si="2"/>
        <v>1.6408813038135982E-2</v>
      </c>
      <c r="W34" s="338"/>
      <c r="X34" s="13"/>
      <c r="Y34" s="395" t="s">
        <v>29</v>
      </c>
      <c r="Z34" s="395">
        <v>180</v>
      </c>
      <c r="AA34" s="390"/>
      <c r="AB34" s="390"/>
      <c r="AC34" s="390"/>
      <c r="AD34" s="390"/>
      <c r="AE34" s="390"/>
    </row>
    <row r="35" spans="1:50" x14ac:dyDescent="0.25">
      <c r="A35" s="167">
        <f t="shared" si="9"/>
        <v>38625</v>
      </c>
      <c r="B35" s="168">
        <v>49504120</v>
      </c>
      <c r="C35" s="288">
        <v>0</v>
      </c>
      <c r="D35" s="171"/>
      <c r="E35" s="171">
        <f t="shared" si="4"/>
        <v>0</v>
      </c>
      <c r="F35" s="171">
        <f t="shared" si="5"/>
        <v>49504120</v>
      </c>
      <c r="G35" s="222">
        <f>'Weather Analysis '!L16</f>
        <v>82.6</v>
      </c>
      <c r="H35" s="222">
        <f>+'Weather Analysis '!L36</f>
        <v>22.3</v>
      </c>
      <c r="I35" s="169">
        <v>1</v>
      </c>
      <c r="J35" s="169">
        <v>30</v>
      </c>
      <c r="K35" s="287">
        <v>33</v>
      </c>
      <c r="L35" s="288">
        <v>32360</v>
      </c>
      <c r="M35" s="289">
        <v>133.08662367246211</v>
      </c>
      <c r="N35" s="292">
        <v>336.24</v>
      </c>
      <c r="O35" s="169">
        <v>174.1</v>
      </c>
      <c r="P35" s="291">
        <v>11.7</v>
      </c>
      <c r="Q35" s="287">
        <f t="shared" si="6"/>
        <v>48876668.702160984</v>
      </c>
      <c r="R35" s="291">
        <f t="shared" si="7"/>
        <v>0</v>
      </c>
      <c r="S35" s="287">
        <f t="shared" si="8"/>
        <v>48876668.702160984</v>
      </c>
      <c r="T35" s="50">
        <f t="shared" ref="T35:T66" si="10">S35-B35</f>
        <v>-627451.29783901572</v>
      </c>
      <c r="U35" s="103">
        <f t="shared" ref="U35:U66" si="11">T35/B35</f>
        <v>-1.2674728847599265E-2</v>
      </c>
      <c r="V35" s="13">
        <f t="shared" si="2"/>
        <v>1.2674728847599265E-2</v>
      </c>
      <c r="W35" s="338"/>
      <c r="X35" s="13"/>
      <c r="Y35" s="390"/>
      <c r="Z35" s="390"/>
      <c r="AA35" s="390"/>
      <c r="AB35" s="390"/>
      <c r="AC35" s="390"/>
      <c r="AD35" s="390"/>
      <c r="AE35" s="390"/>
    </row>
    <row r="36" spans="1:50" ht="13.8" thickBot="1" x14ac:dyDescent="0.3">
      <c r="A36" s="167">
        <f t="shared" si="9"/>
        <v>38656</v>
      </c>
      <c r="B36" s="168">
        <v>55381484</v>
      </c>
      <c r="C36" s="288">
        <v>0</v>
      </c>
      <c r="D36" s="171"/>
      <c r="E36" s="171">
        <f t="shared" si="4"/>
        <v>0</v>
      </c>
      <c r="F36" s="171">
        <f t="shared" si="5"/>
        <v>55381484</v>
      </c>
      <c r="G36" s="222">
        <f>'Weather Analysis '!L17</f>
        <v>273.60000000000002</v>
      </c>
      <c r="H36" s="222">
        <f>+'Weather Analysis '!L37</f>
        <v>9.6</v>
      </c>
      <c r="I36" s="169">
        <v>1</v>
      </c>
      <c r="J36" s="169">
        <v>31</v>
      </c>
      <c r="K36" s="287">
        <v>34</v>
      </c>
      <c r="L36" s="288">
        <v>32400</v>
      </c>
      <c r="M36" s="289">
        <v>133.38242563475035</v>
      </c>
      <c r="N36" s="292">
        <v>319.92</v>
      </c>
      <c r="O36" s="169">
        <v>173.7</v>
      </c>
      <c r="P36" s="291">
        <v>11.2</v>
      </c>
      <c r="Q36" s="287">
        <f t="shared" si="6"/>
        <v>57209462.294142365</v>
      </c>
      <c r="R36" s="291">
        <f t="shared" si="7"/>
        <v>0</v>
      </c>
      <c r="S36" s="287">
        <f t="shared" ref="S36:S67" si="12">+$Z$43+G36*$Z$44+H36*$Z$45+I36*$Z$46+J36*$Z$47+K36*$Z$48+ L36*$Z$49</f>
        <v>57209462.294142365</v>
      </c>
      <c r="T36" s="50">
        <f t="shared" si="10"/>
        <v>1827978.2941423655</v>
      </c>
      <c r="U36" s="103">
        <f t="shared" si="11"/>
        <v>3.3007029825028983E-2</v>
      </c>
      <c r="V36" s="13">
        <f t="shared" si="2"/>
        <v>3.3007029825028983E-2</v>
      </c>
      <c r="W36" s="338"/>
      <c r="X36" s="13"/>
      <c r="Y36" s="390" t="s">
        <v>30</v>
      </c>
      <c r="Z36" s="390"/>
      <c r="AA36" s="390"/>
      <c r="AB36" s="390"/>
      <c r="AC36" s="390"/>
      <c r="AD36" s="390"/>
      <c r="AE36" s="390"/>
    </row>
    <row r="37" spans="1:50" x14ac:dyDescent="0.25">
      <c r="A37" s="167">
        <f t="shared" si="9"/>
        <v>38686</v>
      </c>
      <c r="B37" s="168">
        <v>65851664</v>
      </c>
      <c r="C37" s="288">
        <v>0</v>
      </c>
      <c r="D37" s="171"/>
      <c r="E37" s="171">
        <f t="shared" si="4"/>
        <v>0</v>
      </c>
      <c r="F37" s="171">
        <f t="shared" si="5"/>
        <v>65851664</v>
      </c>
      <c r="G37" s="222">
        <f>'Weather Analysis '!L18</f>
        <v>497.6</v>
      </c>
      <c r="H37" s="222">
        <f>+'Weather Analysis '!L38</f>
        <v>0</v>
      </c>
      <c r="I37" s="169">
        <v>1</v>
      </c>
      <c r="J37" s="169">
        <v>30</v>
      </c>
      <c r="K37" s="287">
        <v>35</v>
      </c>
      <c r="L37" s="288">
        <v>32410</v>
      </c>
      <c r="M37" s="289">
        <v>133.67888505455369</v>
      </c>
      <c r="N37" s="292">
        <v>352.08</v>
      </c>
      <c r="O37" s="169">
        <v>173.7</v>
      </c>
      <c r="P37" s="291">
        <v>10.6</v>
      </c>
      <c r="Q37" s="287">
        <f t="shared" si="6"/>
        <v>63349960.22775057</v>
      </c>
      <c r="R37" s="291">
        <f t="shared" si="7"/>
        <v>0</v>
      </c>
      <c r="S37" s="287">
        <f t="shared" si="12"/>
        <v>63349960.22775057</v>
      </c>
      <c r="T37" s="50">
        <f t="shared" si="10"/>
        <v>-2501703.7722494304</v>
      </c>
      <c r="U37" s="103">
        <f t="shared" si="11"/>
        <v>-3.7989985678257579E-2</v>
      </c>
      <c r="V37" s="13">
        <f t="shared" si="2"/>
        <v>3.7989985678257579E-2</v>
      </c>
      <c r="W37" s="338"/>
      <c r="X37" s="13"/>
      <c r="Y37" s="396"/>
      <c r="Z37" s="396" t="s">
        <v>34</v>
      </c>
      <c r="AA37" s="396" t="s">
        <v>35</v>
      </c>
      <c r="AB37" s="396" t="s">
        <v>36</v>
      </c>
      <c r="AC37" s="396" t="s">
        <v>37</v>
      </c>
      <c r="AD37" s="396" t="s">
        <v>38</v>
      </c>
      <c r="AE37" s="390"/>
    </row>
    <row r="38" spans="1:50" x14ac:dyDescent="0.25">
      <c r="A38" s="167">
        <f t="shared" si="9"/>
        <v>38717</v>
      </c>
      <c r="B38" s="168">
        <v>79230244</v>
      </c>
      <c r="C38" s="288">
        <v>0</v>
      </c>
      <c r="D38" s="171"/>
      <c r="E38" s="171">
        <f t="shared" si="4"/>
        <v>0</v>
      </c>
      <c r="F38" s="171">
        <f t="shared" si="5"/>
        <v>79230244</v>
      </c>
      <c r="G38" s="222">
        <f>'Weather Analysis '!L19</f>
        <v>738.6</v>
      </c>
      <c r="H38" s="222">
        <f>+'Weather Analysis '!L39</f>
        <v>0</v>
      </c>
      <c r="I38" s="169">
        <v>0</v>
      </c>
      <c r="J38" s="169">
        <v>31</v>
      </c>
      <c r="K38" s="287">
        <v>36</v>
      </c>
      <c r="L38" s="288">
        <v>32415</v>
      </c>
      <c r="M38" s="289">
        <v>133.97600339315525</v>
      </c>
      <c r="N38" s="292">
        <v>319.92</v>
      </c>
      <c r="O38" s="169">
        <v>174.6</v>
      </c>
      <c r="P38" s="291">
        <v>11.3</v>
      </c>
      <c r="Q38" s="287">
        <f t="shared" si="6"/>
        <v>77372888.808776125</v>
      </c>
      <c r="R38" s="291">
        <f t="shared" si="7"/>
        <v>0</v>
      </c>
      <c r="S38" s="287">
        <f t="shared" si="12"/>
        <v>77372888.808776125</v>
      </c>
      <c r="T38" s="50">
        <f t="shared" si="10"/>
        <v>-1857355.1912238747</v>
      </c>
      <c r="U38" s="103">
        <f t="shared" si="11"/>
        <v>-2.3442502477007073E-2</v>
      </c>
      <c r="V38" s="13">
        <f t="shared" si="2"/>
        <v>2.3442502477007073E-2</v>
      </c>
      <c r="W38" s="338"/>
      <c r="X38" s="13"/>
      <c r="Y38" s="392" t="s">
        <v>31</v>
      </c>
      <c r="Z38" s="392">
        <v>6</v>
      </c>
      <c r="AA38" s="392">
        <v>2.13412256520874E+16</v>
      </c>
      <c r="AB38" s="392">
        <v>3556870942014566.5</v>
      </c>
      <c r="AC38" s="392">
        <v>695.04314254479232</v>
      </c>
      <c r="AD38" s="392">
        <v>2.9713677502238217E-118</v>
      </c>
      <c r="AE38" s="390"/>
    </row>
    <row r="39" spans="1:50" x14ac:dyDescent="0.25">
      <c r="A39" s="167">
        <f>EOMONTH(A38,1)</f>
        <v>38748</v>
      </c>
      <c r="B39" s="170">
        <v>76234176</v>
      </c>
      <c r="C39" s="288">
        <f>'CDM Activity'!H21</f>
        <v>20147.711936101357</v>
      </c>
      <c r="D39" s="402">
        <f>'Rate Class Energy Model'!F15</f>
        <v>1.0443992487285263</v>
      </c>
      <c r="E39" s="171">
        <f t="shared" si="4"/>
        <v>21042.255209663021</v>
      </c>
      <c r="F39" s="171">
        <f t="shared" si="5"/>
        <v>76255218.255209669</v>
      </c>
      <c r="G39" s="222">
        <f>'Weather Analysis '!M8</f>
        <v>689.8</v>
      </c>
      <c r="H39" s="222">
        <f>+'Weather Analysis '!M28</f>
        <v>0</v>
      </c>
      <c r="I39" s="169">
        <v>0</v>
      </c>
      <c r="J39" s="169">
        <v>31</v>
      </c>
      <c r="K39" s="287">
        <v>37</v>
      </c>
      <c r="L39" s="288">
        <v>32395</v>
      </c>
      <c r="M39" s="289">
        <v>134.25197202423305</v>
      </c>
      <c r="N39" s="292">
        <v>336.28800000000001</v>
      </c>
      <c r="O39" s="169">
        <v>174.1</v>
      </c>
      <c r="P39" s="291">
        <v>12.5</v>
      </c>
      <c r="Q39" s="287">
        <f t="shared" si="6"/>
        <v>75272339.855911329</v>
      </c>
      <c r="R39" s="291">
        <f t="shared" si="7"/>
        <v>21042.255209663021</v>
      </c>
      <c r="S39" s="287">
        <f t="shared" si="12"/>
        <v>75272339.855911329</v>
      </c>
      <c r="T39" s="50">
        <f t="shared" si="10"/>
        <v>-961836.14408867061</v>
      </c>
      <c r="U39" s="103">
        <f t="shared" si="11"/>
        <v>-1.2616862863299928E-2</v>
      </c>
      <c r="V39" s="13">
        <f t="shared" si="2"/>
        <v>1.2616862863299928E-2</v>
      </c>
      <c r="W39" s="338"/>
      <c r="X39" s="13"/>
      <c r="Y39" s="392" t="s">
        <v>32</v>
      </c>
      <c r="Z39" s="392">
        <v>173</v>
      </c>
      <c r="AA39" s="392">
        <v>885324428517564</v>
      </c>
      <c r="AB39" s="392">
        <v>5117482245766.2656</v>
      </c>
      <c r="AC39" s="392"/>
      <c r="AD39" s="392"/>
      <c r="AE39" s="390"/>
    </row>
    <row r="40" spans="1:50" ht="13.8" thickBot="1" x14ac:dyDescent="0.3">
      <c r="A40" s="167">
        <f t="shared" si="9"/>
        <v>38776</v>
      </c>
      <c r="B40" s="170">
        <v>71202696</v>
      </c>
      <c r="C40" s="288">
        <f>'CDM Activity'!H22</f>
        <v>40295.423872202715</v>
      </c>
      <c r="D40" s="402">
        <f>D39</f>
        <v>1.0443992487285263</v>
      </c>
      <c r="E40" s="171">
        <f t="shared" si="4"/>
        <v>42084.510419326041</v>
      </c>
      <c r="F40" s="171">
        <f t="shared" si="5"/>
        <v>71244780.510419324</v>
      </c>
      <c r="G40" s="222">
        <f>'Weather Analysis '!M9</f>
        <v>734.6</v>
      </c>
      <c r="H40" s="222">
        <f>+'Weather Analysis '!M29</f>
        <v>0</v>
      </c>
      <c r="I40" s="169">
        <v>0</v>
      </c>
      <c r="J40" s="169">
        <v>28</v>
      </c>
      <c r="K40" s="287">
        <v>38</v>
      </c>
      <c r="L40" s="288">
        <v>32399</v>
      </c>
      <c r="M40" s="289">
        <v>134.52850910550649</v>
      </c>
      <c r="N40" s="292">
        <v>319.87200000000001</v>
      </c>
      <c r="O40" s="169">
        <v>172.9</v>
      </c>
      <c r="P40" s="291">
        <v>12.6</v>
      </c>
      <c r="Q40" s="287">
        <f t="shared" si="6"/>
        <v>71638966.293226808</v>
      </c>
      <c r="R40" s="291">
        <f t="shared" si="7"/>
        <v>42084.510419326041</v>
      </c>
      <c r="S40" s="287">
        <f t="shared" si="12"/>
        <v>71638966.293226808</v>
      </c>
      <c r="T40" s="50">
        <f t="shared" si="10"/>
        <v>436270.29322680831</v>
      </c>
      <c r="U40" s="103">
        <f t="shared" si="11"/>
        <v>6.1271597528667777E-3</v>
      </c>
      <c r="V40" s="13">
        <f t="shared" si="2"/>
        <v>6.1271597528667777E-3</v>
      </c>
      <c r="W40" s="338"/>
      <c r="X40" s="13"/>
      <c r="Y40" s="395" t="s">
        <v>12</v>
      </c>
      <c r="Z40" s="395">
        <v>179</v>
      </c>
      <c r="AA40" s="395">
        <v>2.2226550080604964E+16</v>
      </c>
      <c r="AB40" s="395"/>
      <c r="AC40" s="395"/>
      <c r="AD40" s="395"/>
      <c r="AE40" s="390"/>
    </row>
    <row r="41" spans="1:50" ht="13.8" thickBot="1" x14ac:dyDescent="0.3">
      <c r="A41" s="167">
        <f t="shared" si="9"/>
        <v>38807</v>
      </c>
      <c r="B41" s="170">
        <v>70367240</v>
      </c>
      <c r="C41" s="288">
        <f>'CDM Activity'!H23</f>
        <v>60443.135808304069</v>
      </c>
      <c r="D41" s="402">
        <f t="shared" ref="D41:D74" si="13">D40</f>
        <v>1.0443992487285263</v>
      </c>
      <c r="E41" s="171">
        <f t="shared" si="4"/>
        <v>63126.765628989058</v>
      </c>
      <c r="F41" s="171">
        <f t="shared" si="5"/>
        <v>70430366.765628994</v>
      </c>
      <c r="G41" s="222">
        <f>'Weather Analysis '!M10</f>
        <v>635.4</v>
      </c>
      <c r="H41" s="222">
        <f>+'Weather Analysis '!M30</f>
        <v>0</v>
      </c>
      <c r="I41" s="169">
        <v>1</v>
      </c>
      <c r="J41" s="169">
        <v>31</v>
      </c>
      <c r="K41" s="287">
        <v>39</v>
      </c>
      <c r="L41" s="288">
        <v>32453</v>
      </c>
      <c r="M41" s="289">
        <v>134.80561580788986</v>
      </c>
      <c r="N41" s="292">
        <v>368.28</v>
      </c>
      <c r="O41" s="169">
        <v>172.6</v>
      </c>
      <c r="P41" s="291">
        <v>13.1</v>
      </c>
      <c r="Q41" s="287">
        <f t="shared" si="6"/>
        <v>70482035.263509512</v>
      </c>
      <c r="R41" s="291">
        <f t="shared" si="7"/>
        <v>63126.765628989058</v>
      </c>
      <c r="S41" s="287">
        <f t="shared" si="12"/>
        <v>70482035.263509512</v>
      </c>
      <c r="T41" s="50">
        <f t="shared" si="10"/>
        <v>114795.26350951195</v>
      </c>
      <c r="U41" s="103">
        <f t="shared" si="11"/>
        <v>1.631373683400286E-3</v>
      </c>
      <c r="V41" s="13">
        <f t="shared" si="2"/>
        <v>1.631373683400286E-3</v>
      </c>
      <c r="W41" s="338"/>
      <c r="X41" s="13"/>
      <c r="Y41" s="390"/>
      <c r="Z41" s="390"/>
      <c r="AA41" s="390"/>
      <c r="AB41" s="390"/>
      <c r="AC41" s="390"/>
      <c r="AD41" s="390"/>
      <c r="AE41" s="390"/>
    </row>
    <row r="42" spans="1:50" x14ac:dyDescent="0.25">
      <c r="A42" s="167">
        <f t="shared" si="9"/>
        <v>38837</v>
      </c>
      <c r="B42" s="170">
        <v>56652640</v>
      </c>
      <c r="C42" s="288">
        <f>'CDM Activity'!H24</f>
        <v>80590.84774440543</v>
      </c>
      <c r="D42" s="402">
        <f t="shared" si="13"/>
        <v>1.0443992487285263</v>
      </c>
      <c r="E42" s="171">
        <f t="shared" si="4"/>
        <v>84169.020838652083</v>
      </c>
      <c r="F42" s="171">
        <f t="shared" si="5"/>
        <v>56736809.020838656</v>
      </c>
      <c r="G42" s="222">
        <f>'Weather Analysis '!M11</f>
        <v>360</v>
      </c>
      <c r="H42" s="222">
        <f>+'Weather Analysis '!M31</f>
        <v>0</v>
      </c>
      <c r="I42" s="169">
        <v>1</v>
      </c>
      <c r="J42" s="169">
        <v>30</v>
      </c>
      <c r="K42" s="287">
        <v>40</v>
      </c>
      <c r="L42" s="288">
        <v>32445</v>
      </c>
      <c r="M42" s="289">
        <v>135.08329330470943</v>
      </c>
      <c r="N42" s="292">
        <v>303.83999999999997</v>
      </c>
      <c r="O42" s="169">
        <v>173.6</v>
      </c>
      <c r="P42" s="291">
        <v>11.8</v>
      </c>
      <c r="Q42" s="287">
        <f t="shared" si="6"/>
        <v>57836169.211755425</v>
      </c>
      <c r="R42" s="291">
        <f t="shared" si="7"/>
        <v>84169.020838652083</v>
      </c>
      <c r="S42" s="287">
        <f t="shared" si="12"/>
        <v>57836169.211755425</v>
      </c>
      <c r="T42" s="50">
        <f t="shared" si="10"/>
        <v>1183529.2117554247</v>
      </c>
      <c r="U42" s="103">
        <f t="shared" si="11"/>
        <v>2.0890980751389957E-2</v>
      </c>
      <c r="V42" s="13">
        <f t="shared" si="2"/>
        <v>2.0890980751389957E-2</v>
      </c>
      <c r="W42" s="338"/>
      <c r="X42" s="13"/>
      <c r="Y42" s="396"/>
      <c r="Z42" s="396" t="s">
        <v>39</v>
      </c>
      <c r="AA42" s="396" t="s">
        <v>28</v>
      </c>
      <c r="AB42" s="396" t="s">
        <v>40</v>
      </c>
      <c r="AC42" s="396" t="s">
        <v>41</v>
      </c>
      <c r="AD42" s="396" t="s">
        <v>42</v>
      </c>
      <c r="AE42" s="396" t="s">
        <v>43</v>
      </c>
    </row>
    <row r="43" spans="1:50" x14ac:dyDescent="0.25">
      <c r="A43" s="167">
        <f t="shared" si="9"/>
        <v>38868</v>
      </c>
      <c r="B43" s="170">
        <v>52446572</v>
      </c>
      <c r="C43" s="288">
        <f>'CDM Activity'!H25</f>
        <v>100738.55968050679</v>
      </c>
      <c r="D43" s="402">
        <f t="shared" si="13"/>
        <v>1.0443992487285263</v>
      </c>
      <c r="E43" s="171">
        <f t="shared" si="4"/>
        <v>105211.27604831511</v>
      </c>
      <c r="F43" s="171">
        <f t="shared" si="5"/>
        <v>52551783.276048318</v>
      </c>
      <c r="G43" s="222">
        <f>'Weather Analysis '!M12</f>
        <v>185.1</v>
      </c>
      <c r="H43" s="222">
        <f>+'Weather Analysis '!M32</f>
        <v>8.4</v>
      </c>
      <c r="I43" s="169">
        <v>1</v>
      </c>
      <c r="J43" s="169">
        <v>31</v>
      </c>
      <c r="K43" s="287">
        <v>41</v>
      </c>
      <c r="L43" s="288">
        <v>32425</v>
      </c>
      <c r="M43" s="289">
        <v>135.36154277170829</v>
      </c>
      <c r="N43" s="292">
        <v>351.91199999999998</v>
      </c>
      <c r="O43" s="169">
        <v>175.7</v>
      </c>
      <c r="P43" s="291">
        <v>11.5</v>
      </c>
      <c r="Q43" s="287">
        <f t="shared" si="6"/>
        <v>53303334.224313617</v>
      </c>
      <c r="R43" s="291">
        <f t="shared" si="7"/>
        <v>105211.27604831511</v>
      </c>
      <c r="S43" s="287">
        <f t="shared" si="12"/>
        <v>53303334.224313617</v>
      </c>
      <c r="T43" s="50">
        <f t="shared" si="10"/>
        <v>856762.22431361675</v>
      </c>
      <c r="U43" s="103">
        <f t="shared" si="11"/>
        <v>1.6335905124811909E-2</v>
      </c>
      <c r="V43" s="13">
        <f t="shared" si="2"/>
        <v>1.6335905124811909E-2</v>
      </c>
      <c r="W43" s="338"/>
      <c r="X43" s="13"/>
      <c r="Y43" s="392" t="s">
        <v>33</v>
      </c>
      <c r="Z43" s="394">
        <v>-205002824.78360298</v>
      </c>
      <c r="AA43" s="394">
        <v>53408516.846013322</v>
      </c>
      <c r="AB43" s="394">
        <v>-3.8383920185363736</v>
      </c>
      <c r="AC43" s="394">
        <v>1.7344998214997899E-4</v>
      </c>
      <c r="AD43" s="394">
        <v>-310419024.47993857</v>
      </c>
      <c r="AE43" s="394">
        <v>-99586625.087267414</v>
      </c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</row>
    <row r="44" spans="1:50" x14ac:dyDescent="0.25">
      <c r="A44" s="167">
        <f t="shared" si="9"/>
        <v>38898</v>
      </c>
      <c r="B44" s="170">
        <v>49917449</v>
      </c>
      <c r="C44" s="288">
        <f>'CDM Activity'!H26</f>
        <v>120886.27161660815</v>
      </c>
      <c r="D44" s="402">
        <f t="shared" si="13"/>
        <v>1.0443992487285263</v>
      </c>
      <c r="E44" s="171">
        <f t="shared" si="4"/>
        <v>126253.53125797813</v>
      </c>
      <c r="F44" s="171">
        <f t="shared" si="5"/>
        <v>50043702.53125798</v>
      </c>
      <c r="G44" s="222">
        <f>'Weather Analysis '!M13</f>
        <v>81.2</v>
      </c>
      <c r="H44" s="222">
        <f>+'Weather Analysis '!M33</f>
        <v>12.9</v>
      </c>
      <c r="I44" s="169">
        <v>0</v>
      </c>
      <c r="J44" s="169">
        <v>30</v>
      </c>
      <c r="K44" s="287">
        <v>42</v>
      </c>
      <c r="L44" s="288">
        <v>32422</v>
      </c>
      <c r="M44" s="289">
        <v>135.64036538705133</v>
      </c>
      <c r="N44" s="292">
        <v>352.08</v>
      </c>
      <c r="O44" s="169">
        <v>178.6</v>
      </c>
      <c r="P44" s="291">
        <v>11.2</v>
      </c>
      <c r="Q44" s="287">
        <f t="shared" si="6"/>
        <v>50643357.373632401</v>
      </c>
      <c r="R44" s="291">
        <f t="shared" si="7"/>
        <v>126253.53125797813</v>
      </c>
      <c r="S44" s="287">
        <f t="shared" si="12"/>
        <v>50643357.373632401</v>
      </c>
      <c r="T44" s="50">
        <f t="shared" si="10"/>
        <v>725908.37363240123</v>
      </c>
      <c r="U44" s="103">
        <f t="shared" si="11"/>
        <v>1.4542176897549417E-2</v>
      </c>
      <c r="V44" s="13">
        <f t="shared" si="2"/>
        <v>1.4542176897549417E-2</v>
      </c>
      <c r="W44" s="338"/>
      <c r="X44" s="13"/>
      <c r="Y44" s="392" t="s">
        <v>4</v>
      </c>
      <c r="Z44" s="394">
        <v>39019.334174548218</v>
      </c>
      <c r="AA44" s="394">
        <v>792.98327939107196</v>
      </c>
      <c r="AB44" s="394">
        <v>49.20574643706356</v>
      </c>
      <c r="AC44" s="394">
        <v>1.1931864478101449E-103</v>
      </c>
      <c r="AD44" s="394">
        <v>37454.166507055052</v>
      </c>
      <c r="AE44" s="394">
        <v>40584.501842041383</v>
      </c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</row>
    <row r="45" spans="1:50" x14ac:dyDescent="0.25">
      <c r="A45" s="167">
        <f t="shared" si="9"/>
        <v>38929</v>
      </c>
      <c r="B45" s="170">
        <v>53606640</v>
      </c>
      <c r="C45" s="288">
        <f>'CDM Activity'!H27</f>
        <v>141033.98355270951</v>
      </c>
      <c r="D45" s="402">
        <f t="shared" si="13"/>
        <v>1.0443992487285263</v>
      </c>
      <c r="E45" s="171">
        <f t="shared" si="4"/>
        <v>147295.78646764116</v>
      </c>
      <c r="F45" s="171">
        <f t="shared" si="5"/>
        <v>53753935.786467642</v>
      </c>
      <c r="G45" s="222">
        <f>'Weather Analysis '!M14</f>
        <v>8.4</v>
      </c>
      <c r="H45" s="222">
        <f>+'Weather Analysis '!M34</f>
        <v>78.2</v>
      </c>
      <c r="I45" s="169">
        <v>0</v>
      </c>
      <c r="J45" s="169">
        <v>31</v>
      </c>
      <c r="K45" s="287">
        <v>43</v>
      </c>
      <c r="L45" s="288">
        <v>32399</v>
      </c>
      <c r="M45" s="289">
        <v>135.9197623313303</v>
      </c>
      <c r="N45" s="292">
        <v>319.92</v>
      </c>
      <c r="O45" s="169">
        <v>180.2</v>
      </c>
      <c r="P45" s="291">
        <v>12.6</v>
      </c>
      <c r="Q45" s="287">
        <f t="shared" si="6"/>
        <v>54885801.957797438</v>
      </c>
      <c r="R45" s="291">
        <f t="shared" si="7"/>
        <v>147295.78646764116</v>
      </c>
      <c r="S45" s="287">
        <f t="shared" si="12"/>
        <v>54885801.957797438</v>
      </c>
      <c r="T45" s="50">
        <f t="shared" si="10"/>
        <v>1279161.9577974379</v>
      </c>
      <c r="U45" s="103">
        <f t="shared" si="11"/>
        <v>2.386200585967406E-2</v>
      </c>
      <c r="V45" s="13">
        <f t="shared" si="2"/>
        <v>2.386200585967406E-2</v>
      </c>
      <c r="W45" s="338"/>
      <c r="X45" s="13"/>
      <c r="Y45" s="392" t="s">
        <v>5</v>
      </c>
      <c r="Z45" s="394">
        <v>84534.484065417681</v>
      </c>
      <c r="AA45" s="394">
        <v>14731.730653024801</v>
      </c>
      <c r="AB45" s="394">
        <v>5.7382588683197646</v>
      </c>
      <c r="AC45" s="394">
        <v>4.1961677930249377E-8</v>
      </c>
      <c r="AD45" s="394">
        <v>55457.416359730007</v>
      </c>
      <c r="AE45" s="394">
        <v>113611.55177110535</v>
      </c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</row>
    <row r="46" spans="1:50" x14ac:dyDescent="0.25">
      <c r="A46" s="167">
        <f t="shared" si="9"/>
        <v>38960</v>
      </c>
      <c r="B46" s="170">
        <v>51038392</v>
      </c>
      <c r="C46" s="288">
        <f>'CDM Activity'!H28</f>
        <v>161181.69548881086</v>
      </c>
      <c r="D46" s="402">
        <f t="shared" si="13"/>
        <v>1.0443992487285263</v>
      </c>
      <c r="E46" s="171">
        <f t="shared" si="4"/>
        <v>168338.04167730417</v>
      </c>
      <c r="F46" s="171">
        <f t="shared" si="5"/>
        <v>51206730.041677304</v>
      </c>
      <c r="G46" s="222">
        <f>'Weather Analysis '!M15</f>
        <v>35</v>
      </c>
      <c r="H46" s="222">
        <f>+'Weather Analysis '!M35</f>
        <v>20.100000000000001</v>
      </c>
      <c r="I46" s="169">
        <v>0</v>
      </c>
      <c r="J46" s="169">
        <v>31</v>
      </c>
      <c r="K46" s="287">
        <v>44</v>
      </c>
      <c r="L46" s="288">
        <v>32410</v>
      </c>
      <c r="M46" s="289">
        <v>136.19973478756879</v>
      </c>
      <c r="N46" s="292">
        <v>351.91199999999998</v>
      </c>
      <c r="O46" s="169">
        <v>180.4</v>
      </c>
      <c r="P46" s="291">
        <v>12.9</v>
      </c>
      <c r="Q46" s="287">
        <f t="shared" si="6"/>
        <v>51008125.383839935</v>
      </c>
      <c r="R46" s="291">
        <f t="shared" si="7"/>
        <v>168338.04167730417</v>
      </c>
      <c r="S46" s="287">
        <f t="shared" si="12"/>
        <v>51008125.383839935</v>
      </c>
      <c r="T46" s="50">
        <f t="shared" si="10"/>
        <v>-30266.616160064936</v>
      </c>
      <c r="U46" s="103">
        <f t="shared" si="11"/>
        <v>-5.930166483314156E-4</v>
      </c>
      <c r="V46" s="13">
        <f t="shared" si="2"/>
        <v>5.930166483314156E-4</v>
      </c>
      <c r="W46" s="338"/>
      <c r="X46" s="13"/>
      <c r="Y46" s="392" t="s">
        <v>22</v>
      </c>
      <c r="Z46" s="394">
        <v>-2882657.2269487963</v>
      </c>
      <c r="AA46" s="394">
        <v>389102.46959981299</v>
      </c>
      <c r="AB46" s="394">
        <v>-7.4084783628168003</v>
      </c>
      <c r="AC46" s="394">
        <v>5.4001097014281127E-12</v>
      </c>
      <c r="AD46" s="394">
        <v>-3650656.5285570566</v>
      </c>
      <c r="AE46" s="394">
        <v>-2114657.9253405361</v>
      </c>
      <c r="AH46" s="117"/>
      <c r="AI46" s="117"/>
      <c r="AJ46" s="117"/>
      <c r="AK46" s="117"/>
      <c r="AL46" s="117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</row>
    <row r="47" spans="1:50" x14ac:dyDescent="0.25">
      <c r="A47" s="167">
        <f t="shared" si="9"/>
        <v>38990</v>
      </c>
      <c r="B47" s="170">
        <v>49455772</v>
      </c>
      <c r="C47" s="288">
        <f>'CDM Activity'!H29</f>
        <v>181329.40742491221</v>
      </c>
      <c r="D47" s="402">
        <f t="shared" si="13"/>
        <v>1.0443992487285263</v>
      </c>
      <c r="E47" s="171">
        <f t="shared" si="4"/>
        <v>189380.29688696717</v>
      </c>
      <c r="F47" s="171">
        <f t="shared" si="5"/>
        <v>49645152.296886966</v>
      </c>
      <c r="G47" s="222">
        <f>'Weather Analysis '!M16</f>
        <v>151.9</v>
      </c>
      <c r="H47" s="222">
        <f>+'Weather Analysis '!M36</f>
        <v>5.2</v>
      </c>
      <c r="I47" s="169">
        <v>1</v>
      </c>
      <c r="J47" s="169">
        <v>30</v>
      </c>
      <c r="K47" s="287">
        <v>45</v>
      </c>
      <c r="L47" s="288">
        <v>32415</v>
      </c>
      <c r="M47" s="289">
        <v>136.48028394122719</v>
      </c>
      <c r="N47" s="292">
        <v>319.68</v>
      </c>
      <c r="O47" s="169">
        <v>176.2</v>
      </c>
      <c r="P47" s="291">
        <v>13.7</v>
      </c>
      <c r="Q47" s="287">
        <f t="shared" si="6"/>
        <v>49607951.649963766</v>
      </c>
      <c r="R47" s="291">
        <f t="shared" si="7"/>
        <v>189380.29688696717</v>
      </c>
      <c r="S47" s="287">
        <f t="shared" si="12"/>
        <v>49607951.649963766</v>
      </c>
      <c r="T47" s="50">
        <f t="shared" si="10"/>
        <v>152179.64996376634</v>
      </c>
      <c r="U47" s="103">
        <f t="shared" si="11"/>
        <v>3.0770857234574426E-3</v>
      </c>
      <c r="V47" s="13">
        <f t="shared" si="2"/>
        <v>3.0770857234574426E-3</v>
      </c>
      <c r="W47" s="338"/>
      <c r="X47" s="13"/>
      <c r="Y47" s="392" t="s">
        <v>6</v>
      </c>
      <c r="Z47" s="394">
        <v>1777962.3386840052</v>
      </c>
      <c r="AA47" s="394">
        <v>215143.60194962117</v>
      </c>
      <c r="AB47" s="394">
        <v>8.2640725662868633</v>
      </c>
      <c r="AC47" s="394">
        <v>3.5552274440327123E-14</v>
      </c>
      <c r="AD47" s="394">
        <v>1353318.063841104</v>
      </c>
      <c r="AE47" s="394">
        <v>2202606.6135269064</v>
      </c>
      <c r="AH47" s="33"/>
      <c r="AI47" s="33"/>
      <c r="AJ47" s="33"/>
      <c r="AK47" s="33"/>
      <c r="AL47" s="33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</row>
    <row r="48" spans="1:50" x14ac:dyDescent="0.25">
      <c r="A48" s="167">
        <f t="shared" si="9"/>
        <v>39021</v>
      </c>
      <c r="B48" s="170">
        <v>58920568</v>
      </c>
      <c r="C48" s="288">
        <f>'CDM Activity'!H30</f>
        <v>201477.11936101355</v>
      </c>
      <c r="D48" s="402">
        <f t="shared" si="13"/>
        <v>1.0443992487285263</v>
      </c>
      <c r="E48" s="171">
        <f t="shared" si="4"/>
        <v>210422.55209663018</v>
      </c>
      <c r="F48" s="171">
        <f t="shared" si="5"/>
        <v>59130990.552096628</v>
      </c>
      <c r="G48" s="222">
        <f>'Weather Analysis '!M17</f>
        <v>375.3</v>
      </c>
      <c r="H48" s="222">
        <f>+'Weather Analysis '!M37</f>
        <v>0</v>
      </c>
      <c r="I48" s="169">
        <v>1</v>
      </c>
      <c r="J48" s="169">
        <v>31</v>
      </c>
      <c r="K48" s="287">
        <v>46</v>
      </c>
      <c r="L48" s="288">
        <v>32423</v>
      </c>
      <c r="M48" s="289">
        <v>136.76141098020776</v>
      </c>
      <c r="N48" s="292">
        <v>336.28800000000001</v>
      </c>
      <c r="O48" s="169">
        <v>174.8</v>
      </c>
      <c r="P48" s="291">
        <v>12.5</v>
      </c>
      <c r="Q48" s="287">
        <f t="shared" si="6"/>
        <v>59640509.99636513</v>
      </c>
      <c r="R48" s="291">
        <f t="shared" si="7"/>
        <v>210422.55209663018</v>
      </c>
      <c r="S48" s="287">
        <f t="shared" si="12"/>
        <v>59640509.99636513</v>
      </c>
      <c r="T48" s="50">
        <f t="shared" si="10"/>
        <v>719941.99636512995</v>
      </c>
      <c r="U48" s="103">
        <f t="shared" si="11"/>
        <v>1.2218857027398819E-2</v>
      </c>
      <c r="V48" s="13">
        <f t="shared" si="2"/>
        <v>1.2218857027398819E-2</v>
      </c>
      <c r="W48" s="338"/>
      <c r="X48" s="13"/>
      <c r="Y48" s="392" t="s">
        <v>325</v>
      </c>
      <c r="Z48" s="394">
        <v>-72361.505568031294</v>
      </c>
      <c r="AA48" s="394">
        <v>15187.741370185611</v>
      </c>
      <c r="AB48" s="394">
        <v>-4.7644678562989613</v>
      </c>
      <c r="AC48" s="394">
        <v>3.9921681185855152E-6</v>
      </c>
      <c r="AD48" s="394">
        <v>-102338.63415656451</v>
      </c>
      <c r="AE48" s="394">
        <v>-42384.376979498084</v>
      </c>
      <c r="AH48" s="102"/>
      <c r="AI48" s="102"/>
      <c r="AJ48" s="102"/>
      <c r="AK48" s="102"/>
      <c r="AL48" s="102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</row>
    <row r="49" spans="1:50" ht="13.8" thickBot="1" x14ac:dyDescent="0.3">
      <c r="A49" s="167">
        <f t="shared" si="9"/>
        <v>39051</v>
      </c>
      <c r="B49" s="170">
        <v>63979576</v>
      </c>
      <c r="C49" s="288">
        <f>'CDM Activity'!H31</f>
        <v>221624.8312971149</v>
      </c>
      <c r="D49" s="402">
        <f t="shared" si="13"/>
        <v>1.0443992487285263</v>
      </c>
      <c r="E49" s="171">
        <f t="shared" si="4"/>
        <v>231464.80730629319</v>
      </c>
      <c r="F49" s="171">
        <f t="shared" si="5"/>
        <v>64211040.80730629</v>
      </c>
      <c r="G49" s="222">
        <f>'Weather Analysis '!M18</f>
        <v>467.9</v>
      </c>
      <c r="H49" s="222">
        <f>+'Weather Analysis '!M38</f>
        <v>0</v>
      </c>
      <c r="I49" s="169">
        <v>1</v>
      </c>
      <c r="J49" s="169">
        <v>30</v>
      </c>
      <c r="K49" s="287">
        <v>47</v>
      </c>
      <c r="L49" s="288">
        <v>32436</v>
      </c>
      <c r="M49" s="289">
        <v>137.04311709485967</v>
      </c>
      <c r="N49" s="292">
        <v>352.08</v>
      </c>
      <c r="O49" s="169">
        <v>173</v>
      </c>
      <c r="P49" s="291">
        <v>12.4</v>
      </c>
      <c r="Q49" s="287">
        <f t="shared" si="6"/>
        <v>61484005.057402492</v>
      </c>
      <c r="R49" s="291">
        <f t="shared" si="7"/>
        <v>231464.80730629319</v>
      </c>
      <c r="S49" s="287">
        <f t="shared" si="12"/>
        <v>61484005.057402492</v>
      </c>
      <c r="T49" s="50">
        <f t="shared" si="10"/>
        <v>-2495570.9425975084</v>
      </c>
      <c r="U49" s="103">
        <f t="shared" si="11"/>
        <v>-3.900574368603988E-2</v>
      </c>
      <c r="V49" s="13">
        <f t="shared" si="2"/>
        <v>3.900574368603988E-2</v>
      </c>
      <c r="W49" s="338"/>
      <c r="X49" s="13"/>
      <c r="Y49" s="395" t="s">
        <v>102</v>
      </c>
      <c r="Z49" s="397">
        <v>6202.1969789388477</v>
      </c>
      <c r="AA49" s="397">
        <v>1655.3725725871955</v>
      </c>
      <c r="AB49" s="397">
        <v>3.7467075881566547</v>
      </c>
      <c r="AC49" s="397">
        <v>2.4388199386463257E-4</v>
      </c>
      <c r="AD49" s="397">
        <v>2934.8700432964788</v>
      </c>
      <c r="AE49" s="397">
        <v>9469.5239145812156</v>
      </c>
      <c r="AH49" s="102"/>
      <c r="AI49" s="102"/>
      <c r="AJ49" s="102"/>
      <c r="AK49" s="102"/>
      <c r="AL49" s="102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</row>
    <row r="50" spans="1:50" x14ac:dyDescent="0.25">
      <c r="A50" s="167">
        <f t="shared" si="9"/>
        <v>39082</v>
      </c>
      <c r="B50" s="170">
        <v>74271612</v>
      </c>
      <c r="C50" s="288">
        <f>'CDM Activity'!H32</f>
        <v>241772.54323321625</v>
      </c>
      <c r="D50" s="402">
        <f t="shared" si="13"/>
        <v>1.0443992487285263</v>
      </c>
      <c r="E50" s="171">
        <f t="shared" si="4"/>
        <v>252507.0625159562</v>
      </c>
      <c r="F50" s="171">
        <f t="shared" si="5"/>
        <v>74524119.062515959</v>
      </c>
      <c r="G50" s="222">
        <f>'Weather Analysis '!M19</f>
        <v>624.29999999999995</v>
      </c>
      <c r="H50" s="222">
        <f>+'Weather Analysis '!M39</f>
        <v>0</v>
      </c>
      <c r="I50" s="169">
        <v>0</v>
      </c>
      <c r="J50" s="169">
        <v>31</v>
      </c>
      <c r="K50" s="287">
        <v>48</v>
      </c>
      <c r="L50" s="288">
        <v>32453</v>
      </c>
      <c r="M50" s="289">
        <v>137.32540347798411</v>
      </c>
      <c r="N50" s="292">
        <v>304.29599999999999</v>
      </c>
      <c r="O50" s="169">
        <v>174.8</v>
      </c>
      <c r="P50" s="291">
        <v>11.3</v>
      </c>
      <c r="Q50" s="287">
        <f t="shared" si="6"/>
        <v>72280324.331008554</v>
      </c>
      <c r="R50" s="291">
        <f t="shared" si="7"/>
        <v>252507.0625159562</v>
      </c>
      <c r="S50" s="287">
        <f t="shared" si="12"/>
        <v>72280324.331008554</v>
      </c>
      <c r="T50" s="50">
        <f t="shared" si="10"/>
        <v>-1991287.6689914465</v>
      </c>
      <c r="U50" s="103">
        <f t="shared" si="11"/>
        <v>-2.6810885281329917E-2</v>
      </c>
      <c r="V50" s="13">
        <f t="shared" si="2"/>
        <v>2.6810885281329917E-2</v>
      </c>
      <c r="W50" s="338"/>
      <c r="X50" s="13"/>
      <c r="AH50" s="102"/>
      <c r="AI50" s="102"/>
      <c r="AJ50" s="102"/>
      <c r="AK50" s="102"/>
      <c r="AL50" s="102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</row>
    <row r="51" spans="1:50" x14ac:dyDescent="0.25">
      <c r="A51" s="167">
        <f>EOMONTH(A50,1)</f>
        <v>39113</v>
      </c>
      <c r="B51" s="170">
        <v>78292016</v>
      </c>
      <c r="C51" s="288">
        <f>'CDM Activity'!H33</f>
        <v>262929.37637663796</v>
      </c>
      <c r="D51" s="402">
        <f>'Rate Class Energy Model'!F16</f>
        <v>1.0517138274108369</v>
      </c>
      <c r="E51" s="171">
        <f t="shared" si="4"/>
        <v>276526.46076781838</v>
      </c>
      <c r="F51" s="171">
        <f t="shared" si="5"/>
        <v>78568542.46076782</v>
      </c>
      <c r="G51" s="222">
        <f>'Weather Analysis '!N8</f>
        <v>776.9</v>
      </c>
      <c r="H51" s="222">
        <f>+'Weather Analysis '!N28</f>
        <v>0</v>
      </c>
      <c r="I51" s="169">
        <v>0</v>
      </c>
      <c r="J51" s="169">
        <v>31</v>
      </c>
      <c r="K51" s="287">
        <v>49</v>
      </c>
      <c r="L51" s="288">
        <v>32399</v>
      </c>
      <c r="M51" s="289">
        <v>137.552207546647</v>
      </c>
      <c r="N51" s="292">
        <v>351.91199999999998</v>
      </c>
      <c r="O51" s="169">
        <v>174.6</v>
      </c>
      <c r="P51" s="291">
        <v>12</v>
      </c>
      <c r="Q51" s="287">
        <f t="shared" si="6"/>
        <v>77827394.583613873</v>
      </c>
      <c r="R51" s="291">
        <f t="shared" si="7"/>
        <v>276526.46076781838</v>
      </c>
      <c r="S51" s="287">
        <f t="shared" si="12"/>
        <v>77827394.583613873</v>
      </c>
      <c r="T51" s="50">
        <f t="shared" si="10"/>
        <v>-464621.41638612747</v>
      </c>
      <c r="U51" s="103">
        <f t="shared" si="11"/>
        <v>-5.9344673968559896E-3</v>
      </c>
      <c r="V51" s="13">
        <f t="shared" si="2"/>
        <v>5.9344673968559896E-3</v>
      </c>
      <c r="W51" s="338"/>
      <c r="X51" s="13"/>
      <c r="AH51" s="102"/>
      <c r="AI51" s="102"/>
      <c r="AJ51" s="102"/>
      <c r="AK51" s="102"/>
      <c r="AL51" s="102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</row>
    <row r="52" spans="1:50" x14ac:dyDescent="0.25">
      <c r="A52" s="167">
        <f t="shared" si="9"/>
        <v>39141</v>
      </c>
      <c r="B52" s="170">
        <v>75583244</v>
      </c>
      <c r="C52" s="288">
        <f>'CDM Activity'!H34</f>
        <v>284086.2095200597</v>
      </c>
      <c r="D52" s="402">
        <f t="shared" si="13"/>
        <v>1.0517138274108369</v>
      </c>
      <c r="E52" s="171">
        <f t="shared" si="4"/>
        <v>298777.39472897892</v>
      </c>
      <c r="F52" s="171">
        <f t="shared" si="5"/>
        <v>75882021.394728974</v>
      </c>
      <c r="G52" s="222">
        <f>'Weather Analysis '!N9</f>
        <v>843.5</v>
      </c>
      <c r="H52" s="222">
        <f>+'Weather Analysis '!N29</f>
        <v>0</v>
      </c>
      <c r="I52" s="169">
        <v>0</v>
      </c>
      <c r="J52" s="169">
        <v>28</v>
      </c>
      <c r="K52" s="287">
        <v>50</v>
      </c>
      <c r="L52" s="288">
        <v>32404</v>
      </c>
      <c r="M52" s="289">
        <v>137.77938620066888</v>
      </c>
      <c r="N52" s="292">
        <v>319.87200000000001</v>
      </c>
      <c r="O52" s="169">
        <v>174.3</v>
      </c>
      <c r="P52" s="291">
        <v>12</v>
      </c>
      <c r="Q52" s="287">
        <f t="shared" si="6"/>
        <v>75050844.702913448</v>
      </c>
      <c r="R52" s="291">
        <f t="shared" si="7"/>
        <v>298777.39472897892</v>
      </c>
      <c r="S52" s="287">
        <f t="shared" si="12"/>
        <v>75050844.702913448</v>
      </c>
      <c r="T52" s="50">
        <f t="shared" si="10"/>
        <v>-532399.29708655179</v>
      </c>
      <c r="U52" s="103">
        <f t="shared" si="11"/>
        <v>-7.043879951574343E-3</v>
      </c>
      <c r="V52" s="13">
        <f t="shared" si="2"/>
        <v>7.043879951574343E-3</v>
      </c>
      <c r="W52" s="338"/>
      <c r="X52" s="13"/>
      <c r="Y52" t="s">
        <v>326</v>
      </c>
      <c r="AK52" s="102"/>
      <c r="AL52" s="102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</row>
    <row r="53" spans="1:50" ht="13.8" thickBot="1" x14ac:dyDescent="0.3">
      <c r="A53" s="167">
        <f t="shared" si="9"/>
        <v>39172</v>
      </c>
      <c r="B53" s="170">
        <v>71668468</v>
      </c>
      <c r="C53" s="288">
        <f>'CDM Activity'!H35</f>
        <v>305243.04266348144</v>
      </c>
      <c r="D53" s="402">
        <f t="shared" si="13"/>
        <v>1.0517138274108369</v>
      </c>
      <c r="E53" s="171">
        <f t="shared" si="4"/>
        <v>321028.3286901394</v>
      </c>
      <c r="F53" s="171">
        <f t="shared" si="5"/>
        <v>71989496.328690141</v>
      </c>
      <c r="G53" s="222">
        <f>'Weather Analysis '!N10</f>
        <v>654.6</v>
      </c>
      <c r="H53" s="222">
        <f>+'Weather Analysis '!N30</f>
        <v>0</v>
      </c>
      <c r="I53" s="169">
        <v>1</v>
      </c>
      <c r="J53" s="169">
        <v>31</v>
      </c>
      <c r="K53" s="287">
        <v>51</v>
      </c>
      <c r="L53" s="288">
        <v>32410</v>
      </c>
      <c r="M53" s="289">
        <v>138.00694005870795</v>
      </c>
      <c r="N53" s="292">
        <v>351.91199999999998</v>
      </c>
      <c r="O53" s="169">
        <v>174.9</v>
      </c>
      <c r="P53" s="291">
        <v>12.4</v>
      </c>
      <c r="Q53" s="287">
        <f t="shared" si="6"/>
        <v>70096173.942750111</v>
      </c>
      <c r="R53" s="291">
        <f t="shared" si="7"/>
        <v>321028.3286901394</v>
      </c>
      <c r="S53" s="287">
        <f t="shared" si="12"/>
        <v>70096173.942750111</v>
      </c>
      <c r="T53" s="50">
        <f t="shared" si="10"/>
        <v>-1572294.0572498888</v>
      </c>
      <c r="U53" s="103">
        <f t="shared" si="11"/>
        <v>-2.1938435425323852E-2</v>
      </c>
      <c r="V53" s="13">
        <f t="shared" si="2"/>
        <v>2.1938435425323852E-2</v>
      </c>
      <c r="W53" s="338"/>
      <c r="X53" s="13"/>
      <c r="AK53" s="102"/>
      <c r="AL53" s="102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</row>
    <row r="54" spans="1:50" x14ac:dyDescent="0.25">
      <c r="A54" s="167">
        <f t="shared" si="9"/>
        <v>39202</v>
      </c>
      <c r="B54" s="170">
        <v>60506916</v>
      </c>
      <c r="C54" s="288">
        <f>'CDM Activity'!H36</f>
        <v>326399.87580690318</v>
      </c>
      <c r="D54" s="402">
        <f t="shared" si="13"/>
        <v>1.0517138274108369</v>
      </c>
      <c r="E54" s="171">
        <f t="shared" si="4"/>
        <v>343279.26265129994</v>
      </c>
      <c r="F54" s="171">
        <f t="shared" si="5"/>
        <v>60850195.262651302</v>
      </c>
      <c r="G54" s="222">
        <f>'Weather Analysis '!N11</f>
        <v>459.1</v>
      </c>
      <c r="H54" s="222">
        <f>+'Weather Analysis '!N31</f>
        <v>0</v>
      </c>
      <c r="I54" s="169">
        <v>1</v>
      </c>
      <c r="J54" s="169">
        <v>30</v>
      </c>
      <c r="K54" s="287">
        <v>52</v>
      </c>
      <c r="L54" s="288">
        <v>32393</v>
      </c>
      <c r="M54" s="289">
        <v>138.23486974044414</v>
      </c>
      <c r="N54" s="292">
        <v>319.68</v>
      </c>
      <c r="O54" s="169">
        <v>176.5</v>
      </c>
      <c r="P54" s="291">
        <v>12</v>
      </c>
      <c r="Q54" s="287">
        <f t="shared" si="6"/>
        <v>60512132.918731928</v>
      </c>
      <c r="R54" s="291">
        <f t="shared" si="7"/>
        <v>343279.26265129994</v>
      </c>
      <c r="S54" s="287">
        <f t="shared" si="12"/>
        <v>60512132.918731928</v>
      </c>
      <c r="T54" s="50">
        <f t="shared" si="10"/>
        <v>5216.9187319278717</v>
      </c>
      <c r="U54" s="103">
        <f t="shared" si="11"/>
        <v>8.6220205503910856E-5</v>
      </c>
      <c r="V54" s="13">
        <f t="shared" si="2"/>
        <v>8.6220205503910856E-5</v>
      </c>
      <c r="W54" s="338"/>
      <c r="X54" s="13"/>
      <c r="Y54" s="36" t="s">
        <v>327</v>
      </c>
      <c r="Z54" s="36"/>
      <c r="AK54" s="102"/>
      <c r="AL54" s="102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</row>
    <row r="55" spans="1:50" x14ac:dyDescent="0.25">
      <c r="A55" s="167">
        <f t="shared" si="9"/>
        <v>39233</v>
      </c>
      <c r="B55" s="170">
        <v>51273936</v>
      </c>
      <c r="C55" s="288">
        <f>'CDM Activity'!H37</f>
        <v>347556.70895032492</v>
      </c>
      <c r="D55" s="402">
        <f t="shared" si="13"/>
        <v>1.0517138274108369</v>
      </c>
      <c r="E55" s="171">
        <f t="shared" si="4"/>
        <v>365530.19661246048</v>
      </c>
      <c r="F55" s="171">
        <f t="shared" si="5"/>
        <v>51639466.196612462</v>
      </c>
      <c r="G55" s="222">
        <f>'Weather Analysis '!N12</f>
        <v>204.6</v>
      </c>
      <c r="H55" s="222">
        <f>+'Weather Analysis '!N32</f>
        <v>12.5</v>
      </c>
      <c r="I55" s="169">
        <v>1</v>
      </c>
      <c r="J55" s="169">
        <v>31</v>
      </c>
      <c r="K55" s="287">
        <v>53</v>
      </c>
      <c r="L55" s="288">
        <v>32375</v>
      </c>
      <c r="M55" s="289">
        <v>138.46317586658083</v>
      </c>
      <c r="N55" s="292">
        <v>351.91199999999998</v>
      </c>
      <c r="O55" s="169">
        <v>180.9</v>
      </c>
      <c r="P55" s="291">
        <v>11.1</v>
      </c>
      <c r="Q55" s="287">
        <f t="shared" si="6"/>
        <v>53232354.709622204</v>
      </c>
      <c r="R55" s="291">
        <f t="shared" si="7"/>
        <v>365530.19661246048</v>
      </c>
      <c r="S55" s="287">
        <f t="shared" si="12"/>
        <v>53232354.709622204</v>
      </c>
      <c r="T55" s="50">
        <f t="shared" si="10"/>
        <v>1958418.7096222043</v>
      </c>
      <c r="U55" s="103">
        <f t="shared" si="11"/>
        <v>3.8195209153091041E-2</v>
      </c>
      <c r="V55" s="13">
        <f t="shared" si="2"/>
        <v>3.8195209153091041E-2</v>
      </c>
      <c r="W55" s="338"/>
      <c r="X55" s="13"/>
      <c r="Y55" s="33" t="s">
        <v>328</v>
      </c>
      <c r="Z55" s="33">
        <v>0.97988170618314752</v>
      </c>
      <c r="AK55" s="102"/>
      <c r="AL55" s="102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</row>
    <row r="56" spans="1:50" x14ac:dyDescent="0.25">
      <c r="A56" s="167">
        <f t="shared" si="9"/>
        <v>39263</v>
      </c>
      <c r="B56" s="170">
        <v>50644216</v>
      </c>
      <c r="C56" s="288">
        <f>'CDM Activity'!H38</f>
        <v>368713.54209374666</v>
      </c>
      <c r="D56" s="402">
        <f t="shared" si="13"/>
        <v>1.0517138274108369</v>
      </c>
      <c r="E56" s="171">
        <f t="shared" si="4"/>
        <v>387781.13057362102</v>
      </c>
      <c r="F56" s="171">
        <f t="shared" si="5"/>
        <v>51031997.130573623</v>
      </c>
      <c r="G56" s="222">
        <f>'Weather Analysis '!N13</f>
        <v>67.8</v>
      </c>
      <c r="H56" s="222">
        <f>+'Weather Analysis '!N33</f>
        <v>35.9</v>
      </c>
      <c r="I56" s="169">
        <v>0</v>
      </c>
      <c r="J56" s="169">
        <v>30</v>
      </c>
      <c r="K56" s="287">
        <v>54</v>
      </c>
      <c r="L56" s="288">
        <v>32366</v>
      </c>
      <c r="M56" s="289">
        <v>138.69185905884657</v>
      </c>
      <c r="N56" s="292">
        <v>336.24</v>
      </c>
      <c r="O56" s="169">
        <v>182.1</v>
      </c>
      <c r="P56" s="291">
        <v>10.9</v>
      </c>
      <c r="Q56" s="287">
        <f t="shared" si="6"/>
        <v>50849130.331561089</v>
      </c>
      <c r="R56" s="291">
        <f t="shared" si="7"/>
        <v>387781.13057362102</v>
      </c>
      <c r="S56" s="287">
        <f t="shared" si="12"/>
        <v>50849130.331561089</v>
      </c>
      <c r="T56" s="50">
        <f t="shared" si="10"/>
        <v>204914.33156108856</v>
      </c>
      <c r="U56" s="103">
        <f t="shared" si="11"/>
        <v>4.0461546795608119E-3</v>
      </c>
      <c r="V56" s="13">
        <f t="shared" si="2"/>
        <v>4.0461546795608119E-3</v>
      </c>
      <c r="W56" s="338"/>
      <c r="X56" s="13"/>
      <c r="Y56" s="33" t="s">
        <v>329</v>
      </c>
      <c r="Z56" s="33">
        <v>0.9601681581123962</v>
      </c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</row>
    <row r="57" spans="1:50" x14ac:dyDescent="0.25">
      <c r="A57" s="167">
        <f t="shared" si="9"/>
        <v>39294</v>
      </c>
      <c r="B57" s="170">
        <v>51622068</v>
      </c>
      <c r="C57" s="288">
        <f>'CDM Activity'!H39</f>
        <v>389870.37523716839</v>
      </c>
      <c r="D57" s="402">
        <f t="shared" si="13"/>
        <v>1.0517138274108369</v>
      </c>
      <c r="E57" s="171">
        <f t="shared" si="4"/>
        <v>410032.0645347815</v>
      </c>
      <c r="F57" s="171">
        <f t="shared" si="5"/>
        <v>52032100.064534783</v>
      </c>
      <c r="G57" s="222">
        <f>'Weather Analysis '!N14</f>
        <v>38</v>
      </c>
      <c r="H57" s="222">
        <f>+'Weather Analysis '!N34</f>
        <v>41.7</v>
      </c>
      <c r="I57" s="169">
        <v>0</v>
      </c>
      <c r="J57" s="169">
        <v>31</v>
      </c>
      <c r="K57" s="287">
        <v>55</v>
      </c>
      <c r="L57" s="288">
        <v>32389</v>
      </c>
      <c r="M57" s="289">
        <v>138.92091993999671</v>
      </c>
      <c r="N57" s="292">
        <v>336.28800000000001</v>
      </c>
      <c r="O57" s="169">
        <v>182.7</v>
      </c>
      <c r="P57" s="291">
        <v>11.7</v>
      </c>
      <c r="Q57" s="287">
        <f t="shared" si="6"/>
        <v>52024905.544370532</v>
      </c>
      <c r="R57" s="291">
        <f t="shared" si="7"/>
        <v>410032.0645347815</v>
      </c>
      <c r="S57" s="287">
        <f t="shared" si="12"/>
        <v>52024905.544370532</v>
      </c>
      <c r="T57" s="50">
        <f t="shared" si="10"/>
        <v>402837.54437053204</v>
      </c>
      <c r="U57" s="103">
        <f t="shared" si="11"/>
        <v>7.8035917578995872E-3</v>
      </c>
      <c r="V57" s="13">
        <f t="shared" si="2"/>
        <v>7.8035917578995872E-3</v>
      </c>
      <c r="W57" s="338"/>
      <c r="X57" s="13"/>
      <c r="Y57" s="33" t="s">
        <v>329</v>
      </c>
      <c r="Z57" s="33">
        <v>0.95878670694866419</v>
      </c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</row>
    <row r="58" spans="1:50" x14ac:dyDescent="0.25">
      <c r="A58" s="167">
        <f t="shared" si="9"/>
        <v>39325</v>
      </c>
      <c r="B58" s="170">
        <v>51764316</v>
      </c>
      <c r="C58" s="288">
        <f>'CDM Activity'!H40</f>
        <v>411027.20838059013</v>
      </c>
      <c r="D58" s="402">
        <f t="shared" si="13"/>
        <v>1.0517138274108369</v>
      </c>
      <c r="E58" s="171">
        <f t="shared" si="4"/>
        <v>432282.99849594204</v>
      </c>
      <c r="F58" s="171">
        <f t="shared" si="5"/>
        <v>52196598.998495944</v>
      </c>
      <c r="G58" s="222">
        <f>'Weather Analysis '!N15</f>
        <v>33.799999999999997</v>
      </c>
      <c r="H58" s="222">
        <f>+'Weather Analysis '!N35</f>
        <v>42.5</v>
      </c>
      <c r="I58" s="169">
        <v>0</v>
      </c>
      <c r="J58" s="169">
        <v>31</v>
      </c>
      <c r="K58" s="287">
        <v>56</v>
      </c>
      <c r="L58" s="288">
        <v>32395</v>
      </c>
      <c r="M58" s="289">
        <v>139.15035913381516</v>
      </c>
      <c r="N58" s="292">
        <v>351.91199999999998</v>
      </c>
      <c r="O58" s="169">
        <v>180.2</v>
      </c>
      <c r="P58" s="291">
        <v>13.3</v>
      </c>
      <c r="Q58" s="287">
        <f t="shared" si="6"/>
        <v>51893503.60439536</v>
      </c>
      <c r="R58" s="291">
        <f t="shared" si="7"/>
        <v>432282.99849594204</v>
      </c>
      <c r="S58" s="287">
        <f t="shared" si="12"/>
        <v>51893503.60439536</v>
      </c>
      <c r="T58" s="50">
        <f t="shared" si="10"/>
        <v>129187.60439535975</v>
      </c>
      <c r="U58" s="103">
        <f t="shared" si="11"/>
        <v>2.4956884274363782E-3</v>
      </c>
      <c r="V58" s="13">
        <f t="shared" si="2"/>
        <v>2.4956884274363782E-3</v>
      </c>
      <c r="W58" s="338"/>
      <c r="X58" s="13"/>
      <c r="Y58" s="33" t="s">
        <v>330</v>
      </c>
      <c r="Z58" s="33">
        <v>2262185.2810427058</v>
      </c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</row>
    <row r="59" spans="1:50" ht="13.8" thickBot="1" x14ac:dyDescent="0.3">
      <c r="A59" s="167">
        <f t="shared" si="9"/>
        <v>39355</v>
      </c>
      <c r="B59" s="170">
        <v>48836864</v>
      </c>
      <c r="C59" s="288">
        <f>'CDM Activity'!H41</f>
        <v>432184.04152401187</v>
      </c>
      <c r="D59" s="402">
        <f t="shared" si="13"/>
        <v>1.0517138274108369</v>
      </c>
      <c r="E59" s="171">
        <f t="shared" si="4"/>
        <v>454533.93245710258</v>
      </c>
      <c r="F59" s="171">
        <f t="shared" si="5"/>
        <v>49291397.932457104</v>
      </c>
      <c r="G59" s="222">
        <f>'Weather Analysis '!N16</f>
        <v>127.6</v>
      </c>
      <c r="H59" s="222">
        <f>+'Weather Analysis '!N36</f>
        <v>17</v>
      </c>
      <c r="I59" s="169">
        <v>1</v>
      </c>
      <c r="J59" s="169">
        <v>30</v>
      </c>
      <c r="K59" s="287">
        <v>57</v>
      </c>
      <c r="L59" s="288">
        <v>32450</v>
      </c>
      <c r="M59" s="289">
        <v>139.38017726511606</v>
      </c>
      <c r="N59" s="292">
        <v>303.83999999999997</v>
      </c>
      <c r="O59" s="169">
        <v>179</v>
      </c>
      <c r="P59" s="291">
        <v>13.5</v>
      </c>
      <c r="Q59" s="287">
        <f t="shared" si="6"/>
        <v>49006027.568940669</v>
      </c>
      <c r="R59" s="291">
        <f t="shared" si="7"/>
        <v>454533.93245710258</v>
      </c>
      <c r="S59" s="287">
        <f t="shared" si="12"/>
        <v>49006027.568940669</v>
      </c>
      <c r="T59" s="50">
        <f t="shared" si="10"/>
        <v>169163.5689406693</v>
      </c>
      <c r="U59" s="103">
        <f t="shared" si="11"/>
        <v>3.4638499503299247E-3</v>
      </c>
      <c r="V59" s="13">
        <f t="shared" si="2"/>
        <v>3.4638499503299247E-3</v>
      </c>
      <c r="W59" s="338"/>
      <c r="X59" s="13"/>
      <c r="Y59" s="34" t="s">
        <v>29</v>
      </c>
      <c r="Z59" s="34">
        <v>180</v>
      </c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</row>
    <row r="60" spans="1:50" x14ac:dyDescent="0.25">
      <c r="A60" s="167">
        <f t="shared" si="9"/>
        <v>39386</v>
      </c>
      <c r="B60" s="170">
        <v>54192940</v>
      </c>
      <c r="C60" s="288">
        <f>'CDM Activity'!H42</f>
        <v>453340.87466743361</v>
      </c>
      <c r="D60" s="402">
        <f t="shared" si="13"/>
        <v>1.0517138274108369</v>
      </c>
      <c r="E60" s="171">
        <f t="shared" si="4"/>
        <v>476784.86641826312</v>
      </c>
      <c r="F60" s="171">
        <f t="shared" si="5"/>
        <v>54669724.866418265</v>
      </c>
      <c r="G60" s="222">
        <f>'Weather Analysis '!N17</f>
        <v>233.5</v>
      </c>
      <c r="H60" s="222">
        <f>+'Weather Analysis '!N37</f>
        <v>0.8</v>
      </c>
      <c r="I60" s="169">
        <v>1</v>
      </c>
      <c r="J60" s="169">
        <v>31</v>
      </c>
      <c r="K60" s="287">
        <v>58</v>
      </c>
      <c r="L60" s="288">
        <v>32485</v>
      </c>
      <c r="M60" s="289">
        <v>139.61037495974546</v>
      </c>
      <c r="N60" s="292">
        <v>351.91199999999998</v>
      </c>
      <c r="O60" s="169">
        <v>179.1</v>
      </c>
      <c r="P60" s="291">
        <v>12.3</v>
      </c>
      <c r="Q60" s="287">
        <f t="shared" si="6"/>
        <v>53691394.143544376</v>
      </c>
      <c r="R60" s="291">
        <f t="shared" si="7"/>
        <v>476784.86641826312</v>
      </c>
      <c r="S60" s="287">
        <f t="shared" si="12"/>
        <v>53691394.143544376</v>
      </c>
      <c r="T60" s="50">
        <f t="shared" si="10"/>
        <v>-501545.8564556241</v>
      </c>
      <c r="U60" s="103">
        <f t="shared" si="11"/>
        <v>-9.2548191047694423E-3</v>
      </c>
      <c r="V60" s="13">
        <f t="shared" si="2"/>
        <v>9.2548191047694423E-3</v>
      </c>
      <c r="W60" s="338"/>
      <c r="X60" s="13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</row>
    <row r="61" spans="1:50" ht="13.8" thickBot="1" x14ac:dyDescent="0.3">
      <c r="A61" s="167">
        <f t="shared" si="9"/>
        <v>39416</v>
      </c>
      <c r="B61" s="170">
        <v>65729492</v>
      </c>
      <c r="C61" s="288">
        <f>'CDM Activity'!H43</f>
        <v>474497.70781085535</v>
      </c>
      <c r="D61" s="402">
        <f t="shared" si="13"/>
        <v>1.0517138274108369</v>
      </c>
      <c r="E61" s="171">
        <f t="shared" si="4"/>
        <v>499035.8003794236</v>
      </c>
      <c r="F61" s="171">
        <f t="shared" si="5"/>
        <v>66228527.800379425</v>
      </c>
      <c r="G61" s="222">
        <f>'Weather Analysis '!N18</f>
        <v>541</v>
      </c>
      <c r="H61" s="222">
        <f>+'Weather Analysis '!N38</f>
        <v>0</v>
      </c>
      <c r="I61" s="169">
        <v>1</v>
      </c>
      <c r="J61" s="169">
        <v>30</v>
      </c>
      <c r="K61" s="287">
        <v>59</v>
      </c>
      <c r="L61" s="288">
        <v>32507</v>
      </c>
      <c r="M61" s="289">
        <v>139.84095284458306</v>
      </c>
      <c r="N61" s="292">
        <v>352.08</v>
      </c>
      <c r="O61" s="169">
        <v>180.5</v>
      </c>
      <c r="P61" s="291">
        <v>10.3</v>
      </c>
      <c r="Q61" s="287">
        <f t="shared" si="6"/>
        <v>63908336.30425024</v>
      </c>
      <c r="R61" s="291">
        <f t="shared" si="7"/>
        <v>499035.8003794236</v>
      </c>
      <c r="S61" s="287">
        <f t="shared" si="12"/>
        <v>63908336.30425024</v>
      </c>
      <c r="T61" s="50">
        <f t="shared" si="10"/>
        <v>-1821155.6957497597</v>
      </c>
      <c r="U61" s="103">
        <f t="shared" si="11"/>
        <v>-2.7706827488485072E-2</v>
      </c>
      <c r="V61" s="13">
        <f t="shared" si="2"/>
        <v>2.7706827488485072E-2</v>
      </c>
      <c r="W61" s="338"/>
      <c r="X61" s="13"/>
      <c r="Y61" t="s">
        <v>331</v>
      </c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</row>
    <row r="62" spans="1:50" x14ac:dyDescent="0.25">
      <c r="A62" s="167">
        <f t="shared" si="9"/>
        <v>39447</v>
      </c>
      <c r="B62" s="170">
        <v>77979100</v>
      </c>
      <c r="C62" s="288">
        <f>'CDM Activity'!H44</f>
        <v>495654.54095427709</v>
      </c>
      <c r="D62" s="402">
        <f t="shared" si="13"/>
        <v>1.0517138274108369</v>
      </c>
      <c r="E62" s="171">
        <f t="shared" si="4"/>
        <v>521286.73434058414</v>
      </c>
      <c r="F62" s="171">
        <f t="shared" si="5"/>
        <v>78500386.734340578</v>
      </c>
      <c r="G62" s="222">
        <f>'Weather Analysis '!N19</f>
        <v>711.6</v>
      </c>
      <c r="H62" s="222">
        <f>+'Weather Analysis '!N39</f>
        <v>0</v>
      </c>
      <c r="I62" s="169">
        <v>0</v>
      </c>
      <c r="J62" s="169">
        <v>31</v>
      </c>
      <c r="K62" s="287">
        <v>60</v>
      </c>
      <c r="L62" s="288">
        <v>32536</v>
      </c>
      <c r="M62" s="289">
        <v>140.07191154754381</v>
      </c>
      <c r="N62" s="292">
        <v>304.29599999999999</v>
      </c>
      <c r="O62" s="169">
        <v>181.7</v>
      </c>
      <c r="P62" s="291">
        <v>10.6</v>
      </c>
      <c r="Q62" s="287">
        <f t="shared" si="6"/>
        <v>75333156.486882165</v>
      </c>
      <c r="R62" s="291">
        <f t="shared" si="7"/>
        <v>521286.73434058414</v>
      </c>
      <c r="S62" s="287">
        <f t="shared" si="12"/>
        <v>75333156.486882165</v>
      </c>
      <c r="T62" s="50">
        <f t="shared" si="10"/>
        <v>-2645943.5131178349</v>
      </c>
      <c r="U62" s="103">
        <f t="shared" si="11"/>
        <v>-3.3931444619363843E-2</v>
      </c>
      <c r="V62" s="13">
        <f t="shared" si="2"/>
        <v>3.3931444619363843E-2</v>
      </c>
      <c r="W62" s="338"/>
      <c r="X62" s="13"/>
      <c r="Y62" s="35"/>
      <c r="Z62" s="35" t="s">
        <v>335</v>
      </c>
      <c r="AA62" s="35" t="s">
        <v>336</v>
      </c>
      <c r="AB62" s="35" t="s">
        <v>337</v>
      </c>
      <c r="AC62" s="35" t="s">
        <v>37</v>
      </c>
      <c r="AD62" s="35" t="s">
        <v>338</v>
      </c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</row>
    <row r="63" spans="1:50" x14ac:dyDescent="0.25">
      <c r="A63" s="167">
        <f t="shared" si="9"/>
        <v>39478</v>
      </c>
      <c r="B63" s="171">
        <v>79006867</v>
      </c>
      <c r="C63" s="288">
        <f>'CDM Activity'!H45</f>
        <v>504346.77588558081</v>
      </c>
      <c r="D63" s="402">
        <f>'Rate Class Energy Model'!F17</f>
        <v>1.0425888821121767</v>
      </c>
      <c r="E63" s="171">
        <f t="shared" si="4"/>
        <v>525826.34126742824</v>
      </c>
      <c r="F63" s="171">
        <f t="shared" si="5"/>
        <v>79532693.341267422</v>
      </c>
      <c r="G63" s="222">
        <f>+'Weather Analysis '!O8</f>
        <v>761.9</v>
      </c>
      <c r="H63" s="222">
        <f>+'Weather Analysis '!O28</f>
        <v>0</v>
      </c>
      <c r="I63" s="169">
        <v>0</v>
      </c>
      <c r="J63" s="169">
        <v>31</v>
      </c>
      <c r="K63" s="287">
        <v>61</v>
      </c>
      <c r="L63" s="288">
        <v>32538</v>
      </c>
      <c r="M63" s="289">
        <v>139.96642175819056</v>
      </c>
      <c r="N63" s="292">
        <v>352</v>
      </c>
      <c r="O63" s="169">
        <v>181</v>
      </c>
      <c r="P63" s="291">
        <v>10.8</v>
      </c>
      <c r="Q63" s="287">
        <f t="shared" si="6"/>
        <v>77235871.884251773</v>
      </c>
      <c r="R63" s="291">
        <f t="shared" si="7"/>
        <v>525826.34126742824</v>
      </c>
      <c r="S63" s="287">
        <f t="shared" si="12"/>
        <v>77235871.884251773</v>
      </c>
      <c r="T63" s="50">
        <f t="shared" si="10"/>
        <v>-1770995.1157482266</v>
      </c>
      <c r="U63" s="103">
        <f t="shared" si="11"/>
        <v>-2.2415711228597719E-2</v>
      </c>
      <c r="V63" s="13">
        <f t="shared" si="2"/>
        <v>2.2415711228597719E-2</v>
      </c>
      <c r="W63" s="338"/>
      <c r="X63" s="13"/>
      <c r="Y63" s="33" t="s">
        <v>332</v>
      </c>
      <c r="Z63" s="33">
        <v>6</v>
      </c>
      <c r="AA63" s="33">
        <v>2.13412256520874E+16</v>
      </c>
      <c r="AB63" s="33">
        <v>3556870942014566.5</v>
      </c>
      <c r="AC63" s="33">
        <v>695.04314254479232</v>
      </c>
      <c r="AD63" s="33">
        <v>2.9713677502238217E-118</v>
      </c>
    </row>
    <row r="64" spans="1:50" x14ac:dyDescent="0.25">
      <c r="A64" s="167">
        <f t="shared" si="9"/>
        <v>39507</v>
      </c>
      <c r="B64" s="171">
        <v>75126905</v>
      </c>
      <c r="C64" s="288">
        <f>'CDM Activity'!H46</f>
        <v>513039.01081688452</v>
      </c>
      <c r="D64" s="402">
        <f t="shared" si="13"/>
        <v>1.0425888821121767</v>
      </c>
      <c r="E64" s="171">
        <f t="shared" si="4"/>
        <v>534888.76876751252</v>
      </c>
      <c r="F64" s="171">
        <f t="shared" si="5"/>
        <v>75661793.768767506</v>
      </c>
      <c r="G64" s="222">
        <f>+'Weather Analysis '!O9</f>
        <v>831.3</v>
      </c>
      <c r="H64" s="222">
        <f>+'Weather Analysis '!O29</f>
        <v>0</v>
      </c>
      <c r="I64" s="169">
        <v>0</v>
      </c>
      <c r="J64" s="169">
        <v>29</v>
      </c>
      <c r="K64" s="287">
        <v>62</v>
      </c>
      <c r="L64" s="288">
        <v>32549</v>
      </c>
      <c r="M64" s="289">
        <v>139.86101141442734</v>
      </c>
      <c r="N64" s="292">
        <v>320</v>
      </c>
      <c r="O64" s="169">
        <v>180.7</v>
      </c>
      <c r="P64" s="291">
        <v>12.3</v>
      </c>
      <c r="Q64" s="287">
        <f t="shared" si="6"/>
        <v>76383751.659797698</v>
      </c>
      <c r="R64" s="291">
        <f t="shared" si="7"/>
        <v>534888.76876751252</v>
      </c>
      <c r="S64" s="287">
        <f t="shared" si="12"/>
        <v>76383751.659797698</v>
      </c>
      <c r="T64" s="50">
        <f t="shared" si="10"/>
        <v>1256846.6597976983</v>
      </c>
      <c r="U64" s="103">
        <f t="shared" si="11"/>
        <v>1.67296477846079E-2</v>
      </c>
      <c r="V64" s="13">
        <f t="shared" si="2"/>
        <v>1.67296477846079E-2</v>
      </c>
      <c r="W64" s="338"/>
      <c r="X64" s="13"/>
      <c r="Y64" s="33" t="s">
        <v>333</v>
      </c>
      <c r="Z64" s="33">
        <v>173</v>
      </c>
      <c r="AA64" s="33">
        <v>885324428517564</v>
      </c>
      <c r="AB64" s="33">
        <v>5117482245766.2656</v>
      </c>
      <c r="AC64" s="33"/>
      <c r="AD64" s="33"/>
    </row>
    <row r="65" spans="1:56" ht="13.8" thickBot="1" x14ac:dyDescent="0.3">
      <c r="A65" s="167">
        <f t="shared" si="9"/>
        <v>39538</v>
      </c>
      <c r="B65" s="171">
        <v>74573962</v>
      </c>
      <c r="C65" s="288">
        <f>'CDM Activity'!H47</f>
        <v>521731.24574818823</v>
      </c>
      <c r="D65" s="402">
        <f t="shared" si="13"/>
        <v>1.0425888821121767</v>
      </c>
      <c r="E65" s="171">
        <f t="shared" si="4"/>
        <v>543951.19626759691</v>
      </c>
      <c r="F65" s="171">
        <f t="shared" si="5"/>
        <v>75117913.19626759</v>
      </c>
      <c r="G65" s="222">
        <f>+'Weather Analysis '!O10</f>
        <v>795.5</v>
      </c>
      <c r="H65" s="222">
        <f>+'Weather Analysis '!O30</f>
        <v>0</v>
      </c>
      <c r="I65" s="169">
        <v>1</v>
      </c>
      <c r="J65" s="169">
        <v>31</v>
      </c>
      <c r="K65" s="287">
        <v>63</v>
      </c>
      <c r="L65" s="288">
        <v>32544</v>
      </c>
      <c r="M65" s="289">
        <v>139.75568045642274</v>
      </c>
      <c r="N65" s="292">
        <v>304</v>
      </c>
      <c r="O65" s="169">
        <v>179.4</v>
      </c>
      <c r="P65" s="291">
        <v>13.5</v>
      </c>
      <c r="Q65" s="287">
        <f t="shared" si="6"/>
        <v>75556754.456305355</v>
      </c>
      <c r="R65" s="291">
        <f t="shared" si="7"/>
        <v>543951.19626759691</v>
      </c>
      <c r="S65" s="287">
        <f t="shared" si="12"/>
        <v>75556754.456305355</v>
      </c>
      <c r="T65" s="50">
        <f t="shared" si="10"/>
        <v>982792.45630535483</v>
      </c>
      <c r="U65" s="103">
        <f t="shared" si="11"/>
        <v>1.3178761459735167E-2</v>
      </c>
      <c r="V65" s="13">
        <f t="shared" si="2"/>
        <v>1.3178761459735167E-2</v>
      </c>
      <c r="W65" s="338"/>
      <c r="X65" s="13"/>
      <c r="Y65" s="34" t="s">
        <v>12</v>
      </c>
      <c r="Z65" s="34">
        <v>179</v>
      </c>
      <c r="AA65" s="34">
        <v>2.2226550080604964E+16</v>
      </c>
      <c r="AB65" s="34"/>
      <c r="AC65" s="34"/>
      <c r="AD65" s="34"/>
    </row>
    <row r="66" spans="1:56" ht="13.8" thickBot="1" x14ac:dyDescent="0.3">
      <c r="A66" s="167">
        <f t="shared" si="9"/>
        <v>39568</v>
      </c>
      <c r="B66" s="171">
        <v>58751936</v>
      </c>
      <c r="C66" s="288">
        <f>'CDM Activity'!H48</f>
        <v>530423.48067949188</v>
      </c>
      <c r="D66" s="402">
        <f t="shared" si="13"/>
        <v>1.0425888821121767</v>
      </c>
      <c r="E66" s="171">
        <f t="shared" si="4"/>
        <v>553013.62376768119</v>
      </c>
      <c r="F66" s="171">
        <f t="shared" si="5"/>
        <v>59304949.623767681</v>
      </c>
      <c r="G66" s="222">
        <f>+'Weather Analysis '!O11</f>
        <v>391.8</v>
      </c>
      <c r="H66" s="222">
        <f>+'Weather Analysis '!O31</f>
        <v>0</v>
      </c>
      <c r="I66" s="169">
        <v>1</v>
      </c>
      <c r="J66" s="169">
        <v>30</v>
      </c>
      <c r="K66" s="287">
        <v>64</v>
      </c>
      <c r="L66" s="288">
        <v>32526</v>
      </c>
      <c r="M66" s="289">
        <v>139.65042882439042</v>
      </c>
      <c r="N66" s="292">
        <v>352</v>
      </c>
      <c r="O66" s="169">
        <v>178.9</v>
      </c>
      <c r="P66" s="291">
        <v>15.5</v>
      </c>
      <c r="Q66" s="287">
        <f t="shared" si="6"/>
        <v>57842685.860167325</v>
      </c>
      <c r="R66" s="291">
        <f t="shared" si="7"/>
        <v>553013.62376768119</v>
      </c>
      <c r="S66" s="287">
        <f t="shared" si="12"/>
        <v>57842685.860167325</v>
      </c>
      <c r="T66" s="50">
        <f t="shared" si="10"/>
        <v>-909250.13983267546</v>
      </c>
      <c r="U66" s="103">
        <f t="shared" si="11"/>
        <v>-1.547608813831557E-2</v>
      </c>
      <c r="V66" s="13">
        <f t="shared" si="2"/>
        <v>1.547608813831557E-2</v>
      </c>
      <c r="W66" s="338"/>
      <c r="X66" s="13"/>
    </row>
    <row r="67" spans="1:56" x14ac:dyDescent="0.25">
      <c r="A67" s="167">
        <f t="shared" si="9"/>
        <v>39599</v>
      </c>
      <c r="B67" s="171">
        <v>53931566</v>
      </c>
      <c r="C67" s="288">
        <f>'CDM Activity'!H49</f>
        <v>539115.71561079554</v>
      </c>
      <c r="D67" s="402">
        <f t="shared" si="13"/>
        <v>1.0425888821121767</v>
      </c>
      <c r="E67" s="171">
        <f t="shared" si="4"/>
        <v>562076.05126776546</v>
      </c>
      <c r="F67" s="171">
        <f t="shared" si="5"/>
        <v>54493642.051267765</v>
      </c>
      <c r="G67" s="222">
        <f>+'Weather Analysis '!O12</f>
        <v>320</v>
      </c>
      <c r="H67" s="222">
        <f>+'Weather Analysis '!O32</f>
        <v>0</v>
      </c>
      <c r="I67" s="169">
        <v>1</v>
      </c>
      <c r="J67" s="169">
        <v>31</v>
      </c>
      <c r="K67" s="287">
        <v>65</v>
      </c>
      <c r="L67" s="288">
        <v>32565</v>
      </c>
      <c r="M67" s="289">
        <v>139.54525645858905</v>
      </c>
      <c r="N67" s="292">
        <v>336</v>
      </c>
      <c r="O67" s="169">
        <v>181.6</v>
      </c>
      <c r="P67" s="291">
        <v>15.5</v>
      </c>
      <c r="Q67" s="287">
        <f t="shared" si="6"/>
        <v>56988584.181729347</v>
      </c>
      <c r="R67" s="291">
        <f t="shared" si="7"/>
        <v>562076.05126776546</v>
      </c>
      <c r="S67" s="287">
        <f t="shared" si="12"/>
        <v>56988584.181729347</v>
      </c>
      <c r="T67" s="50">
        <f t="shared" ref="T67:T98" si="14">S67-B67</f>
        <v>3057018.1817293465</v>
      </c>
      <c r="U67" s="103">
        <f t="shared" ref="U67:U98" si="15">T67/B67</f>
        <v>5.6683282323553269E-2</v>
      </c>
      <c r="V67" s="13">
        <f t="shared" ref="V67:V130" si="16">ABS(U67)</f>
        <v>5.6683282323553269E-2</v>
      </c>
      <c r="W67" s="338"/>
      <c r="X67" s="13"/>
      <c r="Y67" s="35"/>
      <c r="Z67" s="35" t="s">
        <v>39</v>
      </c>
      <c r="AA67" s="35" t="s">
        <v>330</v>
      </c>
      <c r="AB67" s="35" t="s">
        <v>339</v>
      </c>
      <c r="AC67" s="35" t="s">
        <v>340</v>
      </c>
      <c r="AD67" s="35" t="s">
        <v>341</v>
      </c>
      <c r="AE67" s="35" t="s">
        <v>342</v>
      </c>
      <c r="AF67" s="35" t="s">
        <v>343</v>
      </c>
      <c r="AG67" s="35" t="s">
        <v>344</v>
      </c>
    </row>
    <row r="68" spans="1:56" x14ac:dyDescent="0.25">
      <c r="A68" s="167">
        <f t="shared" si="9"/>
        <v>39629</v>
      </c>
      <c r="B68" s="171">
        <v>48466638</v>
      </c>
      <c r="C68" s="288">
        <f>'CDM Activity'!H50</f>
        <v>547807.95054209919</v>
      </c>
      <c r="D68" s="402">
        <f t="shared" si="13"/>
        <v>1.0425888821121767</v>
      </c>
      <c r="E68" s="171">
        <f t="shared" ref="E68:E131" si="17">C68*D68</f>
        <v>571138.47876784974</v>
      </c>
      <c r="F68" s="171">
        <f t="shared" ref="F68:F131" si="18">B68+E68</f>
        <v>49037776.47876785</v>
      </c>
      <c r="G68" s="222">
        <f>+'Weather Analysis '!O13</f>
        <v>99.8</v>
      </c>
      <c r="H68" s="222">
        <f>+'Weather Analysis '!O33</f>
        <v>7.8</v>
      </c>
      <c r="I68" s="169">
        <v>0</v>
      </c>
      <c r="J68" s="169">
        <v>30</v>
      </c>
      <c r="K68" s="287">
        <v>66</v>
      </c>
      <c r="L68" s="288">
        <v>32555</v>
      </c>
      <c r="M68" s="289">
        <v>139.44016329932234</v>
      </c>
      <c r="N68" s="292">
        <v>336</v>
      </c>
      <c r="O68" s="169">
        <v>186.6</v>
      </c>
      <c r="P68" s="291">
        <v>13.8</v>
      </c>
      <c r="Q68" s="287">
        <f t="shared" ref="Q68:Q131" si="19">+$Z$43+G68*$Z$44+H68*$Z$45+I68*$Z$46+J68*$Z$47+K68*$Z$48+ L68*$Z$49</f>
        <v>50026207.185111463</v>
      </c>
      <c r="R68" s="291">
        <f t="shared" ref="R68:R131" si="20">E68</f>
        <v>571138.47876784974</v>
      </c>
      <c r="S68" s="287">
        <f t="shared" ref="S68:S99" si="21">+$Z$43+G68*$Z$44+H68*$Z$45+I68*$Z$46+J68*$Z$47+K68*$Z$48+ L68*$Z$49</f>
        <v>50026207.185111463</v>
      </c>
      <c r="T68" s="50">
        <f t="shared" si="14"/>
        <v>1559569.1851114631</v>
      </c>
      <c r="U68" s="103">
        <f t="shared" si="15"/>
        <v>3.2178200293394875E-2</v>
      </c>
      <c r="V68" s="13">
        <f t="shared" si="16"/>
        <v>3.2178200293394875E-2</v>
      </c>
      <c r="W68" s="338"/>
      <c r="X68" s="13"/>
      <c r="Y68" s="33" t="s">
        <v>334</v>
      </c>
      <c r="Z68" s="33">
        <v>-205002824.78360298</v>
      </c>
      <c r="AA68" s="33">
        <v>53408516.846013322</v>
      </c>
      <c r="AB68" s="33">
        <v>-3.8383920185363736</v>
      </c>
      <c r="AC68" s="33">
        <v>1.7344998214997899E-4</v>
      </c>
      <c r="AD68" s="33">
        <v>-310419024.47993857</v>
      </c>
      <c r="AE68" s="33">
        <v>-99586625.087267414</v>
      </c>
      <c r="AF68" s="33">
        <v>-310419024.47993857</v>
      </c>
      <c r="AG68" s="33">
        <v>-99586625.087267414</v>
      </c>
    </row>
    <row r="69" spans="1:56" x14ac:dyDescent="0.25">
      <c r="A69" s="167">
        <f t="shared" si="9"/>
        <v>39660</v>
      </c>
      <c r="B69" s="171">
        <v>50725082</v>
      </c>
      <c r="C69" s="288">
        <f>'CDM Activity'!H51</f>
        <v>556500.18547340285</v>
      </c>
      <c r="D69" s="402">
        <f t="shared" si="13"/>
        <v>1.0425888821121767</v>
      </c>
      <c r="E69" s="171">
        <f t="shared" si="17"/>
        <v>580200.90626793413</v>
      </c>
      <c r="F69" s="171">
        <f t="shared" si="18"/>
        <v>51305282.906267934</v>
      </c>
      <c r="G69" s="222">
        <f>+'Weather Analysis '!O14</f>
        <v>34.799999999999997</v>
      </c>
      <c r="H69" s="222">
        <f>+'Weather Analysis '!O34</f>
        <v>18.7</v>
      </c>
      <c r="I69" s="169">
        <v>0</v>
      </c>
      <c r="J69" s="169">
        <v>31</v>
      </c>
      <c r="K69" s="287">
        <v>67</v>
      </c>
      <c r="L69" s="288">
        <v>32552</v>
      </c>
      <c r="M69" s="289">
        <v>139.3351492869389</v>
      </c>
      <c r="N69" s="292">
        <v>352</v>
      </c>
      <c r="O69" s="169">
        <v>189.4</v>
      </c>
      <c r="P69" s="291">
        <v>12.7</v>
      </c>
      <c r="Q69" s="287">
        <f t="shared" si="19"/>
        <v>50098370.582258016</v>
      </c>
      <c r="R69" s="291">
        <f t="shared" si="20"/>
        <v>580200.90626793413</v>
      </c>
      <c r="S69" s="287">
        <f t="shared" si="21"/>
        <v>50098370.582258016</v>
      </c>
      <c r="T69" s="50">
        <f t="shared" si="14"/>
        <v>-626711.41774198413</v>
      </c>
      <c r="U69" s="103">
        <f t="shared" si="15"/>
        <v>-1.2355059726507375E-2</v>
      </c>
      <c r="V69" s="13">
        <f t="shared" si="16"/>
        <v>1.2355059726507375E-2</v>
      </c>
      <c r="W69" s="338"/>
      <c r="X69" s="13"/>
      <c r="Y69" s="33" t="s">
        <v>4</v>
      </c>
      <c r="Z69" s="33">
        <v>39019.334174548218</v>
      </c>
      <c r="AA69" s="33">
        <v>792.98327939107196</v>
      </c>
      <c r="AB69" s="33">
        <v>49.20574643706356</v>
      </c>
      <c r="AC69" s="33">
        <v>1.1931864478101449E-103</v>
      </c>
      <c r="AD69" s="33">
        <v>37454.166507055052</v>
      </c>
      <c r="AE69" s="33">
        <v>40584.501842041383</v>
      </c>
      <c r="AF69" s="33">
        <v>37454.166507055052</v>
      </c>
      <c r="AG69" s="33">
        <v>40584.501842041383</v>
      </c>
    </row>
    <row r="70" spans="1:56" x14ac:dyDescent="0.25">
      <c r="A70" s="167">
        <f t="shared" si="9"/>
        <v>39691</v>
      </c>
      <c r="B70" s="171">
        <v>50225177</v>
      </c>
      <c r="C70" s="288">
        <f>'CDM Activity'!H52</f>
        <v>565192.4204047065</v>
      </c>
      <c r="D70" s="402">
        <f t="shared" si="13"/>
        <v>1.0425888821121767</v>
      </c>
      <c r="E70" s="171">
        <f t="shared" si="17"/>
        <v>589263.3337680184</v>
      </c>
      <c r="F70" s="171">
        <f t="shared" si="18"/>
        <v>50814440.333768018</v>
      </c>
      <c r="G70" s="222">
        <f>+'Weather Analysis '!O15</f>
        <v>29</v>
      </c>
      <c r="H70" s="222">
        <f>+'Weather Analysis '!O35</f>
        <v>24</v>
      </c>
      <c r="I70" s="169">
        <v>0</v>
      </c>
      <c r="J70" s="169">
        <v>31</v>
      </c>
      <c r="K70" s="287">
        <v>68</v>
      </c>
      <c r="L70" s="288">
        <v>32581</v>
      </c>
      <c r="M70" s="289">
        <v>139.23021436183228</v>
      </c>
      <c r="N70" s="292">
        <v>320</v>
      </c>
      <c r="O70" s="169">
        <v>189.1</v>
      </c>
      <c r="P70" s="291">
        <v>12.9</v>
      </c>
      <c r="Q70" s="287">
        <f t="shared" si="19"/>
        <v>50427593.416413546</v>
      </c>
      <c r="R70" s="291">
        <f t="shared" si="20"/>
        <v>589263.3337680184</v>
      </c>
      <c r="S70" s="287">
        <f t="shared" si="21"/>
        <v>50427593.416413546</v>
      </c>
      <c r="T70" s="50">
        <f t="shared" si="14"/>
        <v>202416.41641354561</v>
      </c>
      <c r="U70" s="103">
        <f t="shared" si="15"/>
        <v>4.0301782592731452E-3</v>
      </c>
      <c r="V70" s="13">
        <f t="shared" si="16"/>
        <v>4.0301782592731452E-3</v>
      </c>
      <c r="W70" s="338"/>
      <c r="X70" s="13"/>
      <c r="Y70" s="33" t="s">
        <v>5</v>
      </c>
      <c r="Z70" s="33">
        <v>84534.484065417681</v>
      </c>
      <c r="AA70" s="33">
        <v>14731.730653024801</v>
      </c>
      <c r="AB70" s="33">
        <v>5.7382588683197646</v>
      </c>
      <c r="AC70" s="33">
        <v>4.1961677930249377E-8</v>
      </c>
      <c r="AD70" s="33">
        <v>55457.416359730007</v>
      </c>
      <c r="AE70" s="33">
        <v>113611.55177110535</v>
      </c>
      <c r="AF70" s="33">
        <v>55457.416359730007</v>
      </c>
      <c r="AG70" s="33">
        <v>113611.55177110535</v>
      </c>
    </row>
    <row r="71" spans="1:56" x14ac:dyDescent="0.25">
      <c r="A71" s="167">
        <f t="shared" si="9"/>
        <v>39721</v>
      </c>
      <c r="B71" s="171">
        <v>48690797</v>
      </c>
      <c r="C71" s="288">
        <f>'CDM Activity'!H53</f>
        <v>573884.65533601015</v>
      </c>
      <c r="D71" s="402">
        <f t="shared" si="13"/>
        <v>1.0425888821121767</v>
      </c>
      <c r="E71" s="171">
        <f t="shared" si="17"/>
        <v>598325.76126810268</v>
      </c>
      <c r="F71" s="171">
        <f t="shared" si="18"/>
        <v>49289122.761268102</v>
      </c>
      <c r="G71" s="222">
        <f>+'Weather Analysis '!O16</f>
        <v>140.1</v>
      </c>
      <c r="H71" s="222">
        <f>+'Weather Analysis '!O36</f>
        <v>9.8000000000000007</v>
      </c>
      <c r="I71" s="169">
        <v>1</v>
      </c>
      <c r="J71" s="169">
        <v>30</v>
      </c>
      <c r="K71" s="287">
        <v>69</v>
      </c>
      <c r="L71" s="288">
        <v>32677</v>
      </c>
      <c r="M71" s="289">
        <v>139.12535846444095</v>
      </c>
      <c r="N71" s="292">
        <v>336</v>
      </c>
      <c r="O71" s="169">
        <v>186.4</v>
      </c>
      <c r="P71" s="291">
        <v>14.8</v>
      </c>
      <c r="Q71" s="287">
        <f t="shared" si="19"/>
        <v>49424681.608254254</v>
      </c>
      <c r="R71" s="291">
        <f t="shared" si="20"/>
        <v>598325.76126810268</v>
      </c>
      <c r="S71" s="287">
        <f t="shared" si="21"/>
        <v>49424681.608254254</v>
      </c>
      <c r="T71" s="50">
        <f t="shared" si="14"/>
        <v>733884.60825425386</v>
      </c>
      <c r="U71" s="103">
        <f t="shared" si="15"/>
        <v>1.5072347414117166E-2</v>
      </c>
      <c r="V71" s="13">
        <f t="shared" si="16"/>
        <v>1.5072347414117166E-2</v>
      </c>
      <c r="W71" s="338"/>
      <c r="X71" s="13"/>
      <c r="Y71" s="33" t="s">
        <v>22</v>
      </c>
      <c r="Z71" s="33">
        <v>-2882657.2269487963</v>
      </c>
      <c r="AA71" s="33">
        <v>389102.46959981299</v>
      </c>
      <c r="AB71" s="33">
        <v>-7.4084783628168003</v>
      </c>
      <c r="AC71" s="33">
        <v>5.4001097014281127E-12</v>
      </c>
      <c r="AD71" s="33">
        <v>-3650656.5285570566</v>
      </c>
      <c r="AE71" s="33">
        <v>-2114657.9253405361</v>
      </c>
      <c r="AF71" s="33">
        <v>-3650656.5285570566</v>
      </c>
      <c r="AG71" s="33">
        <v>-2114657.9253405361</v>
      </c>
    </row>
    <row r="72" spans="1:56" x14ac:dyDescent="0.25">
      <c r="A72" s="167">
        <f t="shared" si="9"/>
        <v>39752</v>
      </c>
      <c r="B72" s="171">
        <v>56073867</v>
      </c>
      <c r="C72" s="288">
        <f>'CDM Activity'!H54</f>
        <v>582576.89026731381</v>
      </c>
      <c r="D72" s="402">
        <f t="shared" si="13"/>
        <v>1.0425888821121767</v>
      </c>
      <c r="E72" s="171">
        <f t="shared" si="17"/>
        <v>607388.18876818696</v>
      </c>
      <c r="F72" s="171">
        <f t="shared" si="18"/>
        <v>56681255.188768186</v>
      </c>
      <c r="G72" s="222">
        <f>+'Weather Analysis '!O17</f>
        <v>334.5</v>
      </c>
      <c r="H72" s="222">
        <f>+'Weather Analysis '!O37</f>
        <v>1.3</v>
      </c>
      <c r="I72" s="169">
        <v>1</v>
      </c>
      <c r="J72" s="169">
        <v>31</v>
      </c>
      <c r="K72" s="287">
        <v>70</v>
      </c>
      <c r="L72" s="288">
        <v>32716</v>
      </c>
      <c r="M72" s="289">
        <v>139.02058153524823</v>
      </c>
      <c r="N72" s="292">
        <v>352</v>
      </c>
      <c r="O72" s="169">
        <v>187.3</v>
      </c>
      <c r="P72" s="291">
        <v>15.2</v>
      </c>
      <c r="Q72" s="287">
        <f t="shared" si="19"/>
        <v>58238983.572524965</v>
      </c>
      <c r="R72" s="291">
        <f t="shared" si="20"/>
        <v>607388.18876818696</v>
      </c>
      <c r="S72" s="287">
        <f t="shared" si="21"/>
        <v>58238983.572524965</v>
      </c>
      <c r="T72" s="50">
        <f t="shared" si="14"/>
        <v>2165116.5725249648</v>
      </c>
      <c r="U72" s="103">
        <f t="shared" si="15"/>
        <v>3.8611864819755787E-2</v>
      </c>
      <c r="V72" s="13">
        <f t="shared" si="16"/>
        <v>3.8611864819755787E-2</v>
      </c>
      <c r="W72" s="338"/>
      <c r="X72" s="13"/>
      <c r="Y72" s="33" t="s">
        <v>6</v>
      </c>
      <c r="Z72" s="33">
        <v>1777962.3386840052</v>
      </c>
      <c r="AA72" s="33">
        <v>215143.60194962117</v>
      </c>
      <c r="AB72" s="33">
        <v>8.2640725662868633</v>
      </c>
      <c r="AC72" s="33">
        <v>3.5552274440327123E-14</v>
      </c>
      <c r="AD72" s="33">
        <v>1353318.063841104</v>
      </c>
      <c r="AE72" s="33">
        <v>2202606.6135269064</v>
      </c>
      <c r="AF72" s="33">
        <v>1353318.063841104</v>
      </c>
      <c r="AG72" s="33">
        <v>2202606.6135269064</v>
      </c>
    </row>
    <row r="73" spans="1:56" x14ac:dyDescent="0.25">
      <c r="A73" s="167">
        <f t="shared" si="9"/>
        <v>39782</v>
      </c>
      <c r="B73" s="171">
        <v>63785625</v>
      </c>
      <c r="C73" s="288">
        <f>'CDM Activity'!H55</f>
        <v>591269.12519861746</v>
      </c>
      <c r="D73" s="402">
        <f t="shared" si="13"/>
        <v>1.0425888821121767</v>
      </c>
      <c r="E73" s="171">
        <f t="shared" si="17"/>
        <v>616450.61626827123</v>
      </c>
      <c r="F73" s="171">
        <f t="shared" si="18"/>
        <v>64402075.61626827</v>
      </c>
      <c r="G73" s="222">
        <f>+'Weather Analysis '!O18</f>
        <v>496.8</v>
      </c>
      <c r="H73" s="222">
        <f>+'Weather Analysis '!O38</f>
        <v>0</v>
      </c>
      <c r="I73" s="169">
        <v>1</v>
      </c>
      <c r="J73" s="169">
        <v>30</v>
      </c>
      <c r="K73" s="287">
        <v>71</v>
      </c>
      <c r="L73" s="288">
        <v>32770</v>
      </c>
      <c r="M73" s="289">
        <v>138.91588351478222</v>
      </c>
      <c r="N73" s="292">
        <v>304</v>
      </c>
      <c r="O73" s="169">
        <v>185.3</v>
      </c>
      <c r="P73" s="291">
        <v>15.8</v>
      </c>
      <c r="Q73" s="287">
        <f t="shared" si="19"/>
        <v>62946521.472379774</v>
      </c>
      <c r="R73" s="291">
        <f t="shared" si="20"/>
        <v>616450.61626827123</v>
      </c>
      <c r="S73" s="287">
        <f t="shared" si="21"/>
        <v>62946521.472379774</v>
      </c>
      <c r="T73" s="50">
        <f t="shared" si="14"/>
        <v>-839103.52762022614</v>
      </c>
      <c r="U73" s="103">
        <f t="shared" si="15"/>
        <v>-1.3155056921057466E-2</v>
      </c>
      <c r="V73" s="13">
        <f t="shared" si="16"/>
        <v>1.3155056921057466E-2</v>
      </c>
      <c r="W73" s="338"/>
      <c r="X73" s="13"/>
      <c r="Y73" s="33" t="s">
        <v>325</v>
      </c>
      <c r="Z73" s="33">
        <v>-72361.505568031294</v>
      </c>
      <c r="AA73" s="33">
        <v>15187.741370185611</v>
      </c>
      <c r="AB73" s="33">
        <v>-4.7644678562989613</v>
      </c>
      <c r="AC73" s="33">
        <v>3.9921681185855152E-6</v>
      </c>
      <c r="AD73" s="33">
        <v>-102338.63415656451</v>
      </c>
      <c r="AE73" s="33">
        <v>-42384.376979498084</v>
      </c>
      <c r="AF73" s="33">
        <v>-102338.63415656451</v>
      </c>
      <c r="AG73" s="33">
        <v>-42384.376979498084</v>
      </c>
    </row>
    <row r="74" spans="1:56" ht="13.8" thickBot="1" x14ac:dyDescent="0.3">
      <c r="A74" s="167">
        <f t="shared" si="9"/>
        <v>39813</v>
      </c>
      <c r="B74" s="171">
        <v>81608064</v>
      </c>
      <c r="C74" s="288">
        <f>'CDM Activity'!H56</f>
        <v>599961.36012992112</v>
      </c>
      <c r="D74" s="402">
        <f t="shared" si="13"/>
        <v>1.0425888821121767</v>
      </c>
      <c r="E74" s="171">
        <f t="shared" si="17"/>
        <v>625513.04376835551</v>
      </c>
      <c r="F74" s="171">
        <f t="shared" si="18"/>
        <v>82233577.043768361</v>
      </c>
      <c r="G74" s="222">
        <f>+'Weather Analysis '!O19</f>
        <v>814.7</v>
      </c>
      <c r="H74" s="222">
        <f>+'Weather Analysis '!O39</f>
        <v>0</v>
      </c>
      <c r="I74" s="169">
        <v>0</v>
      </c>
      <c r="J74" s="169">
        <v>31</v>
      </c>
      <c r="K74" s="287">
        <v>72</v>
      </c>
      <c r="L74" s="288">
        <v>32782</v>
      </c>
      <c r="M74" s="289">
        <v>138.8112643436159</v>
      </c>
      <c r="N74" s="292">
        <v>336</v>
      </c>
      <c r="O74" s="169">
        <v>184.3</v>
      </c>
      <c r="P74" s="291">
        <v>14.7</v>
      </c>
      <c r="Q74" s="287">
        <f t="shared" si="19"/>
        <v>80013452.230280668</v>
      </c>
      <c r="R74" s="291">
        <f t="shared" si="20"/>
        <v>625513.04376835551</v>
      </c>
      <c r="S74" s="287">
        <f t="shared" si="21"/>
        <v>80013452.230280668</v>
      </c>
      <c r="T74" s="50">
        <f t="shared" si="14"/>
        <v>-1594611.7697193325</v>
      </c>
      <c r="U74" s="103">
        <f t="shared" si="15"/>
        <v>-1.9539879903526843E-2</v>
      </c>
      <c r="V74" s="13">
        <f t="shared" si="16"/>
        <v>1.9539879903526843E-2</v>
      </c>
      <c r="W74" s="338"/>
      <c r="X74" s="13"/>
      <c r="Y74" s="34" t="s">
        <v>102</v>
      </c>
      <c r="Z74" s="34">
        <v>6202.1969789388477</v>
      </c>
      <c r="AA74" s="34">
        <v>1655.3725725871955</v>
      </c>
      <c r="AB74" s="34">
        <v>3.7467075881566547</v>
      </c>
      <c r="AC74" s="34">
        <v>2.4388199386463257E-4</v>
      </c>
      <c r="AD74" s="34">
        <v>2934.8700432964788</v>
      </c>
      <c r="AE74" s="34">
        <v>9469.5239145812156</v>
      </c>
      <c r="AF74" s="34">
        <v>2934.8700432964788</v>
      </c>
      <c r="AG74" s="34">
        <v>9469.5239145812156</v>
      </c>
    </row>
    <row r="75" spans="1:56" s="14" customFormat="1" x14ac:dyDescent="0.25">
      <c r="A75" s="167">
        <f t="shared" si="9"/>
        <v>39844</v>
      </c>
      <c r="B75" s="170">
        <v>85774977</v>
      </c>
      <c r="C75" s="288">
        <f>'CDM Activity'!H57</f>
        <v>613781.96710080863</v>
      </c>
      <c r="D75" s="402">
        <f>'Rate Class Energy Model'!F18</f>
        <v>1.0354829336126383</v>
      </c>
      <c r="E75" s="171">
        <f t="shared" si="17"/>
        <v>635560.75189208123</v>
      </c>
      <c r="F75" s="171">
        <f t="shared" si="18"/>
        <v>86410537.751892075</v>
      </c>
      <c r="G75" s="222">
        <f>'Weather Analysis '!P8</f>
        <v>970.4</v>
      </c>
      <c r="H75" s="222">
        <f>+'Weather Analysis '!P28</f>
        <v>0</v>
      </c>
      <c r="I75" s="169">
        <v>0</v>
      </c>
      <c r="J75" s="169">
        <v>31</v>
      </c>
      <c r="K75" s="287">
        <v>73</v>
      </c>
      <c r="L75" s="288">
        <v>32783</v>
      </c>
      <c r="M75" s="289">
        <v>138.43555825854429</v>
      </c>
      <c r="N75" s="292">
        <v>336</v>
      </c>
      <c r="O75" s="169">
        <v>179.9</v>
      </c>
      <c r="P75" s="291">
        <v>15.6</v>
      </c>
      <c r="Q75" s="287">
        <f t="shared" si="19"/>
        <v>86022603.252668723</v>
      </c>
      <c r="R75" s="291">
        <f t="shared" si="20"/>
        <v>635560.75189208123</v>
      </c>
      <c r="S75" s="287">
        <f t="shared" si="21"/>
        <v>86022603.252668723</v>
      </c>
      <c r="T75" s="50">
        <f t="shared" si="14"/>
        <v>247626.25266872346</v>
      </c>
      <c r="U75" s="103">
        <f t="shared" si="15"/>
        <v>2.886928814550699E-3</v>
      </c>
      <c r="V75" s="13">
        <f t="shared" si="16"/>
        <v>2.886928814550699E-3</v>
      </c>
      <c r="W75" s="338"/>
      <c r="X75" s="13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</row>
    <row r="76" spans="1:56" x14ac:dyDescent="0.25">
      <c r="A76" s="167">
        <f t="shared" ref="A76:A132" si="22">EOMONTH(A75,1)</f>
        <v>39872</v>
      </c>
      <c r="B76" s="170">
        <v>71566146</v>
      </c>
      <c r="C76" s="288">
        <f>'CDM Activity'!H58</f>
        <v>627602.57407169614</v>
      </c>
      <c r="D76" s="402">
        <f>D75</f>
        <v>1.0354829336126383</v>
      </c>
      <c r="E76" s="171">
        <f t="shared" si="17"/>
        <v>649871.75454260304</v>
      </c>
      <c r="F76" s="171">
        <f t="shared" si="18"/>
        <v>72216017.754542604</v>
      </c>
      <c r="G76" s="222">
        <f>'Weather Analysis '!P9</f>
        <v>747.8</v>
      </c>
      <c r="H76" s="222">
        <f>+'Weather Analysis '!P29</f>
        <v>0</v>
      </c>
      <c r="I76" s="169">
        <v>0</v>
      </c>
      <c r="J76" s="169">
        <v>28</v>
      </c>
      <c r="K76" s="287">
        <v>74</v>
      </c>
      <c r="L76" s="288">
        <v>32787</v>
      </c>
      <c r="M76" s="289">
        <v>138.06086905825526</v>
      </c>
      <c r="N76" s="292">
        <v>304</v>
      </c>
      <c r="O76" s="169">
        <v>176.6</v>
      </c>
      <c r="P76" s="291">
        <v>16</v>
      </c>
      <c r="Q76" s="287">
        <f t="shared" si="19"/>
        <v>71955459.731710002</v>
      </c>
      <c r="R76" s="291">
        <f t="shared" si="20"/>
        <v>649871.75454260304</v>
      </c>
      <c r="S76" s="287">
        <f t="shared" si="21"/>
        <v>71955459.731710002</v>
      </c>
      <c r="T76" s="50">
        <f t="shared" si="14"/>
        <v>389313.73171000183</v>
      </c>
      <c r="U76" s="103">
        <f t="shared" si="15"/>
        <v>5.4399147288160775E-3</v>
      </c>
      <c r="V76" s="13">
        <f t="shared" si="16"/>
        <v>5.4399147288160775E-3</v>
      </c>
      <c r="W76" s="338"/>
      <c r="X76" s="13"/>
    </row>
    <row r="77" spans="1:56" x14ac:dyDescent="0.25">
      <c r="A77" s="167">
        <f t="shared" si="22"/>
        <v>39903</v>
      </c>
      <c r="B77" s="170">
        <v>72767317</v>
      </c>
      <c r="C77" s="288">
        <f>'CDM Activity'!H59</f>
        <v>641423.18104258366</v>
      </c>
      <c r="D77" s="402">
        <f t="shared" ref="D77:D86" si="23">D76</f>
        <v>1.0354829336126383</v>
      </c>
      <c r="E77" s="171">
        <f t="shared" si="17"/>
        <v>664182.75719312497</v>
      </c>
      <c r="F77" s="171">
        <f t="shared" si="18"/>
        <v>73431499.757193118</v>
      </c>
      <c r="G77" s="222">
        <f>'Weather Analysis '!P10</f>
        <v>680.7</v>
      </c>
      <c r="H77" s="222">
        <f>+'Weather Analysis '!P30</f>
        <v>0</v>
      </c>
      <c r="I77" s="169">
        <v>1</v>
      </c>
      <c r="J77" s="169">
        <v>31</v>
      </c>
      <c r="K77" s="287">
        <v>75</v>
      </c>
      <c r="L77" s="288">
        <v>32784</v>
      </c>
      <c r="M77" s="289">
        <v>137.68719399045199</v>
      </c>
      <c r="N77" s="292">
        <v>352</v>
      </c>
      <c r="O77" s="169">
        <v>174.1</v>
      </c>
      <c r="P77" s="291">
        <v>16.899999999999999</v>
      </c>
      <c r="Q77" s="287">
        <f t="shared" si="19"/>
        <v>71697524.101196215</v>
      </c>
      <c r="R77" s="291">
        <f t="shared" si="20"/>
        <v>664182.75719312497</v>
      </c>
      <c r="S77" s="287">
        <f t="shared" si="21"/>
        <v>71697524.101196215</v>
      </c>
      <c r="T77" s="50">
        <f t="shared" si="14"/>
        <v>-1069792.8988037854</v>
      </c>
      <c r="U77" s="103">
        <f t="shared" si="15"/>
        <v>-1.4701557552325112E-2</v>
      </c>
      <c r="V77" s="13">
        <f t="shared" si="16"/>
        <v>1.4701557552325112E-2</v>
      </c>
      <c r="W77" s="338"/>
      <c r="X77" s="13"/>
    </row>
    <row r="78" spans="1:56" x14ac:dyDescent="0.25">
      <c r="A78" s="167">
        <f t="shared" si="22"/>
        <v>39933</v>
      </c>
      <c r="B78" s="170">
        <v>59966273</v>
      </c>
      <c r="C78" s="288">
        <f>'CDM Activity'!H60</f>
        <v>655243.78801347117</v>
      </c>
      <c r="D78" s="402">
        <f t="shared" si="23"/>
        <v>1.0354829336126383</v>
      </c>
      <c r="E78" s="171">
        <f t="shared" si="17"/>
        <v>678493.75984364678</v>
      </c>
      <c r="F78" s="171">
        <f t="shared" si="18"/>
        <v>60644766.759843647</v>
      </c>
      <c r="G78" s="222">
        <f>'Weather Analysis '!P11</f>
        <v>425.5</v>
      </c>
      <c r="H78" s="222">
        <f>+'Weather Analysis '!P31</f>
        <v>0</v>
      </c>
      <c r="I78" s="169">
        <v>1</v>
      </c>
      <c r="J78" s="169">
        <v>30</v>
      </c>
      <c r="K78" s="287">
        <v>76</v>
      </c>
      <c r="L78" s="288">
        <v>32749</v>
      </c>
      <c r="M78" s="289">
        <v>137.31453031028698</v>
      </c>
      <c r="N78" s="292">
        <v>320</v>
      </c>
      <c r="O78" s="169">
        <v>174.4</v>
      </c>
      <c r="P78" s="291">
        <v>15</v>
      </c>
      <c r="Q78" s="287">
        <f t="shared" si="19"/>
        <v>59672389.281336576</v>
      </c>
      <c r="R78" s="291">
        <f t="shared" si="20"/>
        <v>678493.75984364678</v>
      </c>
      <c r="S78" s="287">
        <f t="shared" si="21"/>
        <v>59672389.281336576</v>
      </c>
      <c r="T78" s="50">
        <f t="shared" si="14"/>
        <v>-293883.71866342425</v>
      </c>
      <c r="U78" s="103">
        <f t="shared" si="15"/>
        <v>-4.9008168085320934E-3</v>
      </c>
      <c r="V78" s="13">
        <f t="shared" si="16"/>
        <v>4.9008168085320934E-3</v>
      </c>
      <c r="W78" s="338"/>
      <c r="X78" s="13"/>
    </row>
    <row r="79" spans="1:56" x14ac:dyDescent="0.25">
      <c r="A79" s="167">
        <f t="shared" si="22"/>
        <v>39964</v>
      </c>
      <c r="B79" s="170">
        <v>52676063</v>
      </c>
      <c r="C79" s="288">
        <f>'CDM Activity'!H61</f>
        <v>669064.39498435869</v>
      </c>
      <c r="D79" s="402">
        <f t="shared" si="23"/>
        <v>1.0354829336126383</v>
      </c>
      <c r="E79" s="171">
        <f t="shared" si="17"/>
        <v>692804.76249416871</v>
      </c>
      <c r="F79" s="171">
        <f t="shared" si="18"/>
        <v>53368867.762494169</v>
      </c>
      <c r="G79" s="222">
        <f>'Weather Analysis '!P12</f>
        <v>298.89999999999998</v>
      </c>
      <c r="H79" s="222">
        <f>+'Weather Analysis '!P32</f>
        <v>0</v>
      </c>
      <c r="I79" s="169">
        <v>1</v>
      </c>
      <c r="J79" s="169">
        <v>31</v>
      </c>
      <c r="K79" s="287">
        <v>77</v>
      </c>
      <c r="L79" s="288">
        <v>32756</v>
      </c>
      <c r="M79" s="289">
        <v>136.94287528034204</v>
      </c>
      <c r="N79" s="292">
        <v>320</v>
      </c>
      <c r="O79" s="169">
        <v>176.9</v>
      </c>
      <c r="P79" s="291">
        <v>15.1</v>
      </c>
      <c r="Q79" s="287">
        <f t="shared" si="19"/>
        <v>56481557.786807328</v>
      </c>
      <c r="R79" s="291">
        <f t="shared" si="20"/>
        <v>692804.76249416871</v>
      </c>
      <c r="S79" s="287">
        <f t="shared" si="21"/>
        <v>56481557.786807328</v>
      </c>
      <c r="T79" s="50">
        <f t="shared" si="14"/>
        <v>3805494.7868073285</v>
      </c>
      <c r="U79" s="103">
        <f t="shared" si="15"/>
        <v>7.2243341094176461E-2</v>
      </c>
      <c r="V79" s="13">
        <f t="shared" si="16"/>
        <v>7.2243341094176461E-2</v>
      </c>
      <c r="W79" s="338"/>
      <c r="X79" s="13"/>
    </row>
    <row r="80" spans="1:56" x14ac:dyDescent="0.25">
      <c r="A80" s="167">
        <f t="shared" si="22"/>
        <v>39994</v>
      </c>
      <c r="B80" s="170">
        <v>49196438</v>
      </c>
      <c r="C80" s="288">
        <f>'CDM Activity'!H62</f>
        <v>682885.0019552462</v>
      </c>
      <c r="D80" s="402">
        <f t="shared" si="23"/>
        <v>1.0354829336126383</v>
      </c>
      <c r="E80" s="171">
        <f t="shared" si="17"/>
        <v>707115.76514469064</v>
      </c>
      <c r="F80" s="171">
        <f t="shared" si="18"/>
        <v>49903553.765144691</v>
      </c>
      <c r="G80" s="222">
        <f>'Weather Analysis '!P13</f>
        <v>126.1</v>
      </c>
      <c r="H80" s="222">
        <f>+'Weather Analysis '!P33</f>
        <v>19.2</v>
      </c>
      <c r="I80" s="169">
        <v>0</v>
      </c>
      <c r="J80" s="169">
        <v>30</v>
      </c>
      <c r="K80" s="287">
        <v>78</v>
      </c>
      <c r="L80" s="288">
        <v>32739</v>
      </c>
      <c r="M80" s="289">
        <v>136.57222617060793</v>
      </c>
      <c r="N80" s="292">
        <v>352</v>
      </c>
      <c r="O80" s="169">
        <v>178.9</v>
      </c>
      <c r="P80" s="291">
        <v>16</v>
      </c>
      <c r="Q80" s="287">
        <f t="shared" si="19"/>
        <v>52288974.969556212</v>
      </c>
      <c r="R80" s="291">
        <f t="shared" si="20"/>
        <v>707115.76514469064</v>
      </c>
      <c r="S80" s="287">
        <f t="shared" si="21"/>
        <v>52288974.969556212</v>
      </c>
      <c r="T80" s="50">
        <f t="shared" si="14"/>
        <v>3092536.9695562124</v>
      </c>
      <c r="U80" s="103">
        <f t="shared" si="15"/>
        <v>6.2860993504371437E-2</v>
      </c>
      <c r="V80" s="13">
        <f t="shared" si="16"/>
        <v>6.2860993504371437E-2</v>
      </c>
      <c r="W80" s="338"/>
      <c r="X80" s="13"/>
    </row>
    <row r="81" spans="1:42" x14ac:dyDescent="0.25">
      <c r="A81" s="167">
        <f t="shared" si="22"/>
        <v>40025</v>
      </c>
      <c r="B81" s="170">
        <v>48238905</v>
      </c>
      <c r="C81" s="288">
        <f>'CDM Activity'!H63</f>
        <v>696705.60892613372</v>
      </c>
      <c r="D81" s="402">
        <f t="shared" si="23"/>
        <v>1.0354829336126383</v>
      </c>
      <c r="E81" s="171">
        <f t="shared" si="17"/>
        <v>721426.76779521245</v>
      </c>
      <c r="F81" s="171">
        <f t="shared" si="18"/>
        <v>48960331.767795213</v>
      </c>
      <c r="G81" s="222">
        <f>'Weather Analysis '!P14</f>
        <v>87.7</v>
      </c>
      <c r="H81" s="222">
        <f>+'Weather Analysis '!P34</f>
        <v>8</v>
      </c>
      <c r="I81" s="169">
        <v>0</v>
      </c>
      <c r="J81" s="169">
        <v>31</v>
      </c>
      <c r="K81" s="287">
        <v>79</v>
      </c>
      <c r="L81" s="288">
        <v>32752</v>
      </c>
      <c r="M81" s="289">
        <v>136.20258025846454</v>
      </c>
      <c r="N81" s="292">
        <v>352</v>
      </c>
      <c r="O81" s="169">
        <v>180.2</v>
      </c>
      <c r="P81" s="291">
        <v>19</v>
      </c>
      <c r="Q81" s="287">
        <f t="shared" si="19"/>
        <v>51630075.709563047</v>
      </c>
      <c r="R81" s="291">
        <f t="shared" si="20"/>
        <v>721426.76779521245</v>
      </c>
      <c r="S81" s="287">
        <f t="shared" si="21"/>
        <v>51630075.709563047</v>
      </c>
      <c r="T81" s="50">
        <f t="shared" si="14"/>
        <v>3391170.7095630467</v>
      </c>
      <c r="U81" s="103">
        <f t="shared" si="15"/>
        <v>7.0299496009767357E-2</v>
      </c>
      <c r="V81" s="13">
        <f t="shared" si="16"/>
        <v>7.0299496009767357E-2</v>
      </c>
      <c r="W81" s="338"/>
      <c r="X81" s="13"/>
    </row>
    <row r="82" spans="1:42" x14ac:dyDescent="0.25">
      <c r="A82" s="167">
        <f t="shared" si="22"/>
        <v>40056</v>
      </c>
      <c r="B82" s="170">
        <v>49652791</v>
      </c>
      <c r="C82" s="288">
        <f>'CDM Activity'!H64</f>
        <v>710526.21589702123</v>
      </c>
      <c r="D82" s="402">
        <f t="shared" si="23"/>
        <v>1.0354829336126383</v>
      </c>
      <c r="E82" s="171">
        <f t="shared" si="17"/>
        <v>735737.77044573438</v>
      </c>
      <c r="F82" s="171">
        <f t="shared" si="18"/>
        <v>50388528.770445734</v>
      </c>
      <c r="G82" s="222">
        <f>'Weather Analysis '!P15</f>
        <v>69.3</v>
      </c>
      <c r="H82" s="222">
        <f>+'Weather Analysis '!P35</f>
        <v>25.2</v>
      </c>
      <c r="I82" s="169">
        <v>0</v>
      </c>
      <c r="J82" s="169">
        <v>31</v>
      </c>
      <c r="K82" s="287">
        <v>80</v>
      </c>
      <c r="L82" s="288">
        <v>32766</v>
      </c>
      <c r="M82" s="289">
        <v>135.83393482866074</v>
      </c>
      <c r="N82" s="292">
        <v>320</v>
      </c>
      <c r="O82" s="169">
        <v>181.6</v>
      </c>
      <c r="P82" s="291">
        <v>20.2</v>
      </c>
      <c r="Q82" s="287">
        <f t="shared" si="19"/>
        <v>52380582.338813663</v>
      </c>
      <c r="R82" s="291">
        <f t="shared" si="20"/>
        <v>735737.77044573438</v>
      </c>
      <c r="S82" s="287">
        <f t="shared" si="21"/>
        <v>52380582.338813663</v>
      </c>
      <c r="T82" s="50">
        <f t="shared" si="14"/>
        <v>2727791.3388136625</v>
      </c>
      <c r="U82" s="103">
        <f t="shared" si="15"/>
        <v>5.4937321424966074E-2</v>
      </c>
      <c r="V82" s="13">
        <f t="shared" si="16"/>
        <v>5.4937321424966074E-2</v>
      </c>
      <c r="W82" s="338"/>
      <c r="X82" s="13"/>
    </row>
    <row r="83" spans="1:42" x14ac:dyDescent="0.25">
      <c r="A83" s="167">
        <f t="shared" si="22"/>
        <v>40086</v>
      </c>
      <c r="B83" s="170">
        <v>48812970</v>
      </c>
      <c r="C83" s="288">
        <f>'CDM Activity'!H65</f>
        <v>724346.82286790875</v>
      </c>
      <c r="D83" s="402">
        <f t="shared" si="23"/>
        <v>1.0354829336126383</v>
      </c>
      <c r="E83" s="171">
        <f t="shared" si="17"/>
        <v>750048.77309625619</v>
      </c>
      <c r="F83" s="171">
        <f t="shared" si="18"/>
        <v>49563018.773096256</v>
      </c>
      <c r="G83" s="222">
        <f>'Weather Analysis '!P16</f>
        <v>93.1</v>
      </c>
      <c r="H83" s="222">
        <f>+'Weather Analysis '!P36</f>
        <v>5</v>
      </c>
      <c r="I83" s="169">
        <v>1</v>
      </c>
      <c r="J83" s="169">
        <v>30</v>
      </c>
      <c r="K83" s="287">
        <v>81</v>
      </c>
      <c r="L83" s="288">
        <v>32815</v>
      </c>
      <c r="M83" s="289">
        <v>135.46628717329455</v>
      </c>
      <c r="N83" s="292">
        <v>336</v>
      </c>
      <c r="O83" s="169">
        <v>182.3</v>
      </c>
      <c r="P83" s="291">
        <v>19.399999999999999</v>
      </c>
      <c r="Q83" s="287">
        <f t="shared" si="19"/>
        <v>47172572.494813681</v>
      </c>
      <c r="R83" s="291">
        <f t="shared" si="20"/>
        <v>750048.77309625619</v>
      </c>
      <c r="S83" s="287">
        <f t="shared" si="21"/>
        <v>47172572.494813681</v>
      </c>
      <c r="T83" s="50">
        <f t="shared" si="14"/>
        <v>-1640397.5051863194</v>
      </c>
      <c r="U83" s="103">
        <f t="shared" si="15"/>
        <v>-3.3605771277312554E-2</v>
      </c>
      <c r="V83" s="13">
        <f t="shared" si="16"/>
        <v>3.3605771277312554E-2</v>
      </c>
      <c r="W83" s="338"/>
      <c r="X83" s="13"/>
    </row>
    <row r="84" spans="1:42" x14ac:dyDescent="0.25">
      <c r="A84" s="167">
        <f t="shared" si="22"/>
        <v>40117</v>
      </c>
      <c r="B84" s="170">
        <v>57724020</v>
      </c>
      <c r="C84" s="288">
        <f>'CDM Activity'!H66</f>
        <v>738167.42983879626</v>
      </c>
      <c r="D84" s="402">
        <f t="shared" si="23"/>
        <v>1.0354829336126383</v>
      </c>
      <c r="E84" s="171">
        <f t="shared" si="17"/>
        <v>764359.77574677812</v>
      </c>
      <c r="F84" s="171">
        <f t="shared" si="18"/>
        <v>58488379.775746778</v>
      </c>
      <c r="G84" s="222">
        <f>'Weather Analysis '!P17</f>
        <v>381.1</v>
      </c>
      <c r="H84" s="222">
        <f>+'Weather Analysis '!P37</f>
        <v>0</v>
      </c>
      <c r="I84" s="169">
        <v>1</v>
      </c>
      <c r="J84" s="169">
        <v>31</v>
      </c>
      <c r="K84" s="287">
        <v>82</v>
      </c>
      <c r="L84" s="288">
        <v>32815</v>
      </c>
      <c r="M84" s="289">
        <v>135.09963459179312</v>
      </c>
      <c r="N84" s="292">
        <v>336</v>
      </c>
      <c r="O84" s="169">
        <v>181.1</v>
      </c>
      <c r="P84" s="291">
        <v>18.5</v>
      </c>
      <c r="Q84" s="287">
        <f t="shared" si="19"/>
        <v>59693069.149872422</v>
      </c>
      <c r="R84" s="291">
        <f t="shared" si="20"/>
        <v>764359.77574677812</v>
      </c>
      <c r="S84" s="287">
        <f t="shared" si="21"/>
        <v>59693069.149872422</v>
      </c>
      <c r="T84" s="50">
        <f t="shared" si="14"/>
        <v>1969049.1498724222</v>
      </c>
      <c r="U84" s="103">
        <f t="shared" si="15"/>
        <v>3.4111434890924476E-2</v>
      </c>
      <c r="V84" s="13">
        <f t="shared" si="16"/>
        <v>3.4111434890924476E-2</v>
      </c>
      <c r="W84" s="338"/>
      <c r="X84" s="13"/>
    </row>
    <row r="85" spans="1:42" x14ac:dyDescent="0.25">
      <c r="A85" s="167">
        <f t="shared" si="22"/>
        <v>40147</v>
      </c>
      <c r="B85" s="170">
        <v>59532749</v>
      </c>
      <c r="C85" s="288">
        <f>'CDM Activity'!H67</f>
        <v>751988.03680968378</v>
      </c>
      <c r="D85" s="402">
        <f t="shared" si="23"/>
        <v>1.0354829336126383</v>
      </c>
      <c r="E85" s="171">
        <f t="shared" si="17"/>
        <v>778670.77839730005</v>
      </c>
      <c r="F85" s="171">
        <f t="shared" si="18"/>
        <v>60311419.778397299</v>
      </c>
      <c r="G85" s="222">
        <f>'Weather Analysis '!P18</f>
        <v>416.7</v>
      </c>
      <c r="H85" s="222">
        <f>+'Weather Analysis '!P38</f>
        <v>0</v>
      </c>
      <c r="I85" s="169">
        <v>1</v>
      </c>
      <c r="J85" s="169">
        <v>30</v>
      </c>
      <c r="K85" s="287">
        <v>83</v>
      </c>
      <c r="L85" s="288">
        <v>32883</v>
      </c>
      <c r="M85" s="289">
        <v>134.733974390893</v>
      </c>
      <c r="N85" s="292">
        <v>320</v>
      </c>
      <c r="O85" s="169">
        <v>178.1</v>
      </c>
      <c r="P85" s="291">
        <v>17.899999999999999</v>
      </c>
      <c r="Q85" s="287">
        <f t="shared" si="19"/>
        <v>59653582.996802151</v>
      </c>
      <c r="R85" s="291">
        <f t="shared" si="20"/>
        <v>778670.77839730005</v>
      </c>
      <c r="S85" s="287">
        <f t="shared" si="21"/>
        <v>59653582.996802151</v>
      </c>
      <c r="T85" s="50">
        <f t="shared" si="14"/>
        <v>120833.9968021512</v>
      </c>
      <c r="U85" s="103">
        <f t="shared" si="15"/>
        <v>2.0297063184861698E-3</v>
      </c>
      <c r="V85" s="13">
        <f t="shared" si="16"/>
        <v>2.0297063184861698E-3</v>
      </c>
      <c r="W85" s="338"/>
      <c r="X85" s="13"/>
    </row>
    <row r="86" spans="1:42" s="32" customFormat="1" x14ac:dyDescent="0.25">
      <c r="A86" s="167">
        <f t="shared" si="22"/>
        <v>40178</v>
      </c>
      <c r="B86" s="170">
        <v>76961335</v>
      </c>
      <c r="C86" s="288">
        <f>'CDM Activity'!H68</f>
        <v>765808.64378057129</v>
      </c>
      <c r="D86" s="402">
        <f t="shared" si="23"/>
        <v>1.0354829336126383</v>
      </c>
      <c r="E86" s="171">
        <f t="shared" si="17"/>
        <v>792981.78104782186</v>
      </c>
      <c r="F86" s="171">
        <f t="shared" si="18"/>
        <v>77754316.781047821</v>
      </c>
      <c r="G86" s="222">
        <f>'Weather Analysis '!P19</f>
        <v>748.5</v>
      </c>
      <c r="H86" s="222">
        <f>+'Weather Analysis '!P39</f>
        <v>0</v>
      </c>
      <c r="I86" s="169">
        <v>0</v>
      </c>
      <c r="J86" s="169">
        <v>31</v>
      </c>
      <c r="K86" s="287">
        <v>84</v>
      </c>
      <c r="L86" s="288">
        <v>32923</v>
      </c>
      <c r="M86" s="289">
        <v>134.36930388462019</v>
      </c>
      <c r="N86" s="292">
        <v>352</v>
      </c>
      <c r="O86" s="169">
        <v>176.9</v>
      </c>
      <c r="P86" s="291">
        <v>18.2</v>
      </c>
      <c r="Q86" s="287">
        <f t="shared" si="19"/>
        <v>77436544.015139565</v>
      </c>
      <c r="R86" s="291">
        <f t="shared" si="20"/>
        <v>792981.78104782186</v>
      </c>
      <c r="S86" s="287">
        <f t="shared" si="21"/>
        <v>77436544.015139565</v>
      </c>
      <c r="T86" s="50">
        <f t="shared" si="14"/>
        <v>475209.01513956487</v>
      </c>
      <c r="U86" s="103">
        <f t="shared" si="15"/>
        <v>6.1746462056507323E-3</v>
      </c>
      <c r="V86" s="13">
        <f t="shared" si="16"/>
        <v>6.1746462056507323E-3</v>
      </c>
      <c r="W86" s="338"/>
      <c r="X86" s="13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</row>
    <row r="87" spans="1:42" x14ac:dyDescent="0.25">
      <c r="A87" s="167">
        <f>EOMONTH(A86,1)</f>
        <v>40209</v>
      </c>
      <c r="B87" s="170">
        <v>79854695</v>
      </c>
      <c r="C87" s="288">
        <f>'CDM Activity'!H69</f>
        <v>738136.30876040738</v>
      </c>
      <c r="D87" s="402">
        <f>'Rate Class Energy Model'!F19</f>
        <v>1.0445204387280596</v>
      </c>
      <c r="E87" s="171">
        <f t="shared" si="17"/>
        <v>770998.46106753114</v>
      </c>
      <c r="F87" s="171">
        <f t="shared" si="18"/>
        <v>80625693.461067528</v>
      </c>
      <c r="G87" s="222">
        <f>'Weather Analysis '!Q8</f>
        <v>810.7</v>
      </c>
      <c r="H87" s="222">
        <f>+'Weather Analysis '!Q28</f>
        <v>0</v>
      </c>
      <c r="I87" s="169">
        <v>0</v>
      </c>
      <c r="J87" s="169">
        <v>31</v>
      </c>
      <c r="K87" s="287">
        <v>85</v>
      </c>
      <c r="L87" s="288">
        <v>32936</v>
      </c>
      <c r="M87" s="289">
        <v>134.73334561620703</v>
      </c>
      <c r="N87" s="292">
        <v>320</v>
      </c>
      <c r="O87" s="169">
        <v>176.5</v>
      </c>
      <c r="P87" s="291">
        <v>20</v>
      </c>
      <c r="Q87" s="287">
        <f t="shared" si="19"/>
        <v>79871813.655954659</v>
      </c>
      <c r="R87" s="291">
        <f t="shared" si="20"/>
        <v>770998.46106753114</v>
      </c>
      <c r="S87" s="287">
        <f t="shared" si="21"/>
        <v>79871813.655954659</v>
      </c>
      <c r="T87" s="50">
        <f t="shared" si="14"/>
        <v>17118.655954658985</v>
      </c>
      <c r="U87" s="103">
        <f t="shared" si="15"/>
        <v>2.1437256700634804E-4</v>
      </c>
      <c r="V87" s="13">
        <f t="shared" si="16"/>
        <v>2.1437256700634804E-4</v>
      </c>
      <c r="W87" s="338"/>
      <c r="X87" s="13"/>
    </row>
    <row r="88" spans="1:42" x14ac:dyDescent="0.25">
      <c r="A88" s="167">
        <f t="shared" si="22"/>
        <v>40237</v>
      </c>
      <c r="B88" s="170">
        <v>68437902</v>
      </c>
      <c r="C88" s="288">
        <f>'CDM Activity'!H70</f>
        <v>710463.97374024347</v>
      </c>
      <c r="D88" s="402">
        <f>D87</f>
        <v>1.0445204387280596</v>
      </c>
      <c r="E88" s="171">
        <f t="shared" si="17"/>
        <v>742094.14155163965</v>
      </c>
      <c r="F88" s="171">
        <f t="shared" si="18"/>
        <v>69179996.141551644</v>
      </c>
      <c r="G88" s="222">
        <f>'Weather Analysis '!Q9</f>
        <v>691.1</v>
      </c>
      <c r="H88" s="222">
        <f>+'Weather Analysis '!Q29</f>
        <v>0</v>
      </c>
      <c r="I88" s="169">
        <v>0</v>
      </c>
      <c r="J88" s="169">
        <v>28</v>
      </c>
      <c r="K88" s="287">
        <v>86</v>
      </c>
      <c r="L88" s="288">
        <v>32950</v>
      </c>
      <c r="M88" s="289">
        <v>135.09837363244745</v>
      </c>
      <c r="N88" s="292">
        <v>304</v>
      </c>
      <c r="O88" s="169">
        <v>178.7</v>
      </c>
      <c r="P88" s="291">
        <v>20.6</v>
      </c>
      <c r="Q88" s="287">
        <f t="shared" si="19"/>
        <v>69885683.524763763</v>
      </c>
      <c r="R88" s="291">
        <f t="shared" si="20"/>
        <v>742094.14155163965</v>
      </c>
      <c r="S88" s="287">
        <f t="shared" si="21"/>
        <v>69885683.524763763</v>
      </c>
      <c r="T88" s="50">
        <f t="shared" si="14"/>
        <v>1447781.524763763</v>
      </c>
      <c r="U88" s="103">
        <f t="shared" si="15"/>
        <v>2.1154674273383817E-2</v>
      </c>
      <c r="V88" s="13">
        <f t="shared" si="16"/>
        <v>2.1154674273383817E-2</v>
      </c>
      <c r="W88" s="338"/>
      <c r="X88" s="13"/>
    </row>
    <row r="89" spans="1:42" x14ac:dyDescent="0.25">
      <c r="A89" s="167">
        <f t="shared" si="22"/>
        <v>40268</v>
      </c>
      <c r="B89" s="170">
        <v>63113132</v>
      </c>
      <c r="C89" s="288">
        <f>'CDM Activity'!H71</f>
        <v>682791.63872007956</v>
      </c>
      <c r="D89" s="402">
        <f t="shared" ref="D89:D98" si="24">D88</f>
        <v>1.0445204387280596</v>
      </c>
      <c r="E89" s="171">
        <f t="shared" si="17"/>
        <v>713189.82203574828</v>
      </c>
      <c r="F89" s="171">
        <f t="shared" si="18"/>
        <v>63826321.822035745</v>
      </c>
      <c r="G89" s="222">
        <f>'Weather Analysis '!Q10</f>
        <v>510.8</v>
      </c>
      <c r="H89" s="222">
        <f>+'Weather Analysis '!Q30</f>
        <v>0</v>
      </c>
      <c r="I89" s="169">
        <v>1</v>
      </c>
      <c r="J89" s="169">
        <v>31</v>
      </c>
      <c r="K89" s="287">
        <v>87</v>
      </c>
      <c r="L89" s="288">
        <v>32936</v>
      </c>
      <c r="M89" s="289">
        <v>135.46439060544563</v>
      </c>
      <c r="N89" s="292">
        <v>368</v>
      </c>
      <c r="O89" s="169">
        <v>179.9</v>
      </c>
      <c r="P89" s="291">
        <v>21.6</v>
      </c>
      <c r="Q89" s="287">
        <f t="shared" si="19"/>
        <v>65142535.098922789</v>
      </c>
      <c r="R89" s="291">
        <f t="shared" si="20"/>
        <v>713189.82203574828</v>
      </c>
      <c r="S89" s="287">
        <f t="shared" si="21"/>
        <v>65142535.098922789</v>
      </c>
      <c r="T89" s="50">
        <f t="shared" si="14"/>
        <v>2029403.0989227891</v>
      </c>
      <c r="U89" s="103">
        <f t="shared" si="15"/>
        <v>3.2155005378639571E-2</v>
      </c>
      <c r="V89" s="13">
        <f t="shared" si="16"/>
        <v>3.2155005378639571E-2</v>
      </c>
      <c r="W89" s="338"/>
      <c r="X89" s="13"/>
    </row>
    <row r="90" spans="1:42" x14ac:dyDescent="0.25">
      <c r="A90" s="167">
        <f t="shared" si="22"/>
        <v>40298</v>
      </c>
      <c r="B90" s="170">
        <v>53091250</v>
      </c>
      <c r="C90" s="288">
        <f>'CDM Activity'!H72</f>
        <v>655119.30369991565</v>
      </c>
      <c r="D90" s="402">
        <f t="shared" si="24"/>
        <v>1.0445204387280596</v>
      </c>
      <c r="E90" s="171">
        <f t="shared" si="17"/>
        <v>684285.50251985679</v>
      </c>
      <c r="F90" s="171">
        <f t="shared" si="18"/>
        <v>53775535.502519853</v>
      </c>
      <c r="G90" s="222">
        <f>'Weather Analysis '!Q11</f>
        <v>327.8</v>
      </c>
      <c r="H90" s="222">
        <f>+'Weather Analysis '!Q31</f>
        <v>0.2</v>
      </c>
      <c r="I90" s="169">
        <v>1</v>
      </c>
      <c r="J90" s="169">
        <v>30</v>
      </c>
      <c r="K90" s="287">
        <v>88</v>
      </c>
      <c r="L90" s="288">
        <v>32921</v>
      </c>
      <c r="M90" s="289">
        <v>135.83139921454512</v>
      </c>
      <c r="N90" s="292">
        <v>320</v>
      </c>
      <c r="O90" s="169">
        <v>183.3</v>
      </c>
      <c r="P90" s="291">
        <v>19.8</v>
      </c>
      <c r="Q90" s="287">
        <f t="shared" si="19"/>
        <v>56075547.042857468</v>
      </c>
      <c r="R90" s="291">
        <f t="shared" si="20"/>
        <v>684285.50251985679</v>
      </c>
      <c r="S90" s="287">
        <f t="shared" si="21"/>
        <v>56075547.042857468</v>
      </c>
      <c r="T90" s="50">
        <f t="shared" si="14"/>
        <v>2984297.0428574681</v>
      </c>
      <c r="U90" s="103">
        <f t="shared" si="15"/>
        <v>5.6210713495302295E-2</v>
      </c>
      <c r="V90" s="13">
        <f t="shared" si="16"/>
        <v>5.6210713495302295E-2</v>
      </c>
      <c r="W90" s="338"/>
      <c r="X90" s="13"/>
    </row>
    <row r="91" spans="1:42" x14ac:dyDescent="0.25">
      <c r="A91" s="167">
        <f t="shared" si="22"/>
        <v>40329</v>
      </c>
      <c r="B91" s="170">
        <v>51133107</v>
      </c>
      <c r="C91" s="288">
        <f>'CDM Activity'!H73</f>
        <v>627446.96867975174</v>
      </c>
      <c r="D91" s="402">
        <f t="shared" si="24"/>
        <v>1.0445204387280596</v>
      </c>
      <c r="E91" s="171">
        <f t="shared" si="17"/>
        <v>655381.1830039653</v>
      </c>
      <c r="F91" s="171">
        <f t="shared" si="18"/>
        <v>51788488.183003962</v>
      </c>
      <c r="G91" s="222">
        <f>'Weather Analysis '!Q12</f>
        <v>168</v>
      </c>
      <c r="H91" s="222">
        <f>+'Weather Analysis '!Q32</f>
        <v>19</v>
      </c>
      <c r="I91" s="169">
        <v>1</v>
      </c>
      <c r="J91" s="169">
        <v>31</v>
      </c>
      <c r="K91" s="287">
        <v>89</v>
      </c>
      <c r="L91" s="288">
        <v>32906</v>
      </c>
      <c r="M91" s="289">
        <v>136.19940214634852</v>
      </c>
      <c r="N91" s="292">
        <v>320</v>
      </c>
      <c r="O91" s="169">
        <v>186.1</v>
      </c>
      <c r="P91" s="291">
        <v>19.8</v>
      </c>
      <c r="Q91" s="287">
        <f t="shared" si="19"/>
        <v>53042073.62062636</v>
      </c>
      <c r="R91" s="291">
        <f t="shared" si="20"/>
        <v>655381.1830039653</v>
      </c>
      <c r="S91" s="287">
        <f t="shared" si="21"/>
        <v>53042073.62062636</v>
      </c>
      <c r="T91" s="50">
        <f t="shared" si="14"/>
        <v>1908966.6206263602</v>
      </c>
      <c r="U91" s="103">
        <f t="shared" si="15"/>
        <v>3.7333280385765728E-2</v>
      </c>
      <c r="V91" s="13">
        <f t="shared" si="16"/>
        <v>3.7333280385765728E-2</v>
      </c>
      <c r="W91" s="338"/>
      <c r="X91" s="13"/>
    </row>
    <row r="92" spans="1:42" x14ac:dyDescent="0.25">
      <c r="A92" s="167">
        <f t="shared" si="22"/>
        <v>40359</v>
      </c>
      <c r="B92" s="170">
        <v>47900766</v>
      </c>
      <c r="C92" s="288">
        <f>'CDM Activity'!H74</f>
        <v>599774.63365958782</v>
      </c>
      <c r="D92" s="402">
        <f t="shared" si="24"/>
        <v>1.0445204387280596</v>
      </c>
      <c r="E92" s="171">
        <f t="shared" si="17"/>
        <v>626476.86348807381</v>
      </c>
      <c r="F92" s="171">
        <f t="shared" si="18"/>
        <v>48527242.863488071</v>
      </c>
      <c r="G92" s="222">
        <f>'Weather Analysis '!Q13</f>
        <v>87.8</v>
      </c>
      <c r="H92" s="222">
        <f>+'Weather Analysis '!Q33</f>
        <v>5.3</v>
      </c>
      <c r="I92" s="169">
        <v>0</v>
      </c>
      <c r="J92" s="169">
        <v>30</v>
      </c>
      <c r="K92" s="287">
        <v>90</v>
      </c>
      <c r="L92" s="288">
        <v>32935</v>
      </c>
      <c r="M92" s="289">
        <v>136.56840209473719</v>
      </c>
      <c r="N92" s="292">
        <v>352</v>
      </c>
      <c r="O92" s="169">
        <v>189.4</v>
      </c>
      <c r="P92" s="291">
        <v>20</v>
      </c>
      <c r="Q92" s="287">
        <f t="shared" si="19"/>
        <v>49966797.683217376</v>
      </c>
      <c r="R92" s="291">
        <f t="shared" si="20"/>
        <v>626476.86348807381</v>
      </c>
      <c r="S92" s="287">
        <f t="shared" si="21"/>
        <v>49966797.683217376</v>
      </c>
      <c r="T92" s="50">
        <f t="shared" si="14"/>
        <v>2066031.6832173765</v>
      </c>
      <c r="U92" s="103">
        <f t="shared" si="15"/>
        <v>4.3131495709638056E-2</v>
      </c>
      <c r="V92" s="13">
        <f t="shared" si="16"/>
        <v>4.3131495709638056E-2</v>
      </c>
      <c r="W92" s="338"/>
      <c r="X92" s="13"/>
    </row>
    <row r="93" spans="1:42" x14ac:dyDescent="0.25">
      <c r="A93" s="167">
        <f t="shared" si="22"/>
        <v>40390</v>
      </c>
      <c r="B93" s="170">
        <v>53067071</v>
      </c>
      <c r="C93" s="288">
        <f>'CDM Activity'!H75</f>
        <v>572102.29863942391</v>
      </c>
      <c r="D93" s="402">
        <f t="shared" si="24"/>
        <v>1.0445204387280596</v>
      </c>
      <c r="E93" s="171">
        <f t="shared" si="17"/>
        <v>597572.54397218244</v>
      </c>
      <c r="F93" s="171">
        <f t="shared" si="18"/>
        <v>53664643.543972179</v>
      </c>
      <c r="G93" s="222">
        <f>'Weather Analysis '!Q14</f>
        <v>6.7</v>
      </c>
      <c r="H93" s="222">
        <f>+'Weather Analysis '!Q34</f>
        <v>58.5</v>
      </c>
      <c r="I93" s="169">
        <v>0</v>
      </c>
      <c r="J93" s="169">
        <v>31</v>
      </c>
      <c r="K93" s="287">
        <v>91</v>
      </c>
      <c r="L93" s="288">
        <v>32948</v>
      </c>
      <c r="M93" s="289">
        <v>136.93840176089088</v>
      </c>
      <c r="N93" s="292">
        <v>336</v>
      </c>
      <c r="O93" s="169">
        <v>191.6</v>
      </c>
      <c r="P93" s="291">
        <v>22.1</v>
      </c>
      <c r="Q93" s="287">
        <f t="shared" si="19"/>
        <v>53085793.627783895</v>
      </c>
      <c r="R93" s="291">
        <f t="shared" si="20"/>
        <v>597572.54397218244</v>
      </c>
      <c r="S93" s="287">
        <f t="shared" si="21"/>
        <v>53085793.627783895</v>
      </c>
      <c r="T93" s="50">
        <f t="shared" si="14"/>
        <v>18722.627783894539</v>
      </c>
      <c r="U93" s="103">
        <f t="shared" si="15"/>
        <v>3.5281064944953414E-4</v>
      </c>
      <c r="V93" s="13">
        <f t="shared" si="16"/>
        <v>3.5281064944953414E-4</v>
      </c>
      <c r="W93" s="338"/>
      <c r="X93" s="13"/>
    </row>
    <row r="94" spans="1:42" x14ac:dyDescent="0.25">
      <c r="A94" s="167">
        <f t="shared" si="22"/>
        <v>40421</v>
      </c>
      <c r="B94" s="170">
        <v>53169361</v>
      </c>
      <c r="C94" s="288">
        <f>'CDM Activity'!H76</f>
        <v>544429.96361926</v>
      </c>
      <c r="D94" s="402">
        <f t="shared" si="24"/>
        <v>1.0445204387280596</v>
      </c>
      <c r="E94" s="171">
        <f t="shared" si="17"/>
        <v>568668.22445629095</v>
      </c>
      <c r="F94" s="171">
        <f t="shared" si="18"/>
        <v>53738029.224456288</v>
      </c>
      <c r="G94" s="222">
        <f>'Weather Analysis '!Q15</f>
        <v>32.700000000000003</v>
      </c>
      <c r="H94" s="222">
        <f>+'Weather Analysis '!Q35</f>
        <v>78.599999999999994</v>
      </c>
      <c r="I94" s="169">
        <v>0</v>
      </c>
      <c r="J94" s="169">
        <v>31</v>
      </c>
      <c r="K94" s="287">
        <v>92</v>
      </c>
      <c r="L94" s="288">
        <v>32962</v>
      </c>
      <c r="M94" s="289">
        <v>137.30940385330757</v>
      </c>
      <c r="N94" s="292">
        <v>336</v>
      </c>
      <c r="O94" s="169">
        <v>192.4</v>
      </c>
      <c r="P94" s="291">
        <v>23.1</v>
      </c>
      <c r="Q94" s="287">
        <f t="shared" si="19"/>
        <v>55813908.698174149</v>
      </c>
      <c r="R94" s="291">
        <f t="shared" si="20"/>
        <v>568668.22445629095</v>
      </c>
      <c r="S94" s="287">
        <f t="shared" si="21"/>
        <v>55813908.698174149</v>
      </c>
      <c r="T94" s="50">
        <f t="shared" si="14"/>
        <v>2644547.6981741488</v>
      </c>
      <c r="U94" s="103">
        <f t="shared" si="15"/>
        <v>4.9738188468621033E-2</v>
      </c>
      <c r="V94" s="13">
        <f t="shared" si="16"/>
        <v>4.9738188468621033E-2</v>
      </c>
      <c r="W94" s="338"/>
      <c r="X94" s="13"/>
    </row>
    <row r="95" spans="1:42" x14ac:dyDescent="0.25">
      <c r="A95" s="167">
        <f t="shared" si="22"/>
        <v>40451</v>
      </c>
      <c r="B95" s="170">
        <v>48479950</v>
      </c>
      <c r="C95" s="288">
        <f>'CDM Activity'!H77</f>
        <v>516757.62859909603</v>
      </c>
      <c r="D95" s="402">
        <f t="shared" si="24"/>
        <v>1.0445204387280596</v>
      </c>
      <c r="E95" s="171">
        <f t="shared" si="17"/>
        <v>539763.90494039946</v>
      </c>
      <c r="F95" s="171">
        <f t="shared" si="18"/>
        <v>49019713.904940397</v>
      </c>
      <c r="G95" s="222">
        <f>'Weather Analysis '!Q16</f>
        <v>171.8</v>
      </c>
      <c r="H95" s="222">
        <f>+'Weather Analysis '!Q36</f>
        <v>0</v>
      </c>
      <c r="I95" s="169">
        <v>1</v>
      </c>
      <c r="J95" s="169">
        <v>30</v>
      </c>
      <c r="K95" s="287">
        <v>93</v>
      </c>
      <c r="L95" s="288">
        <v>32989</v>
      </c>
      <c r="M95" s="289">
        <v>137.68141108782325</v>
      </c>
      <c r="N95" s="292">
        <v>336</v>
      </c>
      <c r="O95" s="169">
        <v>192.5</v>
      </c>
      <c r="P95" s="291">
        <v>23.5</v>
      </c>
      <c r="Q95" s="287">
        <f t="shared" si="19"/>
        <v>50031565.881542504</v>
      </c>
      <c r="R95" s="291">
        <f t="shared" si="20"/>
        <v>539763.90494039946</v>
      </c>
      <c r="S95" s="287">
        <f t="shared" si="21"/>
        <v>50031565.881542504</v>
      </c>
      <c r="T95" s="50">
        <f t="shared" si="14"/>
        <v>1551615.8815425038</v>
      </c>
      <c r="U95" s="103">
        <f t="shared" si="15"/>
        <v>3.2005311093400546E-2</v>
      </c>
      <c r="V95" s="13">
        <f t="shared" si="16"/>
        <v>3.2005311093400546E-2</v>
      </c>
      <c r="W95" s="338"/>
      <c r="X95" s="13"/>
    </row>
    <row r="96" spans="1:42" x14ac:dyDescent="0.25">
      <c r="A96" s="167">
        <f t="shared" si="22"/>
        <v>40482</v>
      </c>
      <c r="B96" s="170">
        <v>54414298</v>
      </c>
      <c r="C96" s="288">
        <f>'CDM Activity'!H78</f>
        <v>489085.29357893206</v>
      </c>
      <c r="D96" s="402">
        <f t="shared" si="24"/>
        <v>1.0445204387280596</v>
      </c>
      <c r="E96" s="171">
        <f t="shared" si="17"/>
        <v>510859.58542450791</v>
      </c>
      <c r="F96" s="171">
        <f t="shared" si="18"/>
        <v>54925157.585424505</v>
      </c>
      <c r="G96" s="222">
        <f>'Weather Analysis '!Q17</f>
        <v>315.5</v>
      </c>
      <c r="H96" s="222">
        <f>+'Weather Analysis '!Q37</f>
        <v>0</v>
      </c>
      <c r="I96" s="169">
        <v>1</v>
      </c>
      <c r="J96" s="169">
        <v>31</v>
      </c>
      <c r="K96" s="287">
        <v>94</v>
      </c>
      <c r="L96" s="288">
        <v>33019</v>
      </c>
      <c r="M96" s="289">
        <v>138.0544261876318</v>
      </c>
      <c r="N96" s="292">
        <v>320</v>
      </c>
      <c r="O96" s="169">
        <v>192.2</v>
      </c>
      <c r="P96" s="291">
        <v>22.1</v>
      </c>
      <c r="Q96" s="287">
        <f t="shared" si="19"/>
        <v>57530310.944909215</v>
      </c>
      <c r="R96" s="291">
        <f t="shared" si="20"/>
        <v>510859.58542450791</v>
      </c>
      <c r="S96" s="287">
        <f t="shared" si="21"/>
        <v>57530310.944909215</v>
      </c>
      <c r="T96" s="50">
        <f t="shared" si="14"/>
        <v>3116012.944909215</v>
      </c>
      <c r="U96" s="103">
        <f t="shared" si="15"/>
        <v>5.7264598817561053E-2</v>
      </c>
      <c r="V96" s="13">
        <f t="shared" si="16"/>
        <v>5.7264598817561053E-2</v>
      </c>
      <c r="W96" s="338"/>
      <c r="X96" s="13"/>
      <c r="AF96" s="59"/>
    </row>
    <row r="97" spans="1:32" x14ac:dyDescent="0.25">
      <c r="A97" s="167">
        <f t="shared" si="22"/>
        <v>40512</v>
      </c>
      <c r="B97" s="170">
        <v>63109939</v>
      </c>
      <c r="C97" s="288">
        <f>'CDM Activity'!H79</f>
        <v>461412.95855876809</v>
      </c>
      <c r="D97" s="402">
        <f t="shared" si="24"/>
        <v>1.0445204387280596</v>
      </c>
      <c r="E97" s="171">
        <f t="shared" si="17"/>
        <v>481955.26590861642</v>
      </c>
      <c r="F97" s="171">
        <f t="shared" si="18"/>
        <v>63591894.265908614</v>
      </c>
      <c r="G97" s="222">
        <f>'Weather Analysis '!Q18</f>
        <v>476</v>
      </c>
      <c r="H97" s="222">
        <f>+'Weather Analysis '!Q38</f>
        <v>0</v>
      </c>
      <c r="I97" s="169">
        <v>1</v>
      </c>
      <c r="J97" s="169">
        <v>30</v>
      </c>
      <c r="K97" s="287">
        <v>95</v>
      </c>
      <c r="L97" s="288">
        <v>33077</v>
      </c>
      <c r="M97" s="289">
        <v>138.42845188330503</v>
      </c>
      <c r="N97" s="292">
        <v>336</v>
      </c>
      <c r="O97" s="169">
        <v>192.2</v>
      </c>
      <c r="P97" s="291">
        <v>20.399999999999999</v>
      </c>
      <c r="Q97" s="287">
        <f t="shared" si="19"/>
        <v>62302317.660450608</v>
      </c>
      <c r="R97" s="291">
        <f t="shared" si="20"/>
        <v>481955.26590861642</v>
      </c>
      <c r="S97" s="287">
        <f t="shared" si="21"/>
        <v>62302317.660450608</v>
      </c>
      <c r="T97" s="50">
        <f t="shared" si="14"/>
        <v>-807621.33954939246</v>
      </c>
      <c r="U97" s="103">
        <f t="shared" si="15"/>
        <v>-1.2797054669144783E-2</v>
      </c>
      <c r="V97" s="13">
        <f t="shared" si="16"/>
        <v>1.2797054669144783E-2</v>
      </c>
      <c r="W97" s="338"/>
      <c r="X97" s="13"/>
      <c r="AF97" s="59"/>
    </row>
    <row r="98" spans="1:32" x14ac:dyDescent="0.25">
      <c r="A98" s="167">
        <f t="shared" si="22"/>
        <v>40543</v>
      </c>
      <c r="B98" s="170">
        <v>78427591</v>
      </c>
      <c r="C98" s="288">
        <f>'CDM Activity'!H80</f>
        <v>433740.62353860412</v>
      </c>
      <c r="D98" s="402">
        <f t="shared" si="24"/>
        <v>1.0445204387280596</v>
      </c>
      <c r="E98" s="171">
        <f t="shared" si="17"/>
        <v>453050.94639272487</v>
      </c>
      <c r="F98" s="171">
        <f t="shared" si="18"/>
        <v>78880641.94639273</v>
      </c>
      <c r="G98" s="222">
        <f>'Weather Analysis '!Q19</f>
        <v>770.2</v>
      </c>
      <c r="H98" s="222">
        <f>+'Weather Analysis '!Q39</f>
        <v>0</v>
      </c>
      <c r="I98" s="169">
        <v>0</v>
      </c>
      <c r="J98" s="169">
        <v>31</v>
      </c>
      <c r="K98" s="287">
        <v>96</v>
      </c>
      <c r="L98" s="288">
        <v>33118</v>
      </c>
      <c r="M98" s="289">
        <v>138.80349091281266</v>
      </c>
      <c r="N98" s="292">
        <v>368</v>
      </c>
      <c r="O98" s="169">
        <v>191</v>
      </c>
      <c r="P98" s="291">
        <v>18.3</v>
      </c>
      <c r="Q98" s="287">
        <f t="shared" si="19"/>
        <v>78624353.910803974</v>
      </c>
      <c r="R98" s="291">
        <f t="shared" si="20"/>
        <v>453050.94639272487</v>
      </c>
      <c r="S98" s="287">
        <f t="shared" si="21"/>
        <v>78624353.910803974</v>
      </c>
      <c r="T98" s="50">
        <f t="shared" si="14"/>
        <v>196762.91080397367</v>
      </c>
      <c r="U98" s="103">
        <f t="shared" si="15"/>
        <v>2.5088480762334481E-3</v>
      </c>
      <c r="V98" s="13">
        <f t="shared" si="16"/>
        <v>2.5088480762334481E-3</v>
      </c>
      <c r="W98" s="338"/>
      <c r="X98" s="13"/>
      <c r="AF98" s="59"/>
    </row>
    <row r="99" spans="1:32" x14ac:dyDescent="0.25">
      <c r="A99" s="167">
        <f>EOMONTH(A98,1)</f>
        <v>40574</v>
      </c>
      <c r="B99" s="170">
        <v>83643833</v>
      </c>
      <c r="C99" s="288">
        <f>'CDM Activity'!H81</f>
        <v>481551.78829860594</v>
      </c>
      <c r="D99" s="402">
        <f>'Rate Class Energy Model'!F20</f>
        <v>1.0465217405234657</v>
      </c>
      <c r="E99" s="171">
        <f t="shared" si="17"/>
        <v>503954.41564244457</v>
      </c>
      <c r="F99" s="171">
        <f t="shared" si="18"/>
        <v>84147787.41564244</v>
      </c>
      <c r="G99" s="222">
        <f>'Weather Analysis '!R8</f>
        <v>935</v>
      </c>
      <c r="H99" s="222">
        <f>+'Weather Analysis '!R28</f>
        <v>0</v>
      </c>
      <c r="I99" s="169">
        <v>0</v>
      </c>
      <c r="J99" s="169">
        <v>31</v>
      </c>
      <c r="K99" s="287">
        <v>97</v>
      </c>
      <c r="L99" s="288">
        <v>33040</v>
      </c>
      <c r="M99" s="289">
        <v>139.10070640604135</v>
      </c>
      <c r="N99" s="292">
        <v>336</v>
      </c>
      <c r="O99" s="169">
        <v>189.3</v>
      </c>
      <c r="P99" s="291">
        <v>17.399999999999999</v>
      </c>
      <c r="Q99" s="287">
        <f t="shared" si="19"/>
        <v>84498607.312844232</v>
      </c>
      <c r="R99" s="291">
        <f t="shared" si="20"/>
        <v>503954.41564244457</v>
      </c>
      <c r="S99" s="287">
        <f t="shared" si="21"/>
        <v>84498607.312844232</v>
      </c>
      <c r="T99" s="50">
        <f t="shared" ref="T99:T130" si="25">S99-B99</f>
        <v>854774.31284423172</v>
      </c>
      <c r="U99" s="103">
        <f t="shared" ref="U99:U130" si="26">T99/B99</f>
        <v>1.0219214999917946E-2</v>
      </c>
      <c r="V99" s="13">
        <f t="shared" si="16"/>
        <v>1.0219214999917946E-2</v>
      </c>
      <c r="W99" s="338"/>
      <c r="X99" s="13"/>
      <c r="AF99" s="59"/>
    </row>
    <row r="100" spans="1:32" x14ac:dyDescent="0.25">
      <c r="A100" s="167">
        <f t="shared" si="22"/>
        <v>40602</v>
      </c>
      <c r="B100" s="170">
        <v>72687185</v>
      </c>
      <c r="C100" s="288">
        <f>'CDM Activity'!H82</f>
        <v>529362.95305860776</v>
      </c>
      <c r="D100" s="402">
        <f>D99</f>
        <v>1.0465217405234657</v>
      </c>
      <c r="E100" s="171">
        <f t="shared" si="17"/>
        <v>553989.8390035358</v>
      </c>
      <c r="F100" s="171">
        <f t="shared" si="18"/>
        <v>73241174.839003533</v>
      </c>
      <c r="G100" s="222">
        <f>'Weather Analysis '!R9</f>
        <v>732.3</v>
      </c>
      <c r="H100" s="222">
        <f>+'Weather Analysis '!R29</f>
        <v>0</v>
      </c>
      <c r="I100" s="169">
        <v>0</v>
      </c>
      <c r="J100" s="169">
        <v>28</v>
      </c>
      <c r="K100" s="287">
        <v>98</v>
      </c>
      <c r="L100" s="288">
        <v>33045</v>
      </c>
      <c r="M100" s="289">
        <v>139.39855831733732</v>
      </c>
      <c r="N100" s="292">
        <v>304</v>
      </c>
      <c r="O100" s="169">
        <v>185.4</v>
      </c>
      <c r="P100" s="291">
        <v>17.600000000000001</v>
      </c>
      <c r="Q100" s="287">
        <f t="shared" si="19"/>
        <v>71214150.738937959</v>
      </c>
      <c r="R100" s="291">
        <f t="shared" si="20"/>
        <v>553989.8390035358</v>
      </c>
      <c r="S100" s="287">
        <f t="shared" ref="S100:S131" si="27">+$Z$43+G100*$Z$44+H100*$Z$45+I100*$Z$46+J100*$Z$47+K100*$Z$48+ L100*$Z$49</f>
        <v>71214150.738937959</v>
      </c>
      <c r="T100" s="50">
        <f t="shared" si="25"/>
        <v>-1473034.2610620409</v>
      </c>
      <c r="U100" s="103">
        <f t="shared" si="26"/>
        <v>-2.0265391500056591E-2</v>
      </c>
      <c r="V100" s="13">
        <f t="shared" si="16"/>
        <v>2.0265391500056591E-2</v>
      </c>
      <c r="W100" s="338"/>
      <c r="X100" s="13"/>
      <c r="AF100" s="59"/>
    </row>
    <row r="101" spans="1:32" x14ac:dyDescent="0.25">
      <c r="A101" s="167">
        <f t="shared" si="22"/>
        <v>40633</v>
      </c>
      <c r="B101" s="170">
        <v>72688244</v>
      </c>
      <c r="C101" s="288">
        <f>'CDM Activity'!H83</f>
        <v>577174.11781860958</v>
      </c>
      <c r="D101" s="402">
        <f t="shared" ref="D101:D110" si="28">D100</f>
        <v>1.0465217405234657</v>
      </c>
      <c r="E101" s="171">
        <f t="shared" si="17"/>
        <v>604025.26236462709</v>
      </c>
      <c r="F101" s="171">
        <f t="shared" si="18"/>
        <v>73292269.262364626</v>
      </c>
      <c r="G101" s="222">
        <f>'Weather Analysis '!R10</f>
        <v>699.2</v>
      </c>
      <c r="H101" s="222">
        <f>+'Weather Analysis '!R30</f>
        <v>0</v>
      </c>
      <c r="I101" s="169">
        <v>1</v>
      </c>
      <c r="J101" s="169">
        <v>31</v>
      </c>
      <c r="K101" s="287">
        <v>99</v>
      </c>
      <c r="L101" s="288">
        <v>33047</v>
      </c>
      <c r="M101" s="289">
        <v>139.69704800944226</v>
      </c>
      <c r="N101" s="292">
        <v>368</v>
      </c>
      <c r="O101" s="169">
        <v>182.9</v>
      </c>
      <c r="P101" s="291">
        <v>18.399999999999999</v>
      </c>
      <c r="Q101" s="287">
        <f t="shared" si="19"/>
        <v>72313883.455253497</v>
      </c>
      <c r="R101" s="291">
        <f t="shared" si="20"/>
        <v>604025.26236462709</v>
      </c>
      <c r="S101" s="287">
        <f t="shared" si="27"/>
        <v>72313883.455253497</v>
      </c>
      <c r="T101" s="50">
        <f t="shared" si="25"/>
        <v>-374360.54474650323</v>
      </c>
      <c r="U101" s="103">
        <f t="shared" si="26"/>
        <v>-5.1502213307904818E-3</v>
      </c>
      <c r="V101" s="13">
        <f t="shared" si="16"/>
        <v>5.1502213307904818E-3</v>
      </c>
      <c r="W101" s="338"/>
      <c r="X101" s="13"/>
      <c r="AF101" s="59"/>
    </row>
    <row r="102" spans="1:32" x14ac:dyDescent="0.25">
      <c r="A102" s="167">
        <f t="shared" si="22"/>
        <v>40663</v>
      </c>
      <c r="B102" s="170">
        <v>60902854</v>
      </c>
      <c r="C102" s="288">
        <f>'CDM Activity'!H84</f>
        <v>624985.2825786114</v>
      </c>
      <c r="D102" s="402">
        <f t="shared" si="28"/>
        <v>1.0465217405234657</v>
      </c>
      <c r="E102" s="171">
        <f t="shared" si="17"/>
        <v>654060.68572571839</v>
      </c>
      <c r="F102" s="171">
        <f t="shared" si="18"/>
        <v>61556914.685725719</v>
      </c>
      <c r="G102" s="222">
        <f>'Weather Analysis '!R11</f>
        <v>444.6</v>
      </c>
      <c r="H102" s="222">
        <f>+'Weather Analysis '!R31</f>
        <v>0</v>
      </c>
      <c r="I102" s="169">
        <v>1</v>
      </c>
      <c r="J102" s="169">
        <v>30</v>
      </c>
      <c r="K102" s="287">
        <v>100</v>
      </c>
      <c r="L102" s="288">
        <v>33047</v>
      </c>
      <c r="M102" s="289">
        <v>139.99617684801592</v>
      </c>
      <c r="N102" s="292">
        <v>320</v>
      </c>
      <c r="O102" s="169">
        <v>182.2</v>
      </c>
      <c r="P102" s="291">
        <v>19.899999999999999</v>
      </c>
      <c r="Q102" s="287">
        <f t="shared" si="19"/>
        <v>60529237.130161494</v>
      </c>
      <c r="R102" s="291">
        <f t="shared" si="20"/>
        <v>654060.68572571839</v>
      </c>
      <c r="S102" s="287">
        <f t="shared" si="27"/>
        <v>60529237.130161494</v>
      </c>
      <c r="T102" s="50">
        <f t="shared" si="25"/>
        <v>-373616.86983850598</v>
      </c>
      <c r="U102" s="103">
        <f t="shared" si="26"/>
        <v>-6.1346364792445682E-3</v>
      </c>
      <c r="V102" s="13">
        <f t="shared" si="16"/>
        <v>6.1346364792445682E-3</v>
      </c>
      <c r="W102" s="338"/>
      <c r="X102" s="13"/>
      <c r="AF102" s="59"/>
    </row>
    <row r="103" spans="1:32" x14ac:dyDescent="0.25">
      <c r="A103" s="167">
        <f t="shared" si="22"/>
        <v>40694</v>
      </c>
      <c r="B103" s="170">
        <v>52597908</v>
      </c>
      <c r="C103" s="288">
        <f>'CDM Activity'!H85</f>
        <v>672796.44733861322</v>
      </c>
      <c r="D103" s="402">
        <f t="shared" si="28"/>
        <v>1.0465217405234657</v>
      </c>
      <c r="E103" s="171">
        <f t="shared" si="17"/>
        <v>704096.10908680968</v>
      </c>
      <c r="F103" s="171">
        <f t="shared" si="18"/>
        <v>53302004.109086812</v>
      </c>
      <c r="G103" s="222">
        <f>'Weather Analysis '!R12</f>
        <v>221.9</v>
      </c>
      <c r="H103" s="222">
        <f>+'Weather Analysis '!R32</f>
        <v>3.2</v>
      </c>
      <c r="I103" s="169">
        <v>1</v>
      </c>
      <c r="J103" s="169">
        <v>31</v>
      </c>
      <c r="K103" s="287">
        <v>101</v>
      </c>
      <c r="L103" s="288">
        <v>33046</v>
      </c>
      <c r="M103" s="289">
        <v>140.29594620164227</v>
      </c>
      <c r="N103" s="292">
        <v>336</v>
      </c>
      <c r="O103" s="169">
        <v>186.5</v>
      </c>
      <c r="P103" s="291">
        <v>20.2</v>
      </c>
      <c r="Q103" s="287">
        <f t="shared" si="19"/>
        <v>53809540.394635975</v>
      </c>
      <c r="R103" s="291">
        <f t="shared" si="20"/>
        <v>704096.10908680968</v>
      </c>
      <c r="S103" s="287">
        <f t="shared" si="27"/>
        <v>53809540.394635975</v>
      </c>
      <c r="T103" s="50">
        <f t="shared" si="25"/>
        <v>1211632.3946359754</v>
      </c>
      <c r="U103" s="103">
        <f t="shared" si="26"/>
        <v>2.3035752574721704E-2</v>
      </c>
      <c r="V103" s="13">
        <f t="shared" si="16"/>
        <v>2.3035752574721704E-2</v>
      </c>
      <c r="W103" s="338"/>
      <c r="X103" s="13"/>
      <c r="AF103" s="59"/>
    </row>
    <row r="104" spans="1:32" x14ac:dyDescent="0.25">
      <c r="A104" s="167">
        <f t="shared" si="22"/>
        <v>40724</v>
      </c>
      <c r="B104" s="170">
        <v>48777799</v>
      </c>
      <c r="C104" s="288">
        <f>'CDM Activity'!H86</f>
        <v>720607.61209861503</v>
      </c>
      <c r="D104" s="402">
        <f t="shared" si="28"/>
        <v>1.0465217405234657</v>
      </c>
      <c r="E104" s="171">
        <f t="shared" si="17"/>
        <v>754131.53244790097</v>
      </c>
      <c r="F104" s="171">
        <f t="shared" si="18"/>
        <v>49531930.532447904</v>
      </c>
      <c r="G104" s="222">
        <f>'Weather Analysis '!R13</f>
        <v>99.4</v>
      </c>
      <c r="H104" s="222">
        <f>+'Weather Analysis '!R33</f>
        <v>2.7</v>
      </c>
      <c r="I104" s="169">
        <v>0</v>
      </c>
      <c r="J104" s="169">
        <v>30</v>
      </c>
      <c r="K104" s="287">
        <v>102</v>
      </c>
      <c r="L104" s="288">
        <v>33056</v>
      </c>
      <c r="M104" s="289">
        <v>140.59635744183578</v>
      </c>
      <c r="N104" s="292">
        <v>352</v>
      </c>
      <c r="O104" s="169">
        <v>193</v>
      </c>
      <c r="P104" s="291">
        <v>19.3</v>
      </c>
      <c r="Q104" s="287">
        <f t="shared" si="19"/>
        <v>50081760.068707258</v>
      </c>
      <c r="R104" s="291">
        <f t="shared" si="20"/>
        <v>754131.53244790097</v>
      </c>
      <c r="S104" s="287">
        <f t="shared" si="27"/>
        <v>50081760.068707258</v>
      </c>
      <c r="T104" s="50">
        <f t="shared" si="25"/>
        <v>1303961.0687072575</v>
      </c>
      <c r="U104" s="103">
        <f t="shared" si="26"/>
        <v>2.6732675426934648E-2</v>
      </c>
      <c r="V104" s="13">
        <f t="shared" si="16"/>
        <v>2.6732675426934648E-2</v>
      </c>
      <c r="W104" s="338"/>
      <c r="X104" s="13"/>
      <c r="AF104" s="59"/>
    </row>
    <row r="105" spans="1:32" x14ac:dyDescent="0.25">
      <c r="A105" s="167">
        <f t="shared" si="22"/>
        <v>40755</v>
      </c>
      <c r="B105" s="170">
        <v>54638457</v>
      </c>
      <c r="C105" s="288">
        <f>'CDM Activity'!H87</f>
        <v>768418.77685861685</v>
      </c>
      <c r="D105" s="402">
        <f t="shared" si="28"/>
        <v>1.0465217405234657</v>
      </c>
      <c r="E105" s="171">
        <f t="shared" si="17"/>
        <v>804166.95580899226</v>
      </c>
      <c r="F105" s="171">
        <f t="shared" si="18"/>
        <v>55442623.95580899</v>
      </c>
      <c r="G105" s="222">
        <f>'Weather Analysis '!R14</f>
        <v>14</v>
      </c>
      <c r="H105" s="222">
        <f>+'Weather Analysis '!R34</f>
        <v>73.599999999999994</v>
      </c>
      <c r="I105" s="169">
        <v>0</v>
      </c>
      <c r="J105" s="169">
        <v>31</v>
      </c>
      <c r="K105" s="287">
        <v>103</v>
      </c>
      <c r="L105" s="288">
        <v>33071</v>
      </c>
      <c r="M105" s="289">
        <v>140.89741194304773</v>
      </c>
      <c r="N105" s="292">
        <v>320</v>
      </c>
      <c r="O105" s="169">
        <v>198.4</v>
      </c>
      <c r="P105" s="291">
        <v>17.8</v>
      </c>
      <c r="Q105" s="287">
        <f t="shared" si="19"/>
        <v>54541637.638238996</v>
      </c>
      <c r="R105" s="291">
        <f t="shared" si="20"/>
        <v>804166.95580899226</v>
      </c>
      <c r="S105" s="287">
        <f t="shared" si="27"/>
        <v>54541637.638238996</v>
      </c>
      <c r="T105" s="50">
        <f t="shared" si="25"/>
        <v>-96819.361761003733</v>
      </c>
      <c r="U105" s="103">
        <f t="shared" si="26"/>
        <v>-1.7720002920471149E-3</v>
      </c>
      <c r="V105" s="13">
        <f t="shared" si="16"/>
        <v>1.7720002920471149E-3</v>
      </c>
      <c r="W105" s="338"/>
      <c r="X105" s="13"/>
      <c r="AF105" s="59"/>
    </row>
    <row r="106" spans="1:32" x14ac:dyDescent="0.25">
      <c r="A106" s="167">
        <f t="shared" si="22"/>
        <v>40786</v>
      </c>
      <c r="B106" s="170">
        <v>54146196</v>
      </c>
      <c r="C106" s="288">
        <f>'CDM Activity'!H88</f>
        <v>816229.94161861867</v>
      </c>
      <c r="D106" s="402">
        <f t="shared" si="28"/>
        <v>1.0465217405234657</v>
      </c>
      <c r="E106" s="171">
        <f t="shared" si="17"/>
        <v>854202.37917008356</v>
      </c>
      <c r="F106" s="171">
        <f t="shared" si="18"/>
        <v>55000398.379170083</v>
      </c>
      <c r="G106" s="222">
        <f>'Weather Analysis '!R15</f>
        <v>24.2</v>
      </c>
      <c r="H106" s="222">
        <f>+'Weather Analysis '!R35</f>
        <v>35.4</v>
      </c>
      <c r="I106" s="169">
        <v>0</v>
      </c>
      <c r="J106" s="169">
        <v>31</v>
      </c>
      <c r="K106" s="287">
        <v>104</v>
      </c>
      <c r="L106" s="288">
        <v>33098</v>
      </c>
      <c r="M106" s="289">
        <v>141.19911108267243</v>
      </c>
      <c r="N106" s="292">
        <v>352</v>
      </c>
      <c r="O106" s="169">
        <v>200.6</v>
      </c>
      <c r="P106" s="291">
        <v>16.899999999999999</v>
      </c>
      <c r="Q106" s="287">
        <f t="shared" si="19"/>
        <v>51805515.368383765</v>
      </c>
      <c r="R106" s="291">
        <f t="shared" si="20"/>
        <v>854202.37917008356</v>
      </c>
      <c r="S106" s="287">
        <f t="shared" si="27"/>
        <v>51805515.368383765</v>
      </c>
      <c r="T106" s="50">
        <f t="shared" si="25"/>
        <v>-2340680.6316162348</v>
      </c>
      <c r="U106" s="103">
        <f t="shared" si="26"/>
        <v>-4.3228902573621879E-2</v>
      </c>
      <c r="V106" s="13">
        <f t="shared" si="16"/>
        <v>4.3228902573621879E-2</v>
      </c>
      <c r="W106" s="338"/>
      <c r="X106" s="13"/>
      <c r="AF106" s="59"/>
    </row>
    <row r="107" spans="1:32" x14ac:dyDescent="0.25">
      <c r="A107" s="167">
        <f t="shared" si="22"/>
        <v>40816</v>
      </c>
      <c r="B107" s="170">
        <v>52585712</v>
      </c>
      <c r="C107" s="288">
        <f>'CDM Activity'!H89</f>
        <v>864041.10637862049</v>
      </c>
      <c r="D107" s="402">
        <f t="shared" si="28"/>
        <v>1.0465217405234657</v>
      </c>
      <c r="E107" s="171">
        <f t="shared" si="17"/>
        <v>904237.80253117485</v>
      </c>
      <c r="F107" s="171">
        <f t="shared" si="18"/>
        <v>53489949.802531175</v>
      </c>
      <c r="G107" s="222">
        <f>'Weather Analysis '!R16</f>
        <v>129.6</v>
      </c>
      <c r="H107" s="222">
        <f>+'Weather Analysis '!R36</f>
        <v>11</v>
      </c>
      <c r="I107" s="169">
        <v>1</v>
      </c>
      <c r="J107" s="169">
        <v>30</v>
      </c>
      <c r="K107" s="287">
        <v>105</v>
      </c>
      <c r="L107" s="288">
        <v>33126</v>
      </c>
      <c r="M107" s="289">
        <v>141.50145624105357</v>
      </c>
      <c r="N107" s="292">
        <v>336</v>
      </c>
      <c r="O107" s="169">
        <v>200.6</v>
      </c>
      <c r="P107" s="291">
        <v>16.399999999999999</v>
      </c>
      <c r="Q107" s="287">
        <f t="shared" si="19"/>
        <v>49296192.223394424</v>
      </c>
      <c r="R107" s="291">
        <f t="shared" si="20"/>
        <v>904237.80253117485</v>
      </c>
      <c r="S107" s="287">
        <f t="shared" si="27"/>
        <v>49296192.223394424</v>
      </c>
      <c r="T107" s="50">
        <f t="shared" si="25"/>
        <v>-3289519.7766055763</v>
      </c>
      <c r="U107" s="103">
        <f t="shared" si="26"/>
        <v>-6.255539102723523E-2</v>
      </c>
      <c r="V107" s="13">
        <f t="shared" si="16"/>
        <v>6.255539102723523E-2</v>
      </c>
      <c r="W107" s="338"/>
      <c r="X107" s="13"/>
      <c r="AF107" s="59"/>
    </row>
    <row r="108" spans="1:32" x14ac:dyDescent="0.25">
      <c r="A108" s="167">
        <f t="shared" si="22"/>
        <v>40847</v>
      </c>
      <c r="B108" s="170">
        <v>56921149</v>
      </c>
      <c r="C108" s="288">
        <f>'CDM Activity'!H90</f>
        <v>911852.27113862231</v>
      </c>
      <c r="D108" s="402">
        <f t="shared" si="28"/>
        <v>1.0465217405234657</v>
      </c>
      <c r="E108" s="171">
        <f t="shared" si="17"/>
        <v>954273.22589226614</v>
      </c>
      <c r="F108" s="171">
        <f t="shared" si="18"/>
        <v>57875422.225892268</v>
      </c>
      <c r="G108" s="222">
        <f>'Weather Analysis '!R17</f>
        <v>269.5</v>
      </c>
      <c r="H108" s="222">
        <f>+'Weather Analysis '!R37</f>
        <v>1.5</v>
      </c>
      <c r="I108" s="169">
        <v>1</v>
      </c>
      <c r="J108" s="169">
        <v>31</v>
      </c>
      <c r="K108" s="287">
        <v>106</v>
      </c>
      <c r="L108" s="288">
        <v>33143</v>
      </c>
      <c r="M108" s="289">
        <v>141.80444880149057</v>
      </c>
      <c r="N108" s="292">
        <v>320</v>
      </c>
      <c r="O108" s="169">
        <v>200.2</v>
      </c>
      <c r="P108" s="291">
        <v>15.5</v>
      </c>
      <c r="Q108" s="287">
        <f t="shared" si="19"/>
        <v>55762957.657550126</v>
      </c>
      <c r="R108" s="291">
        <f t="shared" si="20"/>
        <v>954273.22589226614</v>
      </c>
      <c r="S108" s="287">
        <f t="shared" si="27"/>
        <v>55762957.657550126</v>
      </c>
      <c r="T108" s="50">
        <f t="shared" si="25"/>
        <v>-1158191.3424498737</v>
      </c>
      <c r="U108" s="103">
        <f t="shared" si="26"/>
        <v>-2.0347293805504062E-2</v>
      </c>
      <c r="V108" s="13">
        <f t="shared" si="16"/>
        <v>2.0347293805504062E-2</v>
      </c>
      <c r="W108" s="338"/>
      <c r="X108" s="13"/>
      <c r="AF108" s="59"/>
    </row>
    <row r="109" spans="1:32" x14ac:dyDescent="0.25">
      <c r="A109" s="167">
        <f t="shared" si="22"/>
        <v>40877</v>
      </c>
      <c r="B109" s="170">
        <v>61640573</v>
      </c>
      <c r="C109" s="288">
        <f>'CDM Activity'!H91</f>
        <v>959663.43589862413</v>
      </c>
      <c r="D109" s="402">
        <f t="shared" si="28"/>
        <v>1.0465217405234657</v>
      </c>
      <c r="E109" s="171">
        <f t="shared" si="17"/>
        <v>1004308.6492533574</v>
      </c>
      <c r="F109" s="171">
        <f t="shared" si="18"/>
        <v>62644881.649253361</v>
      </c>
      <c r="G109" s="222">
        <f>'Weather Analysis '!R18</f>
        <v>428.9</v>
      </c>
      <c r="H109" s="222">
        <f>+'Weather Analysis '!R38</f>
        <v>0</v>
      </c>
      <c r="I109" s="169">
        <v>1</v>
      </c>
      <c r="J109" s="169">
        <v>30</v>
      </c>
      <c r="K109" s="287">
        <v>107</v>
      </c>
      <c r="L109" s="288">
        <v>33199</v>
      </c>
      <c r="M109" s="289">
        <v>142.10809015024478</v>
      </c>
      <c r="N109" s="292">
        <v>352</v>
      </c>
      <c r="O109" s="169">
        <v>198</v>
      </c>
      <c r="P109" s="291">
        <v>14.6</v>
      </c>
      <c r="Q109" s="287">
        <f t="shared" si="19"/>
        <v>60352836.985443562</v>
      </c>
      <c r="R109" s="291">
        <f t="shared" si="20"/>
        <v>1004308.6492533574</v>
      </c>
      <c r="S109" s="287">
        <f t="shared" si="27"/>
        <v>60352836.985443562</v>
      </c>
      <c r="T109" s="50">
        <f t="shared" si="25"/>
        <v>-1287736.0145564377</v>
      </c>
      <c r="U109" s="103">
        <f t="shared" si="26"/>
        <v>-2.0891045489736731E-2</v>
      </c>
      <c r="V109" s="13">
        <f t="shared" si="16"/>
        <v>2.0891045489736731E-2</v>
      </c>
      <c r="W109" s="338"/>
      <c r="X109" s="13"/>
      <c r="AF109" s="59"/>
    </row>
    <row r="110" spans="1:32" x14ac:dyDescent="0.25">
      <c r="A110" s="167">
        <f t="shared" si="22"/>
        <v>40908</v>
      </c>
      <c r="B110" s="170">
        <v>73819284</v>
      </c>
      <c r="C110" s="288">
        <f>'CDM Activity'!H92</f>
        <v>1007474.6006586259</v>
      </c>
      <c r="D110" s="402">
        <f t="shared" si="28"/>
        <v>1.0465217405234657</v>
      </c>
      <c r="E110" s="171">
        <f t="shared" si="17"/>
        <v>1054344.0726144488</v>
      </c>
      <c r="F110" s="171">
        <f t="shared" si="18"/>
        <v>74873628.072614446</v>
      </c>
      <c r="G110" s="222">
        <f>'Weather Analysis '!R19</f>
        <v>650.4</v>
      </c>
      <c r="H110" s="222">
        <f>+'Weather Analysis '!R39</f>
        <v>0</v>
      </c>
      <c r="I110" s="169">
        <v>0</v>
      </c>
      <c r="J110" s="169">
        <v>31</v>
      </c>
      <c r="K110" s="287">
        <v>108</v>
      </c>
      <c r="L110" s="288">
        <v>33248</v>
      </c>
      <c r="M110" s="289">
        <v>142.41238167654581</v>
      </c>
      <c r="N110" s="292">
        <v>336</v>
      </c>
      <c r="O110" s="169">
        <v>197.3</v>
      </c>
      <c r="P110" s="291">
        <v>14.1</v>
      </c>
      <c r="Q110" s="287">
        <f t="shared" si="19"/>
        <v>73887785.217138737</v>
      </c>
      <c r="R110" s="291">
        <f t="shared" si="20"/>
        <v>1054344.0726144488</v>
      </c>
      <c r="S110" s="287">
        <f t="shared" si="27"/>
        <v>73887785.217138737</v>
      </c>
      <c r="T110" s="50">
        <f t="shared" si="25"/>
        <v>68501.21713873744</v>
      </c>
      <c r="U110" s="103">
        <f t="shared" si="26"/>
        <v>9.2795829797993488E-4</v>
      </c>
      <c r="V110" s="13">
        <f t="shared" si="16"/>
        <v>9.2795829797993488E-4</v>
      </c>
      <c r="W110" s="338"/>
      <c r="X110" s="13"/>
      <c r="AF110" s="59"/>
    </row>
    <row r="111" spans="1:32" x14ac:dyDescent="0.25">
      <c r="A111" s="167">
        <f t="shared" si="22"/>
        <v>40939</v>
      </c>
      <c r="B111" s="170">
        <v>73790226</v>
      </c>
      <c r="C111" s="288">
        <f>'CDM Activity'!H93</f>
        <v>1011767.0909852902</v>
      </c>
      <c r="D111" s="402">
        <f>'Rate Class Energy Model'!F21</f>
        <v>1.0446059893380324</v>
      </c>
      <c r="E111" s="171">
        <f t="shared" si="17"/>
        <v>1056897.9630583522</v>
      </c>
      <c r="F111" s="171">
        <f t="shared" si="18"/>
        <v>74847123.963058352</v>
      </c>
      <c r="G111" s="222">
        <f>+'Weather Analysis '!S8</f>
        <v>756.8</v>
      </c>
      <c r="H111" s="222">
        <f>+'Weather Analysis '!S28</f>
        <v>0</v>
      </c>
      <c r="I111" s="169">
        <v>0</v>
      </c>
      <c r="J111" s="169">
        <v>31</v>
      </c>
      <c r="K111" s="287">
        <v>109</v>
      </c>
      <c r="L111" s="288">
        <f>33198+5</f>
        <v>33203</v>
      </c>
      <c r="M111" s="289">
        <v>142.61257743956915</v>
      </c>
      <c r="N111" s="292">
        <v>336</v>
      </c>
      <c r="O111" s="169">
        <v>196.5</v>
      </c>
      <c r="P111" s="291">
        <v>15</v>
      </c>
      <c r="Q111" s="287">
        <f t="shared" si="19"/>
        <v>77687982.003690422</v>
      </c>
      <c r="R111" s="291">
        <f t="shared" si="20"/>
        <v>1056897.9630583522</v>
      </c>
      <c r="S111" s="287">
        <f t="shared" si="27"/>
        <v>77687982.003690422</v>
      </c>
      <c r="T111" s="50">
        <f t="shared" si="25"/>
        <v>3897756.0036904216</v>
      </c>
      <c r="U111" s="103">
        <f t="shared" si="26"/>
        <v>5.282211771096109E-2</v>
      </c>
      <c r="V111" s="13">
        <f t="shared" si="16"/>
        <v>5.282211771096109E-2</v>
      </c>
      <c r="W111" s="338"/>
      <c r="X111" s="13"/>
      <c r="AF111" s="59"/>
    </row>
    <row r="112" spans="1:32" x14ac:dyDescent="0.25">
      <c r="A112" s="167">
        <f t="shared" si="22"/>
        <v>40968</v>
      </c>
      <c r="B112" s="170">
        <v>68046427</v>
      </c>
      <c r="C112" s="288">
        <f>'CDM Activity'!H94</f>
        <v>1016059.5813119545</v>
      </c>
      <c r="D112" s="402">
        <f>D111</f>
        <v>1.0446059893380324</v>
      </c>
      <c r="E112" s="171">
        <f t="shared" si="17"/>
        <v>1061381.9241627613</v>
      </c>
      <c r="F112" s="171">
        <f t="shared" si="18"/>
        <v>69107808.92416276</v>
      </c>
      <c r="G112" s="222">
        <f>+'Weather Analysis '!S9</f>
        <v>622.6</v>
      </c>
      <c r="H112" s="222">
        <f>+'Weather Analysis '!S29</f>
        <v>0</v>
      </c>
      <c r="I112" s="169">
        <v>0</v>
      </c>
      <c r="J112" s="169">
        <v>29</v>
      </c>
      <c r="K112" s="287">
        <v>110</v>
      </c>
      <c r="L112" s="288">
        <f>33198+5</f>
        <v>33203</v>
      </c>
      <c r="M112" s="289">
        <v>142.81305462716429</v>
      </c>
      <c r="N112" s="292">
        <v>320</v>
      </c>
      <c r="O112" s="169">
        <v>198.1</v>
      </c>
      <c r="P112" s="291">
        <v>15.7</v>
      </c>
      <c r="Q112" s="287">
        <f t="shared" si="19"/>
        <v>68823301.174529999</v>
      </c>
      <c r="R112" s="291">
        <f t="shared" si="20"/>
        <v>1061381.9241627613</v>
      </c>
      <c r="S112" s="287">
        <f t="shared" si="27"/>
        <v>68823301.174529999</v>
      </c>
      <c r="T112" s="50">
        <f t="shared" si="25"/>
        <v>776874.17452999949</v>
      </c>
      <c r="U112" s="103">
        <f t="shared" si="26"/>
        <v>1.1416825376150895E-2</v>
      </c>
      <c r="V112" s="13">
        <f t="shared" si="16"/>
        <v>1.1416825376150895E-2</v>
      </c>
      <c r="W112" s="338"/>
      <c r="X112" s="13"/>
      <c r="AF112" s="59"/>
    </row>
    <row r="113" spans="1:32" x14ac:dyDescent="0.25">
      <c r="A113" s="167">
        <f t="shared" si="22"/>
        <v>40999</v>
      </c>
      <c r="B113" s="170">
        <v>64860708</v>
      </c>
      <c r="C113" s="288">
        <f>'CDM Activity'!H95</f>
        <v>1020352.0716386188</v>
      </c>
      <c r="D113" s="402">
        <f t="shared" ref="D113:D122" si="29">D112</f>
        <v>1.0446059893380324</v>
      </c>
      <c r="E113" s="171">
        <f t="shared" si="17"/>
        <v>1065865.8852671704</v>
      </c>
      <c r="F113" s="171">
        <f t="shared" si="18"/>
        <v>65926573.885267168</v>
      </c>
      <c r="G113" s="222">
        <f>+'Weather Analysis '!S10</f>
        <v>479.7</v>
      </c>
      <c r="H113" s="222">
        <f>+'Weather Analysis '!S30</f>
        <v>0</v>
      </c>
      <c r="I113" s="169">
        <v>1</v>
      </c>
      <c r="J113" s="169">
        <v>31</v>
      </c>
      <c r="K113" s="287">
        <v>111</v>
      </c>
      <c r="L113" s="288">
        <f>33198+5</f>
        <v>33203</v>
      </c>
      <c r="M113" s="289">
        <v>143.01381363494295</v>
      </c>
      <c r="N113" s="292">
        <v>352</v>
      </c>
      <c r="O113" s="169">
        <v>195.9</v>
      </c>
      <c r="P113" s="291">
        <v>17.899999999999999</v>
      </c>
      <c r="Q113" s="287">
        <f t="shared" si="19"/>
        <v>63848344.265838265</v>
      </c>
      <c r="R113" s="291">
        <f t="shared" si="20"/>
        <v>1065865.8852671704</v>
      </c>
      <c r="S113" s="287">
        <f t="shared" si="27"/>
        <v>63848344.265838265</v>
      </c>
      <c r="T113" s="50">
        <f t="shared" si="25"/>
        <v>-1012363.7341617346</v>
      </c>
      <c r="U113" s="103">
        <f t="shared" si="26"/>
        <v>-1.560827449126418E-2</v>
      </c>
      <c r="V113" s="13">
        <f t="shared" si="16"/>
        <v>1.560827449126418E-2</v>
      </c>
      <c r="W113" s="338"/>
      <c r="X113" s="13"/>
      <c r="AF113" s="59"/>
    </row>
    <row r="114" spans="1:32" x14ac:dyDescent="0.25">
      <c r="A114" s="167">
        <f t="shared" si="22"/>
        <v>41029</v>
      </c>
      <c r="B114" s="170">
        <v>55490558</v>
      </c>
      <c r="C114" s="288">
        <f>'CDM Activity'!H96</f>
        <v>1024644.5619652831</v>
      </c>
      <c r="D114" s="402">
        <f t="shared" si="29"/>
        <v>1.0446059893380324</v>
      </c>
      <c r="E114" s="171">
        <f t="shared" si="17"/>
        <v>1070349.8463715794</v>
      </c>
      <c r="F114" s="171">
        <f t="shared" si="18"/>
        <v>56560907.846371576</v>
      </c>
      <c r="G114" s="222">
        <f>+'Weather Analysis '!S11</f>
        <v>437.5</v>
      </c>
      <c r="H114" s="222">
        <f>+'Weather Analysis '!S31</f>
        <v>0</v>
      </c>
      <c r="I114" s="169">
        <v>1</v>
      </c>
      <c r="J114" s="169">
        <v>30</v>
      </c>
      <c r="K114" s="287">
        <v>112</v>
      </c>
      <c r="L114" s="288">
        <f>33205+5</f>
        <v>33210</v>
      </c>
      <c r="M114" s="289">
        <v>143.21485485907297</v>
      </c>
      <c r="N114" s="292">
        <v>320</v>
      </c>
      <c r="O114" s="169">
        <v>194.4</v>
      </c>
      <c r="P114" s="291">
        <v>17.600000000000001</v>
      </c>
      <c r="Q114" s="287">
        <f t="shared" si="19"/>
        <v>60394819.898272872</v>
      </c>
      <c r="R114" s="291">
        <f t="shared" si="20"/>
        <v>1070349.8463715794</v>
      </c>
      <c r="S114" s="287">
        <f t="shared" si="27"/>
        <v>60394819.898272872</v>
      </c>
      <c r="T114" s="50">
        <f t="shared" si="25"/>
        <v>4904261.898272872</v>
      </c>
      <c r="U114" s="103">
        <f t="shared" si="26"/>
        <v>8.8380115014753902E-2</v>
      </c>
      <c r="V114" s="13">
        <f t="shared" si="16"/>
        <v>8.8380115014753902E-2</v>
      </c>
      <c r="W114" s="338"/>
      <c r="X114" s="13"/>
      <c r="AF114" s="59"/>
    </row>
    <row r="115" spans="1:32" x14ac:dyDescent="0.25">
      <c r="A115" s="167">
        <f t="shared" si="22"/>
        <v>41060</v>
      </c>
      <c r="B115" s="170">
        <v>50211578</v>
      </c>
      <c r="C115" s="288">
        <f>'CDM Activity'!H97</f>
        <v>1028937.0522919474</v>
      </c>
      <c r="D115" s="402">
        <f t="shared" si="29"/>
        <v>1.0446059893380324</v>
      </c>
      <c r="E115" s="171">
        <f t="shared" si="17"/>
        <v>1074833.8074759885</v>
      </c>
      <c r="F115" s="171">
        <f t="shared" si="18"/>
        <v>51286411.807475992</v>
      </c>
      <c r="G115" s="222">
        <f>+'Weather Analysis '!S12</f>
        <v>94.4</v>
      </c>
      <c r="H115" s="222">
        <f>+'Weather Analysis '!S32</f>
        <v>8.4</v>
      </c>
      <c r="I115" s="169">
        <v>1</v>
      </c>
      <c r="J115" s="169">
        <v>31</v>
      </c>
      <c r="K115" s="287">
        <v>113</v>
      </c>
      <c r="L115" s="288">
        <f>33205+5</f>
        <v>33210</v>
      </c>
      <c r="M115" s="289">
        <v>143.41617869627913</v>
      </c>
      <c r="N115" s="292">
        <v>352</v>
      </c>
      <c r="O115" s="169">
        <v>192.8</v>
      </c>
      <c r="P115" s="291">
        <v>18.2</v>
      </c>
      <c r="Q115" s="287">
        <f t="shared" si="19"/>
        <v>49422976.842250854</v>
      </c>
      <c r="R115" s="291">
        <f t="shared" si="20"/>
        <v>1074833.8074759885</v>
      </c>
      <c r="S115" s="287">
        <f t="shared" si="27"/>
        <v>49422976.842250854</v>
      </c>
      <c r="T115" s="50">
        <f t="shared" si="25"/>
        <v>-788601.15774914622</v>
      </c>
      <c r="U115" s="103">
        <f t="shared" si="26"/>
        <v>-1.5705564118083406E-2</v>
      </c>
      <c r="V115" s="13">
        <f t="shared" si="16"/>
        <v>1.5705564118083406E-2</v>
      </c>
      <c r="W115" s="338"/>
      <c r="X115" s="13"/>
      <c r="AF115" s="59"/>
    </row>
    <row r="116" spans="1:32" x14ac:dyDescent="0.25">
      <c r="A116" s="167">
        <f t="shared" si="22"/>
        <v>41090</v>
      </c>
      <c r="B116" s="170">
        <v>50441593</v>
      </c>
      <c r="C116" s="288">
        <f>'CDM Activity'!H98</f>
        <v>1033229.5426186117</v>
      </c>
      <c r="D116" s="402">
        <f t="shared" si="29"/>
        <v>1.0446059893380324</v>
      </c>
      <c r="E116" s="171">
        <f t="shared" si="17"/>
        <v>1079317.7685803976</v>
      </c>
      <c r="F116" s="171">
        <f t="shared" si="18"/>
        <v>51520910.768580399</v>
      </c>
      <c r="G116" s="222">
        <f>+'Weather Analysis '!S13</f>
        <v>38.5</v>
      </c>
      <c r="H116" s="222">
        <f>+'Weather Analysis '!S33</f>
        <v>23.5</v>
      </c>
      <c r="I116" s="169">
        <v>0</v>
      </c>
      <c r="J116" s="169">
        <v>30</v>
      </c>
      <c r="K116" s="287">
        <v>114</v>
      </c>
      <c r="L116" s="288">
        <f>33205+5</f>
        <v>33210</v>
      </c>
      <c r="M116" s="289">
        <v>143.61778554384387</v>
      </c>
      <c r="N116" s="292">
        <v>336</v>
      </c>
      <c r="O116" s="169">
        <v>193.4</v>
      </c>
      <c r="P116" s="291">
        <v>17.399999999999999</v>
      </c>
      <c r="Q116" s="287">
        <f t="shared" si="19"/>
        <v>49550600.153978139</v>
      </c>
      <c r="R116" s="291">
        <f t="shared" si="20"/>
        <v>1079317.7685803976</v>
      </c>
      <c r="S116" s="287">
        <f t="shared" si="27"/>
        <v>49550600.153978139</v>
      </c>
      <c r="T116" s="50">
        <f t="shared" si="25"/>
        <v>-890992.84602186084</v>
      </c>
      <c r="U116" s="103">
        <f t="shared" si="26"/>
        <v>-1.7663852250301867E-2</v>
      </c>
      <c r="V116" s="13">
        <f t="shared" si="16"/>
        <v>1.7663852250301867E-2</v>
      </c>
      <c r="W116" s="338"/>
      <c r="X116" s="13"/>
      <c r="AF116" s="59"/>
    </row>
    <row r="117" spans="1:32" x14ac:dyDescent="0.25">
      <c r="A117" s="167">
        <f t="shared" si="22"/>
        <v>41121</v>
      </c>
      <c r="B117" s="170">
        <v>52218431</v>
      </c>
      <c r="C117" s="288">
        <f>'CDM Activity'!H99</f>
        <v>1037522.032945276</v>
      </c>
      <c r="D117" s="402">
        <f t="shared" si="29"/>
        <v>1.0446059893380324</v>
      </c>
      <c r="E117" s="171">
        <f t="shared" si="17"/>
        <v>1083801.7296848067</v>
      </c>
      <c r="F117" s="171">
        <f t="shared" si="18"/>
        <v>53302232.729684807</v>
      </c>
      <c r="G117" s="222">
        <f>+'Weather Analysis '!S14</f>
        <v>9.5</v>
      </c>
      <c r="H117" s="222">
        <f>+'Weather Analysis '!S34</f>
        <v>59.6</v>
      </c>
      <c r="I117" s="169">
        <v>0</v>
      </c>
      <c r="J117" s="169">
        <v>31</v>
      </c>
      <c r="K117" s="287">
        <v>115</v>
      </c>
      <c r="L117" s="288">
        <f>33207+5</f>
        <v>33212</v>
      </c>
      <c r="M117" s="289">
        <v>143.81967579960809</v>
      </c>
      <c r="N117" s="292">
        <v>336</v>
      </c>
      <c r="O117" s="169">
        <v>194.2</v>
      </c>
      <c r="P117" s="291">
        <v>18.7</v>
      </c>
      <c r="Q117" s="287">
        <f t="shared" si="19"/>
        <v>53188739.564751685</v>
      </c>
      <c r="R117" s="291">
        <f t="shared" si="20"/>
        <v>1083801.7296848067</v>
      </c>
      <c r="S117" s="287">
        <f t="shared" si="27"/>
        <v>53188739.564751685</v>
      </c>
      <c r="T117" s="50">
        <f t="shared" si="25"/>
        <v>970308.56475168467</v>
      </c>
      <c r="U117" s="103">
        <f t="shared" si="26"/>
        <v>1.8581725765595764E-2</v>
      </c>
      <c r="V117" s="13">
        <f t="shared" si="16"/>
        <v>1.8581725765595764E-2</v>
      </c>
      <c r="W117" s="338"/>
      <c r="X117" s="13"/>
      <c r="AF117" s="59"/>
    </row>
    <row r="118" spans="1:32" x14ac:dyDescent="0.25">
      <c r="A118" s="167">
        <f t="shared" si="22"/>
        <v>41152</v>
      </c>
      <c r="B118" s="170">
        <v>51797361</v>
      </c>
      <c r="C118" s="288">
        <f>'CDM Activity'!H100</f>
        <v>1041814.5232719403</v>
      </c>
      <c r="D118" s="402">
        <f t="shared" si="29"/>
        <v>1.0446059893380324</v>
      </c>
      <c r="E118" s="171">
        <f t="shared" si="17"/>
        <v>1088285.6907892157</v>
      </c>
      <c r="F118" s="171">
        <f t="shared" si="18"/>
        <v>52885646.690789215</v>
      </c>
      <c r="G118" s="222">
        <f>+'Weather Analysis '!S15</f>
        <v>34.299999999999997</v>
      </c>
      <c r="H118" s="222">
        <f>+'Weather Analysis '!S35</f>
        <v>37.700000000000003</v>
      </c>
      <c r="I118" s="169">
        <v>0</v>
      </c>
      <c r="J118" s="169">
        <v>31</v>
      </c>
      <c r="K118" s="287">
        <v>116</v>
      </c>
      <c r="L118" s="288">
        <f>33207+5</f>
        <v>33212</v>
      </c>
      <c r="M118" s="289">
        <v>144.02184986197204</v>
      </c>
      <c r="N118" s="292">
        <v>352</v>
      </c>
      <c r="O118" s="169">
        <v>192.2</v>
      </c>
      <c r="P118" s="291">
        <v>19.899999999999999</v>
      </c>
      <c r="Q118" s="287">
        <f t="shared" si="19"/>
        <v>52232752.34567982</v>
      </c>
      <c r="R118" s="291">
        <f t="shared" si="20"/>
        <v>1088285.6907892157</v>
      </c>
      <c r="S118" s="287">
        <f t="shared" si="27"/>
        <v>52232752.34567982</v>
      </c>
      <c r="T118" s="50">
        <f t="shared" si="25"/>
        <v>435391.34567981958</v>
      </c>
      <c r="U118" s="103">
        <f t="shared" si="26"/>
        <v>8.4056665682218749E-3</v>
      </c>
      <c r="V118" s="13">
        <f t="shared" si="16"/>
        <v>8.4056665682218749E-3</v>
      </c>
      <c r="W118" s="338"/>
      <c r="X118" s="13"/>
      <c r="AF118" s="59"/>
    </row>
    <row r="119" spans="1:32" x14ac:dyDescent="0.25">
      <c r="A119" s="167">
        <f t="shared" si="22"/>
        <v>41182</v>
      </c>
      <c r="B119" s="170">
        <v>49181637</v>
      </c>
      <c r="C119" s="288">
        <f>'CDM Activity'!H101</f>
        <v>1046107.0135986046</v>
      </c>
      <c r="D119" s="402">
        <f t="shared" si="29"/>
        <v>1.0446059893380324</v>
      </c>
      <c r="E119" s="171">
        <f t="shared" si="17"/>
        <v>1092769.6518936248</v>
      </c>
      <c r="F119" s="171">
        <f t="shared" si="18"/>
        <v>50274406.651893623</v>
      </c>
      <c r="G119" s="222">
        <f>+'Weather Analysis '!S16</f>
        <v>181.9</v>
      </c>
      <c r="H119" s="222">
        <f>+'Weather Analysis '!S36</f>
        <v>5.3</v>
      </c>
      <c r="I119" s="169">
        <v>1</v>
      </c>
      <c r="J119" s="169">
        <v>30</v>
      </c>
      <c r="K119" s="287">
        <v>117</v>
      </c>
      <c r="L119" s="288">
        <f>33207+5</f>
        <v>33212</v>
      </c>
      <c r="M119" s="289">
        <v>144.22430812989595</v>
      </c>
      <c r="N119" s="292">
        <v>304</v>
      </c>
      <c r="O119" s="169">
        <v>190.9</v>
      </c>
      <c r="P119" s="291">
        <v>19.899999999999999</v>
      </c>
      <c r="Q119" s="287">
        <f t="shared" si="19"/>
        <v>50520107.714922786</v>
      </c>
      <c r="R119" s="291">
        <f t="shared" si="20"/>
        <v>1092769.6518936248</v>
      </c>
      <c r="S119" s="287">
        <f t="shared" si="27"/>
        <v>50520107.714922786</v>
      </c>
      <c r="T119" s="50">
        <f t="shared" si="25"/>
        <v>1338470.7149227858</v>
      </c>
      <c r="U119" s="103">
        <f t="shared" si="26"/>
        <v>2.7214846771423769E-2</v>
      </c>
      <c r="V119" s="13">
        <f t="shared" si="16"/>
        <v>2.7214846771423769E-2</v>
      </c>
      <c r="W119" s="338"/>
      <c r="X119" s="13"/>
      <c r="AF119" s="59"/>
    </row>
    <row r="120" spans="1:32" x14ac:dyDescent="0.25">
      <c r="A120" s="167">
        <f t="shared" si="22"/>
        <v>41213</v>
      </c>
      <c r="B120" s="170">
        <v>55200719</v>
      </c>
      <c r="C120" s="288">
        <f>'CDM Activity'!H102</f>
        <v>1050399.5039252688</v>
      </c>
      <c r="D120" s="402">
        <f t="shared" si="29"/>
        <v>1.0446059893380324</v>
      </c>
      <c r="E120" s="171">
        <f t="shared" si="17"/>
        <v>1097253.6129980339</v>
      </c>
      <c r="F120" s="171">
        <f t="shared" si="18"/>
        <v>56297972.612998031</v>
      </c>
      <c r="G120" s="222">
        <f>+'Weather Analysis '!S17</f>
        <v>299.60000000000002</v>
      </c>
      <c r="H120" s="222">
        <f>+'Weather Analysis '!S37</f>
        <v>0</v>
      </c>
      <c r="I120" s="169">
        <v>1</v>
      </c>
      <c r="J120" s="169">
        <v>31</v>
      </c>
      <c r="K120" s="287">
        <v>118</v>
      </c>
      <c r="L120" s="288">
        <f>33050+5</f>
        <v>33055</v>
      </c>
      <c r="M120" s="289">
        <v>144.42705100290087</v>
      </c>
      <c r="N120" s="292">
        <v>352</v>
      </c>
      <c r="O120" s="169">
        <v>190.6</v>
      </c>
      <c r="P120" s="291">
        <v>19</v>
      </c>
      <c r="Q120" s="287">
        <f t="shared" si="19"/>
        <v>55396506.489142925</v>
      </c>
      <c r="R120" s="291">
        <f t="shared" si="20"/>
        <v>1097253.6129980339</v>
      </c>
      <c r="S120" s="287">
        <f t="shared" si="27"/>
        <v>55396506.489142925</v>
      </c>
      <c r="T120" s="50">
        <f t="shared" si="25"/>
        <v>195787.48914292455</v>
      </c>
      <c r="U120" s="103">
        <f t="shared" si="26"/>
        <v>3.5468286045861929E-3</v>
      </c>
      <c r="V120" s="13">
        <f t="shared" si="16"/>
        <v>3.5468286045861929E-3</v>
      </c>
      <c r="W120" s="338"/>
      <c r="X120" s="13"/>
    </row>
    <row r="121" spans="1:32" x14ac:dyDescent="0.25">
      <c r="A121" s="167">
        <f t="shared" si="22"/>
        <v>41243</v>
      </c>
      <c r="B121" s="170">
        <v>63048824</v>
      </c>
      <c r="C121" s="288">
        <f>'CDM Activity'!H103</f>
        <v>1054691.9942519329</v>
      </c>
      <c r="D121" s="402">
        <f t="shared" si="29"/>
        <v>1.0446059893380324</v>
      </c>
      <c r="E121" s="171">
        <f t="shared" si="17"/>
        <v>1101737.5741024427</v>
      </c>
      <c r="F121" s="171">
        <f t="shared" si="18"/>
        <v>64150561.574102446</v>
      </c>
      <c r="G121" s="222">
        <f>+'Weather Analysis '!S18</f>
        <v>426.4</v>
      </c>
      <c r="H121" s="222">
        <f>+'Weather Analysis '!S38</f>
        <v>0</v>
      </c>
      <c r="I121" s="169">
        <v>1</v>
      </c>
      <c r="J121" s="169">
        <v>30</v>
      </c>
      <c r="K121" s="287">
        <v>119</v>
      </c>
      <c r="L121" s="288">
        <f>33050+5</f>
        <v>33055</v>
      </c>
      <c r="M121" s="289">
        <v>144.63007888106955</v>
      </c>
      <c r="N121" s="292">
        <v>352</v>
      </c>
      <c r="O121" s="169">
        <v>193.1</v>
      </c>
      <c r="P121" s="291">
        <v>18</v>
      </c>
      <c r="Q121" s="287">
        <f t="shared" si="19"/>
        <v>58493834.218223631</v>
      </c>
      <c r="R121" s="291">
        <f t="shared" si="20"/>
        <v>1101737.5741024427</v>
      </c>
      <c r="S121" s="287">
        <f t="shared" si="27"/>
        <v>58493834.218223631</v>
      </c>
      <c r="T121" s="50">
        <f t="shared" si="25"/>
        <v>-4554989.7817763686</v>
      </c>
      <c r="U121" s="103">
        <f t="shared" si="26"/>
        <v>-7.2245436041382283E-2</v>
      </c>
      <c r="V121" s="13">
        <f t="shared" si="16"/>
        <v>7.2245436041382283E-2</v>
      </c>
      <c r="W121" s="338"/>
      <c r="X121" s="13"/>
    </row>
    <row r="122" spans="1:32" x14ac:dyDescent="0.25">
      <c r="A122" s="167">
        <f t="shared" si="22"/>
        <v>41274</v>
      </c>
      <c r="B122" s="170">
        <v>72665451</v>
      </c>
      <c r="C122" s="288">
        <f>'CDM Activity'!H104</f>
        <v>1058984.4845785971</v>
      </c>
      <c r="D122" s="402">
        <f t="shared" si="29"/>
        <v>1.0446059893380324</v>
      </c>
      <c r="E122" s="171">
        <f t="shared" si="17"/>
        <v>1106221.5352068518</v>
      </c>
      <c r="F122" s="171">
        <f t="shared" si="18"/>
        <v>73771672.535206854</v>
      </c>
      <c r="G122" s="222">
        <f>+'Weather Analysis '!S19</f>
        <v>445.9</v>
      </c>
      <c r="H122" s="222">
        <f>+'Weather Analysis '!S39</f>
        <v>0</v>
      </c>
      <c r="I122" s="169">
        <v>0</v>
      </c>
      <c r="J122" s="169">
        <v>31</v>
      </c>
      <c r="K122" s="287">
        <v>120</v>
      </c>
      <c r="L122" s="288">
        <f>33050+5</f>
        <v>33055</v>
      </c>
      <c r="M122" s="289">
        <v>144.83339216504706</v>
      </c>
      <c r="N122" s="292">
        <v>304</v>
      </c>
      <c r="O122" s="169">
        <v>194.2</v>
      </c>
      <c r="P122" s="291">
        <v>18.7</v>
      </c>
      <c r="Q122" s="287">
        <f t="shared" si="19"/>
        <v>63842969.294692069</v>
      </c>
      <c r="R122" s="291">
        <f t="shared" si="20"/>
        <v>1106221.5352068518</v>
      </c>
      <c r="S122" s="287">
        <f t="shared" si="27"/>
        <v>63842969.294692069</v>
      </c>
      <c r="T122" s="50">
        <f t="shared" si="25"/>
        <v>-8822481.7053079307</v>
      </c>
      <c r="U122" s="103">
        <f t="shared" si="26"/>
        <v>-0.12141232984720525</v>
      </c>
      <c r="V122" s="13">
        <f t="shared" si="16"/>
        <v>0.12141232984720525</v>
      </c>
      <c r="W122" s="338"/>
      <c r="X122" s="13"/>
    </row>
    <row r="123" spans="1:32" x14ac:dyDescent="0.25">
      <c r="A123" s="167">
        <f t="shared" si="22"/>
        <v>41305</v>
      </c>
      <c r="B123" s="170">
        <v>77430385</v>
      </c>
      <c r="C123" s="288">
        <f>'CDM Activity'!H105</f>
        <v>1077122.6928958963</v>
      </c>
      <c r="D123" s="402">
        <f>'Rate Class Energy Model'!F22</f>
        <v>1.0614958266693164</v>
      </c>
      <c r="E123" s="171">
        <f t="shared" si="17"/>
        <v>1143361.2433198097</v>
      </c>
      <c r="F123" s="171">
        <f t="shared" si="18"/>
        <v>78573746.243319809</v>
      </c>
      <c r="G123" s="222">
        <f>'Weather Analysis '!T8</f>
        <v>598.5</v>
      </c>
      <c r="H123" s="222">
        <f>+'Weather Analysis '!T28</f>
        <v>0</v>
      </c>
      <c r="I123" s="169">
        <v>0</v>
      </c>
      <c r="J123" s="169">
        <v>31</v>
      </c>
      <c r="K123" s="287">
        <v>121</v>
      </c>
      <c r="L123" s="288">
        <f>33301+5</f>
        <v>33306</v>
      </c>
      <c r="M123" s="289">
        <v>144.98936781896037</v>
      </c>
      <c r="N123" s="169">
        <v>352</v>
      </c>
      <c r="O123" s="169">
        <v>193.9</v>
      </c>
      <c r="P123" s="291">
        <v>19.3</v>
      </c>
      <c r="Q123" s="287">
        <f t="shared" si="19"/>
        <v>71281709.625873774</v>
      </c>
      <c r="R123" s="291">
        <f t="shared" si="20"/>
        <v>1143361.2433198097</v>
      </c>
      <c r="S123" s="287">
        <f t="shared" si="27"/>
        <v>71281709.625873774</v>
      </c>
      <c r="T123" s="50">
        <f t="shared" si="25"/>
        <v>-6148675.3741262257</v>
      </c>
      <c r="U123" s="103">
        <f t="shared" si="26"/>
        <v>-7.94090766063765E-2</v>
      </c>
      <c r="V123" s="13">
        <f t="shared" si="16"/>
        <v>7.94090766063765E-2</v>
      </c>
      <c r="W123" s="338"/>
      <c r="X123" s="13"/>
    </row>
    <row r="124" spans="1:32" x14ac:dyDescent="0.25">
      <c r="A124" s="167">
        <f t="shared" si="22"/>
        <v>41333</v>
      </c>
      <c r="B124" s="170">
        <v>69794850</v>
      </c>
      <c r="C124" s="288">
        <f>'CDM Activity'!H106</f>
        <v>1095260.9012131954</v>
      </c>
      <c r="D124" s="402">
        <f>D123</f>
        <v>1.0614958266693164</v>
      </c>
      <c r="E124" s="171">
        <f t="shared" si="17"/>
        <v>1162614.8757518814</v>
      </c>
      <c r="F124" s="171">
        <f t="shared" si="18"/>
        <v>70957464.875751883</v>
      </c>
      <c r="G124" s="222">
        <f>'Weather Analysis '!T9</f>
        <v>618.9</v>
      </c>
      <c r="H124" s="222">
        <f>+'Weather Analysis '!T29</f>
        <v>0</v>
      </c>
      <c r="I124" s="169">
        <v>0</v>
      </c>
      <c r="J124" s="169">
        <v>28</v>
      </c>
      <c r="K124" s="287">
        <v>122</v>
      </c>
      <c r="L124" s="288">
        <f>33301+5</f>
        <v>33306</v>
      </c>
      <c r="M124" s="289">
        <v>145.14551144798114</v>
      </c>
      <c r="N124" s="169">
        <v>304</v>
      </c>
      <c r="O124" s="169">
        <v>193.3</v>
      </c>
      <c r="P124" s="291">
        <v>19.2</v>
      </c>
      <c r="Q124" s="287">
        <f t="shared" si="19"/>
        <v>66671455.521414489</v>
      </c>
      <c r="R124" s="291">
        <f t="shared" si="20"/>
        <v>1162614.8757518814</v>
      </c>
      <c r="S124" s="287">
        <f t="shared" si="27"/>
        <v>66671455.521414489</v>
      </c>
      <c r="T124" s="50">
        <f t="shared" si="25"/>
        <v>-3123394.4785855114</v>
      </c>
      <c r="U124" s="103">
        <f t="shared" si="26"/>
        <v>-4.4751073733742694E-2</v>
      </c>
      <c r="V124" s="13">
        <f t="shared" si="16"/>
        <v>4.4751073733742694E-2</v>
      </c>
      <c r="W124" s="338"/>
      <c r="X124" s="13"/>
    </row>
    <row r="125" spans="1:32" x14ac:dyDescent="0.25">
      <c r="A125" s="167">
        <f t="shared" si="22"/>
        <v>41364</v>
      </c>
      <c r="B125" s="170">
        <v>69264159</v>
      </c>
      <c r="C125" s="288">
        <f>'CDM Activity'!H107</f>
        <v>1113399.1095304945</v>
      </c>
      <c r="D125" s="402">
        <f t="shared" ref="D125:D134" si="30">D124</f>
        <v>1.0614958266693164</v>
      </c>
      <c r="E125" s="171">
        <f t="shared" si="17"/>
        <v>1181868.5081839531</v>
      </c>
      <c r="F125" s="171">
        <f t="shared" si="18"/>
        <v>70446027.508183956</v>
      </c>
      <c r="G125" s="222">
        <f>'Weather Analysis '!T10</f>
        <v>651.4</v>
      </c>
      <c r="H125" s="222">
        <f>+'Weather Analysis '!T30</f>
        <v>0</v>
      </c>
      <c r="I125" s="169">
        <v>1</v>
      </c>
      <c r="J125" s="169">
        <v>31</v>
      </c>
      <c r="K125" s="287">
        <v>123</v>
      </c>
      <c r="L125" s="288">
        <f>33301+5</f>
        <v>33306</v>
      </c>
      <c r="M125" s="289">
        <v>145.30182323300707</v>
      </c>
      <c r="N125" s="169">
        <v>320</v>
      </c>
      <c r="O125" s="169">
        <v>193.6</v>
      </c>
      <c r="P125" s="291">
        <v>18.399999999999999</v>
      </c>
      <c r="Q125" s="287">
        <f t="shared" si="19"/>
        <v>70318452.165622473</v>
      </c>
      <c r="R125" s="291">
        <f t="shared" si="20"/>
        <v>1181868.5081839531</v>
      </c>
      <c r="S125" s="287">
        <f t="shared" si="27"/>
        <v>70318452.165622473</v>
      </c>
      <c r="T125" s="50">
        <f t="shared" si="25"/>
        <v>1054293.1656224728</v>
      </c>
      <c r="U125" s="103">
        <f t="shared" si="26"/>
        <v>1.5221337858479921E-2</v>
      </c>
      <c r="V125" s="13">
        <f t="shared" si="16"/>
        <v>1.5221337858479921E-2</v>
      </c>
      <c r="W125" s="338"/>
      <c r="X125" s="13"/>
    </row>
    <row r="126" spans="1:32" x14ac:dyDescent="0.25">
      <c r="A126" s="167">
        <f t="shared" si="22"/>
        <v>41394</v>
      </c>
      <c r="B126" s="170">
        <v>62490524</v>
      </c>
      <c r="C126" s="288">
        <f>'CDM Activity'!H108</f>
        <v>1131537.3178477937</v>
      </c>
      <c r="D126" s="402">
        <f t="shared" si="30"/>
        <v>1.0614958266693164</v>
      </c>
      <c r="E126" s="171">
        <f t="shared" si="17"/>
        <v>1201122.1406160248</v>
      </c>
      <c r="F126" s="171">
        <f t="shared" si="18"/>
        <v>63691646.140616022</v>
      </c>
      <c r="G126" s="222">
        <f>'Weather Analysis '!T11</f>
        <v>367.2</v>
      </c>
      <c r="H126" s="222">
        <f>+'Weather Analysis '!T31</f>
        <v>0</v>
      </c>
      <c r="I126" s="169">
        <v>1</v>
      </c>
      <c r="J126" s="169">
        <v>30</v>
      </c>
      <c r="K126" s="287">
        <v>124</v>
      </c>
      <c r="L126" s="288">
        <f>33289+5</f>
        <v>33294</v>
      </c>
      <c r="M126" s="289">
        <v>145.45830335513068</v>
      </c>
      <c r="N126" s="169">
        <v>352</v>
      </c>
      <c r="O126" s="169">
        <v>193.6</v>
      </c>
      <c r="P126" s="291">
        <v>17.399999999999999</v>
      </c>
      <c r="Q126" s="287">
        <f t="shared" si="19"/>
        <v>57304407.185216606</v>
      </c>
      <c r="R126" s="291">
        <f t="shared" si="20"/>
        <v>1201122.1406160248</v>
      </c>
      <c r="S126" s="287">
        <f t="shared" si="27"/>
        <v>57304407.185216606</v>
      </c>
      <c r="T126" s="50">
        <f t="shared" si="25"/>
        <v>-5186116.8147833943</v>
      </c>
      <c r="U126" s="103">
        <f t="shared" si="26"/>
        <v>-8.2990451716861813E-2</v>
      </c>
      <c r="V126" s="13">
        <f t="shared" si="16"/>
        <v>8.2990451716861813E-2</v>
      </c>
      <c r="W126" s="338"/>
      <c r="X126" s="13"/>
    </row>
    <row r="127" spans="1:32" x14ac:dyDescent="0.25">
      <c r="A127" s="167">
        <f t="shared" si="22"/>
        <v>41425</v>
      </c>
      <c r="B127" s="170">
        <v>51260742</v>
      </c>
      <c r="C127" s="288">
        <f>'CDM Activity'!H109</f>
        <v>1149675.5261650928</v>
      </c>
      <c r="D127" s="402">
        <f t="shared" si="30"/>
        <v>1.0614958266693164</v>
      </c>
      <c r="E127" s="171">
        <f t="shared" si="17"/>
        <v>1220375.7730480966</v>
      </c>
      <c r="F127" s="171">
        <f t="shared" si="18"/>
        <v>52481117.773048095</v>
      </c>
      <c r="G127" s="222">
        <f>'Weather Analysis '!T12</f>
        <v>193</v>
      </c>
      <c r="H127" s="222">
        <f>+'Weather Analysis '!T32</f>
        <v>3</v>
      </c>
      <c r="I127" s="169">
        <v>1</v>
      </c>
      <c r="J127" s="169">
        <v>31</v>
      </c>
      <c r="K127" s="287">
        <v>125</v>
      </c>
      <c r="L127" s="288">
        <f>33289+5</f>
        <v>33294</v>
      </c>
      <c r="M127" s="289">
        <v>145.6149519956395</v>
      </c>
      <c r="N127" s="169">
        <v>352</v>
      </c>
      <c r="O127" s="169">
        <v>195.9</v>
      </c>
      <c r="P127" s="291">
        <v>15.8</v>
      </c>
      <c r="Q127" s="287">
        <f t="shared" si="19"/>
        <v>52466443.457322508</v>
      </c>
      <c r="R127" s="291">
        <f t="shared" si="20"/>
        <v>1220375.7730480966</v>
      </c>
      <c r="S127" s="287">
        <f t="shared" si="27"/>
        <v>52466443.457322508</v>
      </c>
      <c r="T127" s="50">
        <f t="shared" si="25"/>
        <v>1205701.4573225081</v>
      </c>
      <c r="U127" s="103">
        <f t="shared" si="26"/>
        <v>2.3520952102537029E-2</v>
      </c>
      <c r="V127" s="13">
        <f t="shared" si="16"/>
        <v>2.3520952102537029E-2</v>
      </c>
      <c r="W127" s="338"/>
      <c r="X127" s="13"/>
    </row>
    <row r="128" spans="1:32" x14ac:dyDescent="0.25">
      <c r="A128" s="167">
        <f t="shared" si="22"/>
        <v>41455</v>
      </c>
      <c r="B128" s="170">
        <v>48246051</v>
      </c>
      <c r="C128" s="288">
        <f>'CDM Activity'!H110</f>
        <v>1167813.734482392</v>
      </c>
      <c r="D128" s="402">
        <f t="shared" si="30"/>
        <v>1.0614958266693164</v>
      </c>
      <c r="E128" s="171">
        <f t="shared" si="17"/>
        <v>1239629.4054801683</v>
      </c>
      <c r="F128" s="171">
        <f t="shared" si="18"/>
        <v>49485680.405480169</v>
      </c>
      <c r="G128" s="222">
        <f>'Weather Analysis '!T13</f>
        <v>106.2</v>
      </c>
      <c r="H128" s="222">
        <f>+'Weather Analysis '!T33</f>
        <v>12.4</v>
      </c>
      <c r="I128" s="169">
        <v>0</v>
      </c>
      <c r="J128" s="169">
        <v>30</v>
      </c>
      <c r="K128" s="287">
        <v>126</v>
      </c>
      <c r="L128" s="288">
        <f>33289+5</f>
        <v>33294</v>
      </c>
      <c r="M128" s="289">
        <v>145.77176933601632</v>
      </c>
      <c r="N128" s="169">
        <v>320</v>
      </c>
      <c r="O128" s="169">
        <v>199</v>
      </c>
      <c r="P128" s="291">
        <v>14.9</v>
      </c>
      <c r="Q128" s="287">
        <f t="shared" si="19"/>
        <v>50906522.783883423</v>
      </c>
      <c r="R128" s="291">
        <f t="shared" si="20"/>
        <v>1239629.4054801683</v>
      </c>
      <c r="S128" s="287">
        <f t="shared" si="27"/>
        <v>50906522.783883423</v>
      </c>
      <c r="T128" s="50">
        <f t="shared" si="25"/>
        <v>2660471.7838834226</v>
      </c>
      <c r="U128" s="103">
        <f t="shared" si="26"/>
        <v>5.514382480513115E-2</v>
      </c>
      <c r="V128" s="13">
        <f t="shared" si="16"/>
        <v>5.514382480513115E-2</v>
      </c>
      <c r="W128" s="338"/>
      <c r="X128" s="13"/>
    </row>
    <row r="129" spans="1:26" x14ac:dyDescent="0.25">
      <c r="A129" s="167">
        <f t="shared" si="22"/>
        <v>41486</v>
      </c>
      <c r="B129" s="170">
        <v>52370705</v>
      </c>
      <c r="C129" s="288">
        <f>'CDM Activity'!H111</f>
        <v>1185951.9427996911</v>
      </c>
      <c r="D129" s="402">
        <f t="shared" si="30"/>
        <v>1.0614958266693164</v>
      </c>
      <c r="E129" s="171">
        <f t="shared" si="17"/>
        <v>1258883.03791224</v>
      </c>
      <c r="F129" s="171">
        <f t="shared" si="18"/>
        <v>53629588.037912242</v>
      </c>
      <c r="G129" s="222">
        <f>'Weather Analysis '!T14</f>
        <v>45</v>
      </c>
      <c r="H129" s="222">
        <f>+'Weather Analysis '!T34</f>
        <v>48.8</v>
      </c>
      <c r="I129" s="169">
        <v>0</v>
      </c>
      <c r="J129" s="169">
        <v>31</v>
      </c>
      <c r="K129" s="287">
        <v>127</v>
      </c>
      <c r="L129" s="288">
        <f>33510+5</f>
        <v>33515</v>
      </c>
      <c r="M129" s="289">
        <v>145.92875555793933</v>
      </c>
      <c r="N129" s="169">
        <v>352</v>
      </c>
      <c r="O129" s="169">
        <v>203.9</v>
      </c>
      <c r="P129" s="291">
        <v>14</v>
      </c>
      <c r="Q129" s="287">
        <f t="shared" si="19"/>
        <v>54671881.117843747</v>
      </c>
      <c r="R129" s="291">
        <f t="shared" si="20"/>
        <v>1258883.03791224</v>
      </c>
      <c r="S129" s="287">
        <f t="shared" si="27"/>
        <v>54671881.117843747</v>
      </c>
      <c r="T129" s="50">
        <f t="shared" si="25"/>
        <v>2301176.1178437471</v>
      </c>
      <c r="U129" s="103">
        <f t="shared" si="26"/>
        <v>4.3940140157436247E-2</v>
      </c>
      <c r="V129" s="13">
        <f t="shared" si="16"/>
        <v>4.3940140157436247E-2</v>
      </c>
      <c r="W129" s="338"/>
      <c r="X129" s="13"/>
      <c r="Y129" s="6"/>
      <c r="Z129" s="57"/>
    </row>
    <row r="130" spans="1:26" x14ac:dyDescent="0.25">
      <c r="A130" s="167">
        <f t="shared" si="22"/>
        <v>41517</v>
      </c>
      <c r="B130" s="170">
        <v>51254455</v>
      </c>
      <c r="C130" s="288">
        <f>'CDM Activity'!H112</f>
        <v>1204090.1511169903</v>
      </c>
      <c r="D130" s="402">
        <f t="shared" si="30"/>
        <v>1.0614958266693164</v>
      </c>
      <c r="E130" s="171">
        <f t="shared" si="17"/>
        <v>1278136.6703443117</v>
      </c>
      <c r="F130" s="171">
        <f t="shared" si="18"/>
        <v>52532591.670344308</v>
      </c>
      <c r="G130" s="222">
        <f>'Weather Analysis '!T15</f>
        <v>57.3</v>
      </c>
      <c r="H130" s="222">
        <f>+'Weather Analysis '!T35</f>
        <v>27.1</v>
      </c>
      <c r="I130" s="169">
        <v>0</v>
      </c>
      <c r="J130" s="169">
        <v>31</v>
      </c>
      <c r="K130" s="287">
        <v>128</v>
      </c>
      <c r="L130" s="288">
        <f>33510+5</f>
        <v>33515</v>
      </c>
      <c r="M130" s="289">
        <v>146.08591084328242</v>
      </c>
      <c r="N130" s="169">
        <v>336</v>
      </c>
      <c r="O130" s="169">
        <v>205</v>
      </c>
      <c r="P130" s="291">
        <v>14.4</v>
      </c>
      <c r="Q130" s="287">
        <f t="shared" si="19"/>
        <v>53245059.118403107</v>
      </c>
      <c r="R130" s="291">
        <f t="shared" si="20"/>
        <v>1278136.6703443117</v>
      </c>
      <c r="S130" s="287">
        <f t="shared" si="27"/>
        <v>53245059.118403107</v>
      </c>
      <c r="T130" s="50">
        <f t="shared" si="25"/>
        <v>1990604.1184031069</v>
      </c>
      <c r="U130" s="103">
        <f t="shared" si="26"/>
        <v>3.8837679932468443E-2</v>
      </c>
      <c r="V130" s="13">
        <f t="shared" si="16"/>
        <v>3.8837679932468443E-2</v>
      </c>
      <c r="W130" s="338"/>
      <c r="X130" s="13"/>
      <c r="Y130" s="6"/>
      <c r="Z130" s="57"/>
    </row>
    <row r="131" spans="1:26" x14ac:dyDescent="0.25">
      <c r="A131" s="167">
        <f t="shared" si="22"/>
        <v>41547</v>
      </c>
      <c r="B131" s="170">
        <v>48184318</v>
      </c>
      <c r="C131" s="288">
        <f>'CDM Activity'!H113</f>
        <v>1222228.3594342894</v>
      </c>
      <c r="D131" s="402">
        <f t="shared" si="30"/>
        <v>1.0614958266693164</v>
      </c>
      <c r="E131" s="171">
        <f t="shared" si="17"/>
        <v>1297390.3027763835</v>
      </c>
      <c r="F131" s="171">
        <f t="shared" si="18"/>
        <v>49481708.302776381</v>
      </c>
      <c r="G131" s="222">
        <f>'Weather Analysis '!T16</f>
        <v>165.6</v>
      </c>
      <c r="H131" s="222">
        <f>+'Weather Analysis '!T36</f>
        <v>5.8</v>
      </c>
      <c r="I131" s="169">
        <v>1</v>
      </c>
      <c r="J131" s="169">
        <v>30</v>
      </c>
      <c r="K131" s="287">
        <v>129</v>
      </c>
      <c r="L131" s="288">
        <f>33510+5</f>
        <v>33515</v>
      </c>
      <c r="M131" s="289">
        <v>146.2432353741153</v>
      </c>
      <c r="N131" s="169">
        <v>320</v>
      </c>
      <c r="O131" s="169">
        <v>203.1</v>
      </c>
      <c r="P131" s="291">
        <v>14.2</v>
      </c>
      <c r="Q131" s="287">
        <f t="shared" si="19"/>
        <v>50937287.42771247</v>
      </c>
      <c r="R131" s="291">
        <f t="shared" si="20"/>
        <v>1297390.3027763835</v>
      </c>
      <c r="S131" s="287">
        <f t="shared" si="27"/>
        <v>50937287.42771247</v>
      </c>
      <c r="T131" s="50">
        <f t="shared" ref="T131:T162" si="31">S131-B131</f>
        <v>2752969.4277124703</v>
      </c>
      <c r="U131" s="103">
        <f t="shared" ref="U131:U162" si="32">T131/B131</f>
        <v>5.7134137038371495E-2</v>
      </c>
      <c r="V131" s="13">
        <f t="shared" ref="V131:V170" si="33">ABS(U131)</f>
        <v>5.7134137038371495E-2</v>
      </c>
      <c r="W131" s="338"/>
      <c r="X131" s="13"/>
      <c r="Y131" s="6"/>
      <c r="Z131" s="57"/>
    </row>
    <row r="132" spans="1:26" x14ac:dyDescent="0.25">
      <c r="A132" s="167">
        <f t="shared" si="22"/>
        <v>41578</v>
      </c>
      <c r="B132" s="170">
        <v>54286247</v>
      </c>
      <c r="C132" s="288">
        <f>'CDM Activity'!H114</f>
        <v>1240366.5677515885</v>
      </c>
      <c r="D132" s="402">
        <f t="shared" si="30"/>
        <v>1.0614958266693164</v>
      </c>
      <c r="E132" s="171">
        <f t="shared" ref="E132:E194" si="34">C132*D132</f>
        <v>1316643.9352084552</v>
      </c>
      <c r="F132" s="171">
        <f t="shared" ref="F132:F182" si="35">B132+E132</f>
        <v>55602890.935208455</v>
      </c>
      <c r="G132" s="222">
        <f>'Weather Analysis '!T17</f>
        <v>245.2</v>
      </c>
      <c r="H132" s="222">
        <f>+'Weather Analysis '!T37</f>
        <v>0</v>
      </c>
      <c r="I132" s="169">
        <v>1</v>
      </c>
      <c r="J132" s="169">
        <v>31</v>
      </c>
      <c r="K132" s="287">
        <v>130</v>
      </c>
      <c r="L132" s="288">
        <f>33388+5</f>
        <v>33393</v>
      </c>
      <c r="M132" s="289">
        <v>146.4007293327038</v>
      </c>
      <c r="N132" s="169">
        <v>352</v>
      </c>
      <c r="O132" s="169">
        <v>200.2</v>
      </c>
      <c r="P132" s="291">
        <v>14.7</v>
      </c>
      <c r="Q132" s="287">
        <f t="shared" ref="Q132:Q182" si="36">+$Z$43+G132*$Z$44+H132*$Z$45+I132*$Z$46+J132*$Z$47+K132*$Z$48+ L132*$Z$49</f>
        <v>54501859.222112477</v>
      </c>
      <c r="R132" s="291">
        <f t="shared" ref="R132:R194" si="37">E132</f>
        <v>1316643.9352084552</v>
      </c>
      <c r="S132" s="287">
        <f t="shared" ref="S132:S163" si="38">+$Z$43+G132*$Z$44+H132*$Z$45+I132*$Z$46+J132*$Z$47+K132*$Z$48+ L132*$Z$49</f>
        <v>54501859.222112477</v>
      </c>
      <c r="T132" s="50">
        <f t="shared" si="31"/>
        <v>215612.22211247683</v>
      </c>
      <c r="U132" s="103">
        <f t="shared" si="32"/>
        <v>3.9717651159874214E-3</v>
      </c>
      <c r="V132" s="13">
        <f t="shared" si="33"/>
        <v>3.9717651159874214E-3</v>
      </c>
      <c r="W132" s="338"/>
      <c r="X132" s="13"/>
      <c r="Y132" s="6"/>
      <c r="Z132" s="57"/>
    </row>
    <row r="133" spans="1:26" x14ac:dyDescent="0.25">
      <c r="A133" s="167">
        <f t="shared" ref="A133:A162" si="39">EOMONTH(A132,1)</f>
        <v>41608</v>
      </c>
      <c r="B133" s="170">
        <v>64675563</v>
      </c>
      <c r="C133" s="288">
        <f>'CDM Activity'!H115</f>
        <v>1258504.7760688877</v>
      </c>
      <c r="D133" s="402">
        <f t="shared" si="30"/>
        <v>1.0614958266693164</v>
      </c>
      <c r="E133" s="171">
        <f t="shared" si="34"/>
        <v>1335897.5676405269</v>
      </c>
      <c r="F133" s="171">
        <f t="shared" si="35"/>
        <v>66011460.567640528</v>
      </c>
      <c r="G133" s="222">
        <f>'Weather Analysis '!T18</f>
        <v>543.70000000000005</v>
      </c>
      <c r="H133" s="222">
        <f>+'Weather Analysis '!T38</f>
        <v>0</v>
      </c>
      <c r="I133" s="169">
        <v>1</v>
      </c>
      <c r="J133" s="169">
        <v>30</v>
      </c>
      <c r="K133" s="287">
        <v>131</v>
      </c>
      <c r="L133" s="288">
        <f>33388+5</f>
        <v>33393</v>
      </c>
      <c r="M133" s="289">
        <v>146.55839290151005</v>
      </c>
      <c r="N133" s="169">
        <v>336</v>
      </c>
      <c r="O133" s="169">
        <v>197.8</v>
      </c>
      <c r="P133" s="291">
        <v>14.1</v>
      </c>
      <c r="Q133" s="287">
        <f t="shared" si="36"/>
        <v>64298806.628963113</v>
      </c>
      <c r="R133" s="291">
        <f t="shared" si="37"/>
        <v>1335897.5676405269</v>
      </c>
      <c r="S133" s="287">
        <f t="shared" si="38"/>
        <v>64298806.628963113</v>
      </c>
      <c r="T133" s="50">
        <f t="shared" si="31"/>
        <v>-376756.37103688717</v>
      </c>
      <c r="U133" s="103">
        <f t="shared" si="32"/>
        <v>-5.825328046033201E-3</v>
      </c>
      <c r="V133" s="13">
        <f t="shared" si="33"/>
        <v>5.825328046033201E-3</v>
      </c>
      <c r="W133" s="338"/>
      <c r="X133" s="13"/>
      <c r="Y133" s="6"/>
      <c r="Z133" s="57"/>
    </row>
    <row r="134" spans="1:26" x14ac:dyDescent="0.25">
      <c r="A134" s="167">
        <f t="shared" si="39"/>
        <v>41639</v>
      </c>
      <c r="B134" s="170">
        <v>81310312</v>
      </c>
      <c r="C134" s="288">
        <f>'CDM Activity'!H116</f>
        <v>1276642.9843861868</v>
      </c>
      <c r="D134" s="402">
        <f t="shared" si="30"/>
        <v>1.0614958266693164</v>
      </c>
      <c r="E134" s="171">
        <f t="shared" si="34"/>
        <v>1355151.2000725986</v>
      </c>
      <c r="F134" s="171">
        <f t="shared" si="35"/>
        <v>82665463.200072601</v>
      </c>
      <c r="G134" s="222">
        <f>'Weather Analysis '!T19</f>
        <v>874.5</v>
      </c>
      <c r="H134" s="222">
        <f>+'Weather Analysis '!T39</f>
        <v>0</v>
      </c>
      <c r="I134" s="169">
        <v>0</v>
      </c>
      <c r="J134" s="169">
        <v>31</v>
      </c>
      <c r="K134" s="287">
        <v>132</v>
      </c>
      <c r="L134" s="288">
        <f>33388+5</f>
        <v>33393</v>
      </c>
      <c r="M134" s="289">
        <v>146.71622626319265</v>
      </c>
      <c r="N134" s="169">
        <v>320</v>
      </c>
      <c r="O134" s="169">
        <v>196.9</v>
      </c>
      <c r="P134" s="291">
        <v>14.5</v>
      </c>
      <c r="Q134" s="287">
        <f t="shared" si="36"/>
        <v>81794660.433968395</v>
      </c>
      <c r="R134" s="291">
        <f t="shared" si="37"/>
        <v>1355151.2000725986</v>
      </c>
      <c r="S134" s="287">
        <f t="shared" si="38"/>
        <v>81794660.433968395</v>
      </c>
      <c r="T134" s="50">
        <f t="shared" si="31"/>
        <v>484348.43396839499</v>
      </c>
      <c r="U134" s="103">
        <f t="shared" si="32"/>
        <v>5.9567897607919031E-3</v>
      </c>
      <c r="V134" s="13">
        <f t="shared" si="33"/>
        <v>5.9567897607919031E-3</v>
      </c>
      <c r="W134" s="338"/>
      <c r="X134" s="13"/>
      <c r="Y134" s="6"/>
      <c r="Z134" s="57"/>
    </row>
    <row r="135" spans="1:26" x14ac:dyDescent="0.25">
      <c r="A135" s="167">
        <f t="shared" si="39"/>
        <v>41670</v>
      </c>
      <c r="B135" s="170">
        <v>84076330.890000001</v>
      </c>
      <c r="C135" s="288">
        <f>'CDM Activity'!H117</f>
        <v>1325152.4905694686</v>
      </c>
      <c r="D135" s="402">
        <f>'Rate Class Energy Model'!F23</f>
        <v>1.0408170385773401</v>
      </c>
      <c r="E135" s="171">
        <f t="shared" si="34"/>
        <v>1379241.2908979009</v>
      </c>
      <c r="F135" s="171">
        <f t="shared" si="35"/>
        <v>85455572.180897906</v>
      </c>
      <c r="G135" s="222">
        <f>+'Weather Analysis '!U8</f>
        <v>980.3</v>
      </c>
      <c r="H135" s="222">
        <f>+'Weather Analysis '!U28</f>
        <v>0</v>
      </c>
      <c r="I135" s="169">
        <v>0</v>
      </c>
      <c r="J135" s="169">
        <v>31</v>
      </c>
      <c r="K135" s="287">
        <v>133</v>
      </c>
      <c r="L135" s="287">
        <v>33166</v>
      </c>
      <c r="M135" s="289">
        <v>146.94652822408554</v>
      </c>
      <c r="N135" s="169">
        <v>352</v>
      </c>
      <c r="O135" s="169">
        <v>193.9</v>
      </c>
      <c r="P135" s="291">
        <v>14.9</v>
      </c>
      <c r="Q135" s="287">
        <f t="shared" si="36"/>
        <v>84442645.769848466</v>
      </c>
      <c r="R135" s="291">
        <f t="shared" si="37"/>
        <v>1379241.2908979009</v>
      </c>
      <c r="S135" s="287">
        <f t="shared" si="38"/>
        <v>84442645.769848466</v>
      </c>
      <c r="T135" s="50">
        <f t="shared" si="31"/>
        <v>366314.87984846532</v>
      </c>
      <c r="U135" s="103">
        <f t="shared" si="32"/>
        <v>4.3569322777385214E-3</v>
      </c>
      <c r="V135" s="13">
        <f t="shared" si="33"/>
        <v>4.3569322777385214E-3</v>
      </c>
      <c r="W135" s="338"/>
      <c r="X135" s="13"/>
      <c r="Y135" s="6"/>
      <c r="Z135" s="57"/>
    </row>
    <row r="136" spans="1:26" x14ac:dyDescent="0.25">
      <c r="A136" s="167">
        <f t="shared" si="39"/>
        <v>41698</v>
      </c>
      <c r="B136" s="170">
        <v>73283049.849999994</v>
      </c>
      <c r="C136" s="288">
        <f>'CDM Activity'!H118</f>
        <v>1373661.9967527504</v>
      </c>
      <c r="D136" s="402">
        <f>D135</f>
        <v>1.0408170385773401</v>
      </c>
      <c r="E136" s="171">
        <f t="shared" si="34"/>
        <v>1429730.8114664333</v>
      </c>
      <c r="F136" s="171">
        <f t="shared" si="35"/>
        <v>74712780.661466435</v>
      </c>
      <c r="G136" s="222">
        <f>+'Weather Analysis '!U9</f>
        <v>912</v>
      </c>
      <c r="H136" s="222">
        <f>+'Weather Analysis '!U29</f>
        <v>0</v>
      </c>
      <c r="I136" s="169">
        <v>0</v>
      </c>
      <c r="J136" s="169">
        <v>28</v>
      </c>
      <c r="K136" s="287">
        <v>134</v>
      </c>
      <c r="L136" s="287">
        <v>33166</v>
      </c>
      <c r="M136" s="289">
        <v>147.17719169232183</v>
      </c>
      <c r="N136" s="169">
        <v>304</v>
      </c>
      <c r="O136" s="169">
        <v>193.1</v>
      </c>
      <c r="P136" s="291">
        <v>15.4</v>
      </c>
      <c r="Q136" s="287">
        <f t="shared" si="36"/>
        <v>76371376.724106789</v>
      </c>
      <c r="R136" s="291">
        <f t="shared" si="37"/>
        <v>1429730.8114664333</v>
      </c>
      <c r="S136" s="287">
        <f t="shared" si="38"/>
        <v>76371376.724106789</v>
      </c>
      <c r="T136" s="50">
        <f t="shared" si="31"/>
        <v>3088326.8741067946</v>
      </c>
      <c r="U136" s="103">
        <f t="shared" si="32"/>
        <v>4.2142444677564068E-2</v>
      </c>
      <c r="V136" s="13">
        <f t="shared" si="33"/>
        <v>4.2142444677564068E-2</v>
      </c>
      <c r="W136" s="338"/>
      <c r="X136" s="13"/>
      <c r="Y136" s="6"/>
      <c r="Z136" s="57"/>
    </row>
    <row r="137" spans="1:26" x14ac:dyDescent="0.25">
      <c r="A137" s="167">
        <f t="shared" si="39"/>
        <v>41729</v>
      </c>
      <c r="B137" s="170">
        <v>75936435.359999999</v>
      </c>
      <c r="C137" s="288">
        <f>'CDM Activity'!H119</f>
        <v>1422171.5029360321</v>
      </c>
      <c r="D137" s="402">
        <f t="shared" ref="D137:D146" si="40">D136</f>
        <v>1.0408170385773401</v>
      </c>
      <c r="E137" s="171">
        <f t="shared" si="34"/>
        <v>1480220.332034966</v>
      </c>
      <c r="F137" s="171">
        <f t="shared" si="35"/>
        <v>77416655.69203496</v>
      </c>
      <c r="G137" s="222">
        <f>+'Weather Analysis '!U10</f>
        <v>895</v>
      </c>
      <c r="H137" s="222">
        <f>+'Weather Analysis '!U30</f>
        <v>0</v>
      </c>
      <c r="I137" s="169">
        <v>1</v>
      </c>
      <c r="J137" s="169">
        <v>31</v>
      </c>
      <c r="K137" s="287">
        <v>135</v>
      </c>
      <c r="L137" s="287">
        <v>33166</v>
      </c>
      <c r="M137" s="289">
        <v>147.40821723536328</v>
      </c>
      <c r="N137" s="169">
        <v>336</v>
      </c>
      <c r="O137" s="169">
        <v>193.3</v>
      </c>
      <c r="P137" s="291">
        <v>15.5</v>
      </c>
      <c r="Q137" s="287">
        <f t="shared" si="36"/>
        <v>78086916.32667464</v>
      </c>
      <c r="R137" s="291">
        <f t="shared" si="37"/>
        <v>1480220.332034966</v>
      </c>
      <c r="S137" s="287">
        <f t="shared" si="38"/>
        <v>78086916.32667464</v>
      </c>
      <c r="T137" s="50">
        <f t="shared" si="31"/>
        <v>2150480.9666746408</v>
      </c>
      <c r="U137" s="103">
        <f t="shared" si="32"/>
        <v>2.8319487956994887E-2</v>
      </c>
      <c r="V137" s="13">
        <f t="shared" si="33"/>
        <v>2.8319487956994887E-2</v>
      </c>
      <c r="W137" s="338"/>
      <c r="X137" s="13"/>
      <c r="Y137" s="6"/>
      <c r="Z137" s="57"/>
    </row>
    <row r="138" spans="1:26" x14ac:dyDescent="0.25">
      <c r="A138" s="167">
        <f t="shared" si="39"/>
        <v>41759</v>
      </c>
      <c r="B138" s="170">
        <v>60945927.880000003</v>
      </c>
      <c r="C138" s="288">
        <f>'CDM Activity'!H120</f>
        <v>1470681.0091193139</v>
      </c>
      <c r="D138" s="402">
        <f t="shared" si="40"/>
        <v>1.0408170385773401</v>
      </c>
      <c r="E138" s="171">
        <f t="shared" si="34"/>
        <v>1530709.8526034984</v>
      </c>
      <c r="F138" s="171">
        <f t="shared" si="35"/>
        <v>62476637.732603498</v>
      </c>
      <c r="G138" s="222">
        <f>+'Weather Analysis '!U11</f>
        <v>511.1</v>
      </c>
      <c r="H138" s="222">
        <f>+'Weather Analysis '!U31</f>
        <v>0</v>
      </c>
      <c r="I138" s="169">
        <v>1</v>
      </c>
      <c r="J138" s="169">
        <v>30</v>
      </c>
      <c r="K138" s="287">
        <v>136</v>
      </c>
      <c r="L138" s="287">
        <v>33415</v>
      </c>
      <c r="M138" s="289">
        <v>147.63960542156246</v>
      </c>
      <c r="N138" s="169">
        <v>320</v>
      </c>
      <c r="O138" s="169">
        <v>195.9</v>
      </c>
      <c r="P138" s="291">
        <v>15.2</v>
      </c>
      <c r="Q138" s="287">
        <f t="shared" si="36"/>
        <v>62801417.140569329</v>
      </c>
      <c r="R138" s="291">
        <f t="shared" si="37"/>
        <v>1530709.8526034984</v>
      </c>
      <c r="S138" s="287">
        <f t="shared" si="38"/>
        <v>62801417.140569329</v>
      </c>
      <c r="T138" s="50">
        <f t="shared" si="31"/>
        <v>1855489.2605693266</v>
      </c>
      <c r="U138" s="103">
        <f t="shared" si="32"/>
        <v>3.0444843898721301E-2</v>
      </c>
      <c r="V138" s="13">
        <f t="shared" si="33"/>
        <v>3.0444843898721301E-2</v>
      </c>
      <c r="W138" s="338"/>
      <c r="X138" s="13"/>
    </row>
    <row r="139" spans="1:26" x14ac:dyDescent="0.25">
      <c r="A139" s="167">
        <f t="shared" si="39"/>
        <v>41790</v>
      </c>
      <c r="B139" s="170">
        <v>53127584.270000003</v>
      </c>
      <c r="C139" s="288">
        <f>'CDM Activity'!H121</f>
        <v>1519190.5153025957</v>
      </c>
      <c r="D139" s="402">
        <f t="shared" si="40"/>
        <v>1.0408170385773401</v>
      </c>
      <c r="E139" s="171">
        <f t="shared" si="34"/>
        <v>1581199.373172031</v>
      </c>
      <c r="F139" s="171">
        <f t="shared" si="35"/>
        <v>54708783.643172033</v>
      </c>
      <c r="G139" s="222">
        <f>+'Weather Analysis '!U12</f>
        <v>267.89999999999998</v>
      </c>
      <c r="H139" s="222">
        <f>+'Weather Analysis '!U32</f>
        <v>0.8</v>
      </c>
      <c r="I139" s="169">
        <v>1</v>
      </c>
      <c r="J139" s="169">
        <v>31</v>
      </c>
      <c r="K139" s="287">
        <v>137</v>
      </c>
      <c r="L139" s="287">
        <v>33415</v>
      </c>
      <c r="M139" s="289">
        <v>147.87135682016401</v>
      </c>
      <c r="N139" s="169">
        <v>336</v>
      </c>
      <c r="O139" s="169">
        <v>199</v>
      </c>
      <c r="P139" s="291">
        <v>16</v>
      </c>
      <c r="Q139" s="287">
        <f t="shared" si="36"/>
        <v>55085143.489687532</v>
      </c>
      <c r="R139" s="291">
        <f t="shared" si="37"/>
        <v>1581199.373172031</v>
      </c>
      <c r="S139" s="287">
        <f t="shared" si="38"/>
        <v>55085143.489687532</v>
      </c>
      <c r="T139" s="50">
        <f t="shared" si="31"/>
        <v>1957559.2196875289</v>
      </c>
      <c r="U139" s="103">
        <f t="shared" si="32"/>
        <v>3.684638115181383E-2</v>
      </c>
      <c r="V139" s="13">
        <f t="shared" si="33"/>
        <v>3.684638115181383E-2</v>
      </c>
      <c r="W139" s="338"/>
      <c r="X139" s="13"/>
    </row>
    <row r="140" spans="1:26" x14ac:dyDescent="0.25">
      <c r="A140" s="167">
        <f t="shared" si="39"/>
        <v>41820</v>
      </c>
      <c r="B140" s="170">
        <v>47524355.130000003</v>
      </c>
      <c r="C140" s="288">
        <f>'CDM Activity'!H122</f>
        <v>1567700.0214858775</v>
      </c>
      <c r="D140" s="402">
        <f t="shared" si="40"/>
        <v>1.0408170385773401</v>
      </c>
      <c r="E140" s="171">
        <f t="shared" si="34"/>
        <v>1631688.8937405634</v>
      </c>
      <c r="F140" s="171">
        <f t="shared" si="35"/>
        <v>49156044.023740567</v>
      </c>
      <c r="G140" s="222">
        <f>+'Weather Analysis '!U13</f>
        <v>96.9</v>
      </c>
      <c r="H140" s="222">
        <f>+'Weather Analysis '!U33</f>
        <v>12</v>
      </c>
      <c r="I140" s="169">
        <v>0</v>
      </c>
      <c r="J140" s="169">
        <v>30</v>
      </c>
      <c r="K140" s="287">
        <v>138</v>
      </c>
      <c r="L140" s="287">
        <v>33415</v>
      </c>
      <c r="M140" s="289">
        <v>148.10347200130616</v>
      </c>
      <c r="N140" s="169">
        <v>336</v>
      </c>
      <c r="O140" s="169">
        <v>204.6</v>
      </c>
      <c r="P140" s="291">
        <v>15.4</v>
      </c>
      <c r="Q140" s="287">
        <f t="shared" si="36"/>
        <v>50391956.950069189</v>
      </c>
      <c r="R140" s="291">
        <f t="shared" si="37"/>
        <v>1631688.8937405634</v>
      </c>
      <c r="S140" s="287">
        <f t="shared" si="38"/>
        <v>50391956.950069189</v>
      </c>
      <c r="T140" s="50">
        <f t="shared" si="31"/>
        <v>2867601.8200691864</v>
      </c>
      <c r="U140" s="103">
        <f t="shared" si="32"/>
        <v>6.0339626118545632E-2</v>
      </c>
      <c r="V140" s="13">
        <f t="shared" si="33"/>
        <v>6.0339626118545632E-2</v>
      </c>
      <c r="W140" s="338"/>
      <c r="X140" s="13"/>
    </row>
    <row r="141" spans="1:26" x14ac:dyDescent="0.25">
      <c r="A141" s="167">
        <f t="shared" si="39"/>
        <v>41851</v>
      </c>
      <c r="B141" s="170">
        <v>48026904.079999998</v>
      </c>
      <c r="C141" s="288">
        <f>'CDM Activity'!H123</f>
        <v>1616209.5276691592</v>
      </c>
      <c r="D141" s="402">
        <f t="shared" si="40"/>
        <v>1.0408170385773401</v>
      </c>
      <c r="E141" s="171">
        <f t="shared" si="34"/>
        <v>1682178.4143090958</v>
      </c>
      <c r="F141" s="171">
        <f t="shared" si="35"/>
        <v>49709082.494309098</v>
      </c>
      <c r="G141" s="222">
        <f>+'Weather Analysis '!U14</f>
        <v>88.1</v>
      </c>
      <c r="H141" s="222">
        <f>+'Weather Analysis '!U34</f>
        <v>6.4</v>
      </c>
      <c r="I141" s="169">
        <v>0</v>
      </c>
      <c r="J141" s="169">
        <v>31</v>
      </c>
      <c r="K141" s="287">
        <v>139</v>
      </c>
      <c r="L141" s="287">
        <v>33400</v>
      </c>
      <c r="M141" s="289">
        <v>148.33595153602209</v>
      </c>
      <c r="N141" s="169">
        <v>352</v>
      </c>
      <c r="O141" s="169">
        <v>209.4</v>
      </c>
      <c r="P141" s="291">
        <v>16.600000000000001</v>
      </c>
      <c r="Q141" s="287">
        <f t="shared" si="36"/>
        <v>51187761.576998681</v>
      </c>
      <c r="R141" s="291">
        <f t="shared" si="37"/>
        <v>1682178.4143090958</v>
      </c>
      <c r="S141" s="287">
        <f t="shared" si="38"/>
        <v>51187761.576998681</v>
      </c>
      <c r="T141" s="50">
        <f t="shared" si="31"/>
        <v>3160857.4969986826</v>
      </c>
      <c r="U141" s="103">
        <f t="shared" si="32"/>
        <v>6.5814308824352658E-2</v>
      </c>
      <c r="V141" s="13">
        <f t="shared" si="33"/>
        <v>6.5814308824352658E-2</v>
      </c>
      <c r="W141" s="338"/>
      <c r="X141" s="13"/>
    </row>
    <row r="142" spans="1:26" x14ac:dyDescent="0.25">
      <c r="A142" s="167">
        <f t="shared" si="39"/>
        <v>41882</v>
      </c>
      <c r="B142" s="170">
        <v>48878136.899999999</v>
      </c>
      <c r="C142" s="288">
        <f>'CDM Activity'!H124</f>
        <v>1664719.033852441</v>
      </c>
      <c r="D142" s="402">
        <f t="shared" si="40"/>
        <v>1.0408170385773401</v>
      </c>
      <c r="E142" s="171">
        <f t="shared" si="34"/>
        <v>1732667.9348776285</v>
      </c>
      <c r="F142" s="171">
        <f t="shared" si="35"/>
        <v>50610804.834877625</v>
      </c>
      <c r="G142" s="222">
        <f>+'Weather Analysis '!U15</f>
        <v>63.4</v>
      </c>
      <c r="H142" s="222">
        <f>+'Weather Analysis '!U35</f>
        <v>13.5</v>
      </c>
      <c r="I142" s="169">
        <v>0</v>
      </c>
      <c r="J142" s="169">
        <v>31</v>
      </c>
      <c r="K142" s="287">
        <v>140</v>
      </c>
      <c r="L142" s="287">
        <v>33400</v>
      </c>
      <c r="M142" s="289">
        <v>148.56879599624133</v>
      </c>
      <c r="N142" s="169">
        <v>320</v>
      </c>
      <c r="O142" s="169">
        <v>210.7</v>
      </c>
      <c r="P142" s="291">
        <v>17.5</v>
      </c>
      <c r="Q142" s="287">
        <f t="shared" si="36"/>
        <v>50751817.354183793</v>
      </c>
      <c r="R142" s="291">
        <f t="shared" si="37"/>
        <v>1732667.9348776285</v>
      </c>
      <c r="S142" s="287">
        <f t="shared" si="38"/>
        <v>50751817.354183793</v>
      </c>
      <c r="T142" s="50">
        <f t="shared" si="31"/>
        <v>1873680.4541837946</v>
      </c>
      <c r="U142" s="103">
        <f t="shared" si="32"/>
        <v>3.8333712637557478E-2</v>
      </c>
      <c r="V142" s="13">
        <f t="shared" si="33"/>
        <v>3.8333712637557478E-2</v>
      </c>
      <c r="W142" s="338"/>
      <c r="X142" s="13"/>
    </row>
    <row r="143" spans="1:26" x14ac:dyDescent="0.25">
      <c r="A143" s="167">
        <f t="shared" si="39"/>
        <v>41912</v>
      </c>
      <c r="B143" s="170">
        <v>47959876.32</v>
      </c>
      <c r="C143" s="288">
        <f>'CDM Activity'!H125</f>
        <v>1713228.5400357228</v>
      </c>
      <c r="D143" s="402">
        <f t="shared" si="40"/>
        <v>1.0408170385773401</v>
      </c>
      <c r="E143" s="171">
        <f t="shared" si="34"/>
        <v>1783157.4554461609</v>
      </c>
      <c r="F143" s="171">
        <f t="shared" si="35"/>
        <v>49743033.775446162</v>
      </c>
      <c r="G143" s="222">
        <f>+'Weather Analysis '!U16</f>
        <v>158.19999999999999</v>
      </c>
      <c r="H143" s="222">
        <f>+'Weather Analysis '!U36</f>
        <v>1.4</v>
      </c>
      <c r="I143" s="169">
        <v>1</v>
      </c>
      <c r="J143" s="169">
        <v>30</v>
      </c>
      <c r="K143" s="287">
        <v>141</v>
      </c>
      <c r="L143" s="287">
        <v>33400</v>
      </c>
      <c r="M143" s="289">
        <v>148.80200595479118</v>
      </c>
      <c r="N143" s="169">
        <v>336</v>
      </c>
      <c r="O143" s="169"/>
      <c r="P143" s="291">
        <v>0</v>
      </c>
      <c r="Q143" s="287">
        <f t="shared" si="36"/>
        <v>48695001.905538559</v>
      </c>
      <c r="R143" s="291">
        <f t="shared" si="37"/>
        <v>1783157.4554461609</v>
      </c>
      <c r="S143" s="287">
        <f t="shared" si="38"/>
        <v>48695001.905538559</v>
      </c>
      <c r="T143" s="50">
        <f t="shared" si="31"/>
        <v>735125.58553855866</v>
      </c>
      <c r="U143" s="103">
        <f t="shared" si="32"/>
        <v>1.5327929134629567E-2</v>
      </c>
      <c r="V143" s="13">
        <f t="shared" si="33"/>
        <v>1.5327929134629567E-2</v>
      </c>
      <c r="W143" s="338"/>
      <c r="X143" s="13"/>
    </row>
    <row r="144" spans="1:26" x14ac:dyDescent="0.25">
      <c r="A144" s="167">
        <f t="shared" si="39"/>
        <v>41943</v>
      </c>
      <c r="B144" s="170">
        <v>54613898.210000001</v>
      </c>
      <c r="C144" s="288">
        <f>'CDM Activity'!H126</f>
        <v>1761738.0462190046</v>
      </c>
      <c r="D144" s="402">
        <f t="shared" si="40"/>
        <v>1.0408170385773401</v>
      </c>
      <c r="E144" s="171">
        <f t="shared" si="34"/>
        <v>1833646.9760146935</v>
      </c>
      <c r="F144" s="171">
        <f t="shared" si="35"/>
        <v>56447545.186014697</v>
      </c>
      <c r="G144" s="222">
        <f>+'Weather Analysis '!U17</f>
        <v>341</v>
      </c>
      <c r="H144" s="222">
        <f>+'Weather Analysis '!U37</f>
        <v>0</v>
      </c>
      <c r="I144" s="169">
        <v>1</v>
      </c>
      <c r="J144" s="169">
        <v>31</v>
      </c>
      <c r="K144" s="287">
        <v>142</v>
      </c>
      <c r="L144" s="287">
        <v>33513</v>
      </c>
      <c r="M144" s="289">
        <v>149.0355819853981</v>
      </c>
      <c r="N144" s="169">
        <v>352</v>
      </c>
      <c r="O144" s="169"/>
      <c r="P144" s="291">
        <v>0</v>
      </c>
      <c r="Q144" s="287">
        <f t="shared" si="36"/>
        <v>58115837.006690502</v>
      </c>
      <c r="R144" s="291">
        <f t="shared" si="37"/>
        <v>1833646.9760146935</v>
      </c>
      <c r="S144" s="287">
        <f t="shared" si="38"/>
        <v>58115837.006690502</v>
      </c>
      <c r="T144" s="50">
        <f t="shared" si="31"/>
        <v>3501938.7966905013</v>
      </c>
      <c r="U144" s="103">
        <f t="shared" si="32"/>
        <v>6.4121751266040986E-2</v>
      </c>
      <c r="V144" s="13">
        <f t="shared" si="33"/>
        <v>6.4121751266040986E-2</v>
      </c>
      <c r="W144" s="338"/>
      <c r="X144" s="13"/>
    </row>
    <row r="145" spans="1:24" x14ac:dyDescent="0.25">
      <c r="A145" s="167">
        <f t="shared" si="39"/>
        <v>41973</v>
      </c>
      <c r="B145" s="170">
        <v>64852403.060000002</v>
      </c>
      <c r="C145" s="288">
        <f>'CDM Activity'!H127</f>
        <v>1810247.5524022863</v>
      </c>
      <c r="D145" s="402">
        <f t="shared" si="40"/>
        <v>1.0408170385773401</v>
      </c>
      <c r="E145" s="171">
        <f t="shared" si="34"/>
        <v>1884136.4965832259</v>
      </c>
      <c r="F145" s="171">
        <f t="shared" si="35"/>
        <v>66736539.556583226</v>
      </c>
      <c r="G145" s="222">
        <f>+'Weather Analysis '!U18</f>
        <v>616.1</v>
      </c>
      <c r="H145" s="222">
        <f>+'Weather Analysis '!U38</f>
        <v>0</v>
      </c>
      <c r="I145" s="169">
        <v>1</v>
      </c>
      <c r="J145" s="169">
        <v>30</v>
      </c>
      <c r="K145" s="287">
        <v>143</v>
      </c>
      <c r="L145" s="287">
        <v>33513</v>
      </c>
      <c r="M145" s="289">
        <v>149.26952466268912</v>
      </c>
      <c r="N145" s="169">
        <v>304</v>
      </c>
      <c r="O145" s="169"/>
      <c r="P145" s="291">
        <v>0</v>
      </c>
      <c r="Q145" s="287">
        <f t="shared" si="36"/>
        <v>66999731.993856698</v>
      </c>
      <c r="R145" s="291">
        <f t="shared" si="37"/>
        <v>1884136.4965832259</v>
      </c>
      <c r="S145" s="287">
        <f t="shared" si="38"/>
        <v>66999731.993856698</v>
      </c>
      <c r="T145" s="50">
        <f t="shared" si="31"/>
        <v>2147328.9338566959</v>
      </c>
      <c r="U145" s="103">
        <f t="shared" si="32"/>
        <v>3.3111015668456187E-2</v>
      </c>
      <c r="V145" s="13">
        <f t="shared" si="33"/>
        <v>3.3111015668456187E-2</v>
      </c>
      <c r="W145" s="338"/>
      <c r="X145" s="13"/>
    </row>
    <row r="146" spans="1:24" x14ac:dyDescent="0.25">
      <c r="A146" s="167">
        <f t="shared" si="39"/>
        <v>42004</v>
      </c>
      <c r="B146" s="170">
        <v>71265383.040000007</v>
      </c>
      <c r="C146" s="288">
        <f>'CDM Activity'!H128</f>
        <v>1858757.0585855681</v>
      </c>
      <c r="D146" s="402">
        <f t="shared" si="40"/>
        <v>1.0408170385773401</v>
      </c>
      <c r="E146" s="171">
        <f t="shared" si="34"/>
        <v>1934626.0171517585</v>
      </c>
      <c r="F146" s="171">
        <f t="shared" si="35"/>
        <v>73200009.057151765</v>
      </c>
      <c r="G146" s="222">
        <f>+'Weather Analysis '!U19</f>
        <v>691.4</v>
      </c>
      <c r="H146" s="222">
        <f>+'Weather Analysis '!U39</f>
        <v>0</v>
      </c>
      <c r="I146" s="169">
        <v>0</v>
      </c>
      <c r="J146" s="169">
        <v>31</v>
      </c>
      <c r="K146" s="287">
        <v>144</v>
      </c>
      <c r="L146" s="287">
        <v>33513</v>
      </c>
      <c r="M146" s="289">
        <v>149.5038345621933</v>
      </c>
      <c r="N146" s="169">
        <v>336</v>
      </c>
      <c r="O146" s="169"/>
      <c r="P146" s="291">
        <v>0</v>
      </c>
      <c r="Q146" s="287">
        <f t="shared" si="36"/>
        <v>74526145.917264923</v>
      </c>
      <c r="R146" s="291">
        <f t="shared" si="37"/>
        <v>1934626.0171517585</v>
      </c>
      <c r="S146" s="287">
        <f t="shared" si="38"/>
        <v>74526145.917264923</v>
      </c>
      <c r="T146" s="50">
        <f t="shared" si="31"/>
        <v>3260762.8772649169</v>
      </c>
      <c r="U146" s="103">
        <f t="shared" si="32"/>
        <v>4.5755214357505215E-2</v>
      </c>
      <c r="V146" s="13">
        <f t="shared" si="33"/>
        <v>4.5755214357505215E-2</v>
      </c>
      <c r="W146" s="338"/>
      <c r="X146" s="13"/>
    </row>
    <row r="147" spans="1:24" x14ac:dyDescent="0.25">
      <c r="A147" s="196">
        <f>EOMONTH(A146,1)</f>
        <v>42035</v>
      </c>
      <c r="B147" s="170">
        <v>79807046.409999996</v>
      </c>
      <c r="C147" s="288">
        <f>'CDM Activity'!H129</f>
        <v>1849184.669818654</v>
      </c>
      <c r="D147" s="402">
        <f>'Rate Class Energy Model'!F24</f>
        <v>1.0435171705156632</v>
      </c>
      <c r="E147" s="171">
        <f t="shared" si="34"/>
        <v>1929655.9544101027</v>
      </c>
      <c r="F147" s="171">
        <f t="shared" si="35"/>
        <v>81736702.364410102</v>
      </c>
      <c r="G147" s="223">
        <f>+'Weather Analysis '!V8</f>
        <v>923.4</v>
      </c>
      <c r="H147" s="223">
        <f>+'Weather Analysis '!V28</f>
        <v>0</v>
      </c>
      <c r="I147" s="169">
        <v>0</v>
      </c>
      <c r="J147" s="169">
        <v>31</v>
      </c>
      <c r="K147" s="287">
        <v>145</v>
      </c>
      <c r="L147" s="287">
        <v>33539</v>
      </c>
      <c r="M147" s="289">
        <v>149.79960271328571</v>
      </c>
      <c r="N147" s="169">
        <v>336</v>
      </c>
      <c r="O147" s="169"/>
      <c r="P147" s="293">
        <v>0</v>
      </c>
      <c r="Q147" s="287">
        <f t="shared" si="36"/>
        <v>83667527.06164445</v>
      </c>
      <c r="R147" s="291">
        <f t="shared" si="37"/>
        <v>1929655.9544101027</v>
      </c>
      <c r="S147" s="287">
        <f t="shared" si="38"/>
        <v>83667527.06164445</v>
      </c>
      <c r="T147" s="50">
        <f t="shared" si="31"/>
        <v>3860480.6516444534</v>
      </c>
      <c r="U147" s="103">
        <f t="shared" si="32"/>
        <v>4.8372679171857273E-2</v>
      </c>
      <c r="V147" s="13">
        <f t="shared" si="33"/>
        <v>4.8372679171857273E-2</v>
      </c>
      <c r="W147" s="338"/>
      <c r="X147" s="13"/>
    </row>
    <row r="148" spans="1:24" x14ac:dyDescent="0.25">
      <c r="A148" s="196">
        <f t="shared" si="39"/>
        <v>42063</v>
      </c>
      <c r="B148" s="170">
        <v>75728989.640000001</v>
      </c>
      <c r="C148" s="288">
        <f>'CDM Activity'!H130</f>
        <v>1839612.2810517398</v>
      </c>
      <c r="D148" s="402">
        <f>D147</f>
        <v>1.0435171705156632</v>
      </c>
      <c r="E148" s="171">
        <f t="shared" si="34"/>
        <v>1919667.0023689764</v>
      </c>
      <c r="F148" s="171">
        <f t="shared" si="35"/>
        <v>77648656.642368972</v>
      </c>
      <c r="G148" s="223">
        <f>+'Weather Analysis '!V9</f>
        <v>1015.2</v>
      </c>
      <c r="H148" s="223">
        <f>+'Weather Analysis '!V29</f>
        <v>0</v>
      </c>
      <c r="I148" s="169">
        <v>0</v>
      </c>
      <c r="J148" s="169">
        <v>28</v>
      </c>
      <c r="K148" s="287">
        <v>146</v>
      </c>
      <c r="L148" s="287">
        <v>33539</v>
      </c>
      <c r="M148" s="289">
        <v>150.09595599183959</v>
      </c>
      <c r="N148" s="169">
        <v>304</v>
      </c>
      <c r="O148" s="169"/>
      <c r="P148" s="293"/>
      <c r="Q148" s="287">
        <f t="shared" si="36"/>
        <v>81843253.417247966</v>
      </c>
      <c r="R148" s="291">
        <f t="shared" si="37"/>
        <v>1919667.0023689764</v>
      </c>
      <c r="S148" s="287">
        <f t="shared" si="38"/>
        <v>81843253.417247966</v>
      </c>
      <c r="T148" s="50">
        <f t="shared" si="31"/>
        <v>6114263.7772479653</v>
      </c>
      <c r="U148" s="103">
        <f t="shared" si="32"/>
        <v>8.0738747556436632E-2</v>
      </c>
      <c r="V148" s="13">
        <f t="shared" si="33"/>
        <v>8.0738747556436632E-2</v>
      </c>
      <c r="W148" s="338"/>
      <c r="X148" s="13"/>
    </row>
    <row r="149" spans="1:24" x14ac:dyDescent="0.25">
      <c r="A149" s="196">
        <f t="shared" si="39"/>
        <v>42094</v>
      </c>
      <c r="B149" s="170">
        <v>70753090.569999993</v>
      </c>
      <c r="C149" s="288">
        <f>'CDM Activity'!H131</f>
        <v>1830039.8922848257</v>
      </c>
      <c r="D149" s="402">
        <f t="shared" ref="D149:D158" si="41">D148</f>
        <v>1.0435171705156632</v>
      </c>
      <c r="E149" s="171">
        <f t="shared" si="34"/>
        <v>1909678.0503278503</v>
      </c>
      <c r="F149" s="171">
        <f t="shared" si="35"/>
        <v>72662768.620327845</v>
      </c>
      <c r="G149" s="223">
        <f>+'Weather Analysis '!V10</f>
        <v>786.6</v>
      </c>
      <c r="H149" s="223">
        <f>+'Weather Analysis '!V30</f>
        <v>0</v>
      </c>
      <c r="I149" s="169">
        <v>1</v>
      </c>
      <c r="J149" s="169">
        <v>31</v>
      </c>
      <c r="K149" s="287">
        <v>147</v>
      </c>
      <c r="L149" s="287">
        <v>33539</v>
      </c>
      <c r="M149" s="289">
        <v>150.39289555543107</v>
      </c>
      <c r="N149" s="169">
        <v>352</v>
      </c>
      <c r="O149" s="169"/>
      <c r="P149" s="293"/>
      <c r="Q149" s="287">
        <f t="shared" si="36"/>
        <v>75302301.908481389</v>
      </c>
      <c r="R149" s="291">
        <f t="shared" si="37"/>
        <v>1909678.0503278503</v>
      </c>
      <c r="S149" s="287">
        <f t="shared" si="38"/>
        <v>75302301.908481389</v>
      </c>
      <c r="T149" s="50">
        <f t="shared" si="31"/>
        <v>4549211.3384813964</v>
      </c>
      <c r="U149" s="103">
        <f t="shared" si="32"/>
        <v>6.4296998220602211E-2</v>
      </c>
      <c r="V149" s="13">
        <f t="shared" si="33"/>
        <v>6.4296998220602211E-2</v>
      </c>
      <c r="W149" s="338"/>
      <c r="X149" s="13"/>
    </row>
    <row r="150" spans="1:24" x14ac:dyDescent="0.25">
      <c r="A150" s="196">
        <f t="shared" si="39"/>
        <v>42124</v>
      </c>
      <c r="B150" s="170">
        <v>57109491.909999996</v>
      </c>
      <c r="C150" s="288">
        <f>'CDM Activity'!H132</f>
        <v>1820467.5035179115</v>
      </c>
      <c r="D150" s="402">
        <f t="shared" si="41"/>
        <v>1.0435171705156632</v>
      </c>
      <c r="E150" s="171">
        <f t="shared" si="34"/>
        <v>1899689.0982867242</v>
      </c>
      <c r="F150" s="171">
        <f t="shared" si="35"/>
        <v>59009181.008286722</v>
      </c>
      <c r="G150" s="223">
        <f>+'Weather Analysis '!V11</f>
        <v>474.4</v>
      </c>
      <c r="H150" s="223">
        <f>+'Weather Analysis '!V31</f>
        <v>0</v>
      </c>
      <c r="I150" s="169">
        <v>1</v>
      </c>
      <c r="J150" s="169">
        <v>30</v>
      </c>
      <c r="K150" s="287">
        <v>148</v>
      </c>
      <c r="L150" s="287">
        <v>33261</v>
      </c>
      <c r="M150" s="289">
        <v>150.69042256392635</v>
      </c>
      <c r="N150" s="169">
        <v>336</v>
      </c>
      <c r="O150" s="169"/>
      <c r="P150" s="293"/>
      <c r="Q150" s="287">
        <f t="shared" si="36"/>
        <v>59545931.174790442</v>
      </c>
      <c r="R150" s="291">
        <f t="shared" si="37"/>
        <v>1899689.0982867242</v>
      </c>
      <c r="S150" s="287">
        <f t="shared" si="38"/>
        <v>59545931.174790442</v>
      </c>
      <c r="T150" s="50">
        <f t="shared" si="31"/>
        <v>2436439.2647904456</v>
      </c>
      <c r="U150" s="103">
        <f t="shared" si="32"/>
        <v>4.2662597465060265E-2</v>
      </c>
      <c r="V150" s="13">
        <f t="shared" si="33"/>
        <v>4.2662597465060265E-2</v>
      </c>
      <c r="W150" s="338"/>
      <c r="X150" s="13"/>
    </row>
    <row r="151" spans="1:24" x14ac:dyDescent="0.25">
      <c r="A151" s="196">
        <f t="shared" si="39"/>
        <v>42155</v>
      </c>
      <c r="B151" s="170">
        <v>49113111.240000002</v>
      </c>
      <c r="C151" s="288">
        <f>'CDM Activity'!H133</f>
        <v>1810895.1147509974</v>
      </c>
      <c r="D151" s="402">
        <f t="shared" si="41"/>
        <v>1.0435171705156632</v>
      </c>
      <c r="E151" s="171">
        <f t="shared" si="34"/>
        <v>1889700.1462455979</v>
      </c>
      <c r="F151" s="171">
        <f t="shared" si="35"/>
        <v>51002811.386245601</v>
      </c>
      <c r="G151" s="223">
        <f>+'Weather Analysis '!V12</f>
        <v>242.9</v>
      </c>
      <c r="H151" s="223">
        <f>+'Weather Analysis '!V32</f>
        <v>1.1000000000000001</v>
      </c>
      <c r="I151" s="169">
        <v>1</v>
      </c>
      <c r="J151" s="169">
        <v>31</v>
      </c>
      <c r="K151" s="287">
        <v>149</v>
      </c>
      <c r="L151" s="287">
        <v>33261</v>
      </c>
      <c r="M151" s="289">
        <v>150.9885381794862</v>
      </c>
      <c r="N151" s="169">
        <v>320</v>
      </c>
      <c r="O151" s="169"/>
      <c r="P151" s="293"/>
      <c r="Q151" s="287">
        <f t="shared" si="36"/>
        <v>52311544.078970462</v>
      </c>
      <c r="R151" s="291">
        <f t="shared" si="37"/>
        <v>1889700.1462455979</v>
      </c>
      <c r="S151" s="287">
        <f t="shared" si="38"/>
        <v>52311544.078970462</v>
      </c>
      <c r="T151" s="50">
        <f t="shared" si="31"/>
        <v>3198432.83897046</v>
      </c>
      <c r="U151" s="103">
        <f t="shared" si="32"/>
        <v>6.5123808250321297E-2</v>
      </c>
      <c r="V151" s="13">
        <f t="shared" si="33"/>
        <v>6.5123808250321297E-2</v>
      </c>
      <c r="W151" s="338"/>
      <c r="X151" s="13"/>
    </row>
    <row r="152" spans="1:24" x14ac:dyDescent="0.25">
      <c r="A152" s="196">
        <f t="shared" si="39"/>
        <v>42185</v>
      </c>
      <c r="B152" s="170">
        <v>46018521.689999998</v>
      </c>
      <c r="C152" s="288">
        <f>'CDM Activity'!H134</f>
        <v>1801322.7259840833</v>
      </c>
      <c r="D152" s="402">
        <f t="shared" si="41"/>
        <v>1.0435171705156632</v>
      </c>
      <c r="E152" s="171">
        <f t="shared" si="34"/>
        <v>1879711.1942044718</v>
      </c>
      <c r="F152" s="171">
        <f t="shared" si="35"/>
        <v>47898232.88420447</v>
      </c>
      <c r="G152" s="223">
        <f>+'Weather Analysis '!V13</f>
        <v>141.80000000000001</v>
      </c>
      <c r="H152" s="223">
        <f>+'Weather Analysis '!V33</f>
        <v>0.4</v>
      </c>
      <c r="I152" s="169">
        <v>0</v>
      </c>
      <c r="J152" s="169">
        <v>30</v>
      </c>
      <c r="K152" s="287">
        <v>150</v>
      </c>
      <c r="L152" s="287">
        <v>33261</v>
      </c>
      <c r="M152" s="289">
        <v>151.28724356657051</v>
      </c>
      <c r="N152" s="169">
        <v>352</v>
      </c>
      <c r="O152" s="169"/>
      <c r="P152" s="293"/>
      <c r="Q152" s="287">
        <f t="shared" si="36"/>
        <v>49339848.637774616</v>
      </c>
      <c r="R152" s="291">
        <f t="shared" si="37"/>
        <v>1879711.1942044718</v>
      </c>
      <c r="S152" s="287">
        <f t="shared" si="38"/>
        <v>49339848.637774616</v>
      </c>
      <c r="T152" s="50">
        <f t="shared" si="31"/>
        <v>3321326.9477746189</v>
      </c>
      <c r="U152" s="103">
        <f t="shared" si="32"/>
        <v>7.2173699323686794E-2</v>
      </c>
      <c r="V152" s="13">
        <f t="shared" si="33"/>
        <v>7.2173699323686794E-2</v>
      </c>
      <c r="W152" s="338"/>
      <c r="X152" s="13"/>
    </row>
    <row r="153" spans="1:24" x14ac:dyDescent="0.25">
      <c r="A153" s="196">
        <f t="shared" si="39"/>
        <v>42216</v>
      </c>
      <c r="B153" s="170">
        <v>50056825.770000003</v>
      </c>
      <c r="C153" s="288">
        <f>'CDM Activity'!H135</f>
        <v>1791750.3372171691</v>
      </c>
      <c r="D153" s="402">
        <f t="shared" si="41"/>
        <v>1.0435171705156632</v>
      </c>
      <c r="E153" s="171">
        <f t="shared" si="34"/>
        <v>1869722.2421633457</v>
      </c>
      <c r="F153" s="171">
        <f t="shared" si="35"/>
        <v>51926548.012163348</v>
      </c>
      <c r="G153" s="223">
        <f>+'Weather Analysis '!V14</f>
        <v>52.6</v>
      </c>
      <c r="H153" s="223">
        <f>+'Weather Analysis '!V34</f>
        <v>29.2</v>
      </c>
      <c r="I153" s="169">
        <v>0</v>
      </c>
      <c r="J153" s="169">
        <v>31</v>
      </c>
      <c r="K153" s="287">
        <v>151</v>
      </c>
      <c r="L153" s="287">
        <v>33371</v>
      </c>
      <c r="M153" s="289">
        <v>151.58653989194292</v>
      </c>
      <c r="N153" s="169">
        <v>352</v>
      </c>
      <c r="O153" s="169"/>
      <c r="P153" s="293"/>
      <c r="Q153" s="287">
        <f t="shared" si="36"/>
        <v>50681759.671288192</v>
      </c>
      <c r="R153" s="291">
        <f t="shared" si="37"/>
        <v>1869722.2421633457</v>
      </c>
      <c r="S153" s="287">
        <f t="shared" si="38"/>
        <v>50681759.671288192</v>
      </c>
      <c r="T153" s="50">
        <f t="shared" si="31"/>
        <v>624933.90128818899</v>
      </c>
      <c r="U153" s="103">
        <f t="shared" si="32"/>
        <v>1.2484489211513759E-2</v>
      </c>
      <c r="V153" s="13">
        <f t="shared" si="33"/>
        <v>1.2484489211513759E-2</v>
      </c>
      <c r="W153" s="338"/>
      <c r="X153" s="13"/>
    </row>
    <row r="154" spans="1:24" x14ac:dyDescent="0.25">
      <c r="A154" s="196">
        <f t="shared" si="39"/>
        <v>42247</v>
      </c>
      <c r="B154" s="170">
        <v>49818189.549999997</v>
      </c>
      <c r="C154" s="288">
        <f>'CDM Activity'!H136</f>
        <v>1782177.948450255</v>
      </c>
      <c r="D154" s="402">
        <f t="shared" si="41"/>
        <v>1.0435171705156632</v>
      </c>
      <c r="E154" s="171">
        <f t="shared" si="34"/>
        <v>1859733.2901222196</v>
      </c>
      <c r="F154" s="171">
        <f t="shared" si="35"/>
        <v>51677922.840122215</v>
      </c>
      <c r="G154" s="223">
        <f>+'Weather Analysis '!V15</f>
        <v>37.5</v>
      </c>
      <c r="H154" s="223">
        <f>+'Weather Analysis '!V35</f>
        <v>35.6</v>
      </c>
      <c r="I154" s="169">
        <v>0</v>
      </c>
      <c r="J154" s="169">
        <v>31</v>
      </c>
      <c r="K154" s="287">
        <v>152</v>
      </c>
      <c r="L154" s="287">
        <v>33371</v>
      </c>
      <c r="M154" s="289">
        <v>151.88642832467528</v>
      </c>
      <c r="N154" s="169">
        <v>320</v>
      </c>
      <c r="O154" s="169"/>
      <c r="P154" s="293"/>
      <c r="Q154" s="287">
        <f t="shared" si="36"/>
        <v>50561226.917703152</v>
      </c>
      <c r="R154" s="291">
        <f t="shared" si="37"/>
        <v>1859733.2901222196</v>
      </c>
      <c r="S154" s="287">
        <f t="shared" si="38"/>
        <v>50561226.917703152</v>
      </c>
      <c r="T154" s="50">
        <f t="shared" si="31"/>
        <v>743037.36770315468</v>
      </c>
      <c r="U154" s="103">
        <f t="shared" si="32"/>
        <v>1.4914981343459012E-2</v>
      </c>
      <c r="V154" s="13">
        <f t="shared" si="33"/>
        <v>1.4914981343459012E-2</v>
      </c>
      <c r="W154" s="338"/>
      <c r="X154" s="13"/>
    </row>
    <row r="155" spans="1:24" x14ac:dyDescent="0.25">
      <c r="A155" s="196">
        <f t="shared" si="39"/>
        <v>42277</v>
      </c>
      <c r="B155" s="170">
        <v>48683583.240000002</v>
      </c>
      <c r="C155" s="288">
        <f>'CDM Activity'!H137</f>
        <v>1772605.5596833408</v>
      </c>
      <c r="D155" s="402">
        <f t="shared" si="41"/>
        <v>1.0435171705156632</v>
      </c>
      <c r="E155" s="171">
        <f t="shared" si="34"/>
        <v>1849744.3380810933</v>
      </c>
      <c r="F155" s="171">
        <f t="shared" si="35"/>
        <v>50533327.578081094</v>
      </c>
      <c r="G155" s="223">
        <f>+'Weather Analysis '!V16</f>
        <v>75.5</v>
      </c>
      <c r="H155" s="223">
        <f>+'Weather Analysis '!V36</f>
        <v>31.4</v>
      </c>
      <c r="I155" s="169">
        <v>1</v>
      </c>
      <c r="J155" s="169">
        <v>30</v>
      </c>
      <c r="K155" s="287">
        <v>153</v>
      </c>
      <c r="L155" s="287">
        <v>33371</v>
      </c>
      <c r="M155" s="289">
        <v>152.18691003615226</v>
      </c>
      <c r="N155" s="169">
        <v>336</v>
      </c>
      <c r="O155" s="169"/>
      <c r="P155" s="293"/>
      <c r="Q155" s="287">
        <f t="shared" si="36"/>
        <v>46955935.712060422</v>
      </c>
      <c r="R155" s="291">
        <f t="shared" si="37"/>
        <v>1849744.3380810933</v>
      </c>
      <c r="S155" s="287">
        <f t="shared" si="38"/>
        <v>46955935.712060422</v>
      </c>
      <c r="T155" s="50">
        <f t="shared" si="31"/>
        <v>-1727647.5279395804</v>
      </c>
      <c r="U155" s="103">
        <f t="shared" si="32"/>
        <v>-3.5487271333801279E-2</v>
      </c>
      <c r="V155" s="13">
        <f t="shared" si="33"/>
        <v>3.5487271333801279E-2</v>
      </c>
      <c r="W155" s="338"/>
      <c r="X155" s="13"/>
    </row>
    <row r="156" spans="1:24" x14ac:dyDescent="0.25">
      <c r="A156" s="196">
        <f t="shared" si="39"/>
        <v>42308</v>
      </c>
      <c r="B156" s="170">
        <v>52100032.990000002</v>
      </c>
      <c r="C156" s="288">
        <f>'CDM Activity'!H138</f>
        <v>1763033.1709164267</v>
      </c>
      <c r="D156" s="402">
        <f t="shared" si="41"/>
        <v>1.0435171705156632</v>
      </c>
      <c r="E156" s="171">
        <f t="shared" si="34"/>
        <v>1839755.3860399672</v>
      </c>
      <c r="F156" s="171">
        <f t="shared" si="35"/>
        <v>53939788.376039967</v>
      </c>
      <c r="G156" s="223">
        <f>+'Weather Analysis '!V17</f>
        <v>331.2</v>
      </c>
      <c r="H156" s="223">
        <f>+'Weather Analysis '!V37</f>
        <v>0</v>
      </c>
      <c r="I156" s="169">
        <v>1</v>
      </c>
      <c r="J156" s="169">
        <v>31</v>
      </c>
      <c r="K156" s="287">
        <v>154</v>
      </c>
      <c r="L156" s="287">
        <v>33411</v>
      </c>
      <c r="M156" s="289">
        <v>152.48798620007588</v>
      </c>
      <c r="N156" s="169">
        <v>336</v>
      </c>
      <c r="O156" s="169"/>
      <c r="P156" s="293"/>
      <c r="Q156" s="287">
        <f t="shared" si="36"/>
        <v>56232485.373111755</v>
      </c>
      <c r="R156" s="291">
        <f t="shared" si="37"/>
        <v>1839755.3860399672</v>
      </c>
      <c r="S156" s="287">
        <f t="shared" si="38"/>
        <v>56232485.373111755</v>
      </c>
      <c r="T156" s="50">
        <f t="shared" si="31"/>
        <v>4132452.3831117526</v>
      </c>
      <c r="U156" s="103">
        <f t="shared" si="32"/>
        <v>7.9317653866072008E-2</v>
      </c>
      <c r="V156" s="13">
        <f t="shared" si="33"/>
        <v>7.9317653866072008E-2</v>
      </c>
      <c r="W156" s="338"/>
      <c r="X156" s="13"/>
    </row>
    <row r="157" spans="1:24" x14ac:dyDescent="0.25">
      <c r="A157" s="196">
        <f t="shared" si="39"/>
        <v>42338</v>
      </c>
      <c r="B157" s="170">
        <v>55680534.289999999</v>
      </c>
      <c r="C157" s="288">
        <f>'CDM Activity'!H139</f>
        <v>1753460.7821495126</v>
      </c>
      <c r="D157" s="402">
        <f t="shared" si="41"/>
        <v>1.0435171705156632</v>
      </c>
      <c r="E157" s="171">
        <f t="shared" si="34"/>
        <v>1829766.4339988411</v>
      </c>
      <c r="F157" s="171">
        <f t="shared" si="35"/>
        <v>57510300.723998837</v>
      </c>
      <c r="G157" s="223">
        <f>+'Weather Analysis '!V18</f>
        <v>413</v>
      </c>
      <c r="H157" s="223">
        <f>+'Weather Analysis '!V38</f>
        <v>0</v>
      </c>
      <c r="I157" s="169">
        <v>1</v>
      </c>
      <c r="J157" s="169">
        <v>30</v>
      </c>
      <c r="K157" s="287">
        <v>155</v>
      </c>
      <c r="L157" s="287">
        <v>33411</v>
      </c>
      <c r="M157" s="289">
        <v>152.78965799247018</v>
      </c>
      <c r="N157" s="169">
        <v>320</v>
      </c>
      <c r="O157" s="169"/>
      <c r="P157" s="293"/>
      <c r="Q157" s="287">
        <f t="shared" si="36"/>
        <v>57573943.06433779</v>
      </c>
      <c r="R157" s="291">
        <f t="shared" si="37"/>
        <v>1829766.4339988411</v>
      </c>
      <c r="S157" s="287">
        <f t="shared" si="38"/>
        <v>57573943.06433779</v>
      </c>
      <c r="T157" s="50">
        <f t="shared" si="31"/>
        <v>1893408.7743377909</v>
      </c>
      <c r="U157" s="103">
        <f t="shared" si="32"/>
        <v>3.4004860019416869E-2</v>
      </c>
      <c r="V157" s="13">
        <f t="shared" si="33"/>
        <v>3.4004860019416869E-2</v>
      </c>
      <c r="W157" s="338"/>
      <c r="X157" s="13"/>
    </row>
    <row r="158" spans="1:24" x14ac:dyDescent="0.25">
      <c r="A158" s="196">
        <f t="shared" si="39"/>
        <v>42369</v>
      </c>
      <c r="B158" s="170">
        <v>63647959.810000002</v>
      </c>
      <c r="C158" s="288">
        <f>'CDM Activity'!H140</f>
        <v>1743888.3933825984</v>
      </c>
      <c r="D158" s="402">
        <f t="shared" si="41"/>
        <v>1.0435171705156632</v>
      </c>
      <c r="E158" s="171">
        <f t="shared" si="34"/>
        <v>1819777.4819577148</v>
      </c>
      <c r="F158" s="171">
        <f t="shared" si="35"/>
        <v>65467737.291957714</v>
      </c>
      <c r="G158" s="223">
        <f>+'Weather Analysis '!V19</f>
        <v>541.20000000000005</v>
      </c>
      <c r="H158" s="223">
        <f>+'Weather Analysis '!V39</f>
        <v>0</v>
      </c>
      <c r="I158" s="169">
        <v>0</v>
      </c>
      <c r="J158" s="169">
        <v>31</v>
      </c>
      <c r="K158" s="287">
        <v>156</v>
      </c>
      <c r="L158" s="287">
        <v>33411</v>
      </c>
      <c r="M158" s="289">
        <v>153.09192659168593</v>
      </c>
      <c r="N158" s="169">
        <v>352</v>
      </c>
      <c r="O158" s="169"/>
      <c r="P158" s="293"/>
      <c r="Q158" s="287">
        <f t="shared" si="36"/>
        <v>67164479.765579641</v>
      </c>
      <c r="R158" s="291">
        <f t="shared" si="37"/>
        <v>1819777.4819577148</v>
      </c>
      <c r="S158" s="287">
        <f t="shared" si="38"/>
        <v>67164479.765579641</v>
      </c>
      <c r="T158" s="50">
        <f t="shared" si="31"/>
        <v>3516519.9555796385</v>
      </c>
      <c r="U158" s="103">
        <f t="shared" si="32"/>
        <v>5.5249531423741616E-2</v>
      </c>
      <c r="V158" s="13">
        <f t="shared" si="33"/>
        <v>5.5249531423741616E-2</v>
      </c>
      <c r="W158" s="338"/>
      <c r="X158" s="13"/>
    </row>
    <row r="159" spans="1:24" x14ac:dyDescent="0.25">
      <c r="A159" s="196">
        <f t="shared" si="39"/>
        <v>42400</v>
      </c>
      <c r="B159" s="170">
        <v>71224982.780000001</v>
      </c>
      <c r="C159" s="288">
        <f>'CDM Activity'!H141</f>
        <v>1841310.7471193657</v>
      </c>
      <c r="D159" s="402">
        <f>'Rate Class Energy Model'!F25</f>
        <v>1.0519444996030285</v>
      </c>
      <c r="E159" s="171">
        <f t="shared" si="34"/>
        <v>1936956.7124921598</v>
      </c>
      <c r="F159" s="171">
        <f t="shared" si="35"/>
        <v>73161939.492492154</v>
      </c>
      <c r="G159" s="223">
        <v>794.2</v>
      </c>
      <c r="H159" s="223">
        <v>0</v>
      </c>
      <c r="I159" s="169">
        <v>0</v>
      </c>
      <c r="J159" s="169">
        <v>31</v>
      </c>
      <c r="K159" s="287">
        <v>157</v>
      </c>
      <c r="L159" s="287">
        <v>33412</v>
      </c>
      <c r="M159" s="289">
        <v>153.40727089469959</v>
      </c>
      <c r="N159" s="169">
        <v>320</v>
      </c>
      <c r="O159" s="169"/>
      <c r="P159" s="293"/>
      <c r="Q159" s="287">
        <f t="shared" si="36"/>
        <v>76970212.003151238</v>
      </c>
      <c r="R159" s="291">
        <f t="shared" si="37"/>
        <v>1936956.7124921598</v>
      </c>
      <c r="S159" s="287">
        <f t="shared" si="38"/>
        <v>76970212.003151238</v>
      </c>
      <c r="T159" s="50">
        <f t="shared" si="31"/>
        <v>5745229.2231512368</v>
      </c>
      <c r="U159" s="103">
        <f t="shared" si="32"/>
        <v>8.0663118457987168E-2</v>
      </c>
      <c r="V159" s="13">
        <f t="shared" si="33"/>
        <v>8.0663118457987168E-2</v>
      </c>
      <c r="W159" s="338"/>
    </row>
    <row r="160" spans="1:24" x14ac:dyDescent="0.25">
      <c r="A160" s="196">
        <f t="shared" si="39"/>
        <v>42429</v>
      </c>
      <c r="B160" s="170">
        <v>65961523.409999996</v>
      </c>
      <c r="C160" s="288">
        <f>'CDM Activity'!H142</f>
        <v>1938733.100856133</v>
      </c>
      <c r="D160" s="402">
        <f>D159</f>
        <v>1.0519444996030285</v>
      </c>
      <c r="E160" s="171">
        <f t="shared" si="34"/>
        <v>2039439.6216439325</v>
      </c>
      <c r="F160" s="171">
        <f t="shared" si="35"/>
        <v>68000963.031643927</v>
      </c>
      <c r="G160" s="223">
        <v>731.2</v>
      </c>
      <c r="H160" s="223">
        <v>0</v>
      </c>
      <c r="I160" s="169">
        <v>0</v>
      </c>
      <c r="J160" s="169">
        <v>29</v>
      </c>
      <c r="K160" s="287">
        <v>158</v>
      </c>
      <c r="L160" s="287">
        <v>33412</v>
      </c>
      <c r="M160" s="289">
        <v>153.72326475534609</v>
      </c>
      <c r="N160" s="169">
        <v>320</v>
      </c>
      <c r="O160" s="169"/>
      <c r="P160" s="293"/>
      <c r="Q160" s="287">
        <f t="shared" si="36"/>
        <v>70883707.767218649</v>
      </c>
      <c r="R160" s="291">
        <f t="shared" si="37"/>
        <v>2039439.6216439325</v>
      </c>
      <c r="S160" s="287">
        <f t="shared" si="38"/>
        <v>70883707.767218649</v>
      </c>
      <c r="T160" s="50">
        <f t="shared" si="31"/>
        <v>4922184.357218653</v>
      </c>
      <c r="U160" s="103">
        <f t="shared" si="32"/>
        <v>7.4622053930192167E-2</v>
      </c>
      <c r="V160" s="13">
        <f t="shared" si="33"/>
        <v>7.4622053930192167E-2</v>
      </c>
      <c r="W160" s="338"/>
    </row>
    <row r="161" spans="1:24" x14ac:dyDescent="0.25">
      <c r="A161" s="196">
        <f t="shared" si="39"/>
        <v>42460</v>
      </c>
      <c r="B161" s="170">
        <v>61438716.170000002</v>
      </c>
      <c r="C161" s="288">
        <f>'CDM Activity'!H143</f>
        <v>2036155.4545929004</v>
      </c>
      <c r="D161" s="402">
        <f t="shared" ref="D161:D170" si="42">D160</f>
        <v>1.0519444996030285</v>
      </c>
      <c r="E161" s="171">
        <f t="shared" si="34"/>
        <v>2141922.5307957055</v>
      </c>
      <c r="F161" s="171">
        <f t="shared" si="35"/>
        <v>63580638.70079571</v>
      </c>
      <c r="G161" s="223">
        <v>588.79999999999995</v>
      </c>
      <c r="H161" s="223">
        <v>0</v>
      </c>
      <c r="I161" s="169">
        <v>1</v>
      </c>
      <c r="J161" s="169">
        <v>31</v>
      </c>
      <c r="K161" s="287">
        <v>159</v>
      </c>
      <c r="L161" s="287">
        <v>33412</v>
      </c>
      <c r="M161" s="289">
        <v>154.03990951160779</v>
      </c>
      <c r="N161" s="169">
        <v>352</v>
      </c>
      <c r="O161" s="169"/>
      <c r="P161" s="293"/>
      <c r="Q161" s="287">
        <f t="shared" si="36"/>
        <v>65928260.525614172</v>
      </c>
      <c r="R161" s="291">
        <f t="shared" si="37"/>
        <v>2141922.5307957055</v>
      </c>
      <c r="S161" s="287">
        <f t="shared" si="38"/>
        <v>65928260.525614172</v>
      </c>
      <c r="T161" s="50">
        <f t="shared" si="31"/>
        <v>4489544.3556141704</v>
      </c>
      <c r="U161" s="103">
        <f t="shared" si="32"/>
        <v>7.30735379169003E-2</v>
      </c>
      <c r="V161" s="13">
        <f t="shared" si="33"/>
        <v>7.30735379169003E-2</v>
      </c>
      <c r="W161" s="338"/>
    </row>
    <row r="162" spans="1:24" x14ac:dyDescent="0.25">
      <c r="A162" s="196">
        <f t="shared" si="39"/>
        <v>42490</v>
      </c>
      <c r="B162" s="170">
        <v>55510527.649999999</v>
      </c>
      <c r="C162" s="288">
        <f>'CDM Activity'!H144</f>
        <v>2133577.8083296674</v>
      </c>
      <c r="D162" s="402">
        <f t="shared" si="42"/>
        <v>1.0519444996030285</v>
      </c>
      <c r="E162" s="171">
        <f t="shared" si="34"/>
        <v>2244405.4399474785</v>
      </c>
      <c r="F162" s="171">
        <f t="shared" si="35"/>
        <v>57754933.089947477</v>
      </c>
      <c r="G162" s="223">
        <v>499.7</v>
      </c>
      <c r="H162" s="223">
        <v>0</v>
      </c>
      <c r="I162" s="169">
        <v>1</v>
      </c>
      <c r="J162" s="169">
        <v>30</v>
      </c>
      <c r="K162" s="287">
        <v>160</v>
      </c>
      <c r="L162" s="287">
        <v>33360</v>
      </c>
      <c r="M162" s="289">
        <v>154.35720650422309</v>
      </c>
      <c r="N162" s="169">
        <v>336</v>
      </c>
      <c r="O162" s="169"/>
      <c r="P162" s="293"/>
      <c r="Q162" s="287">
        <f t="shared" si="36"/>
        <v>60278799.763505101</v>
      </c>
      <c r="R162" s="291">
        <f t="shared" si="37"/>
        <v>2244405.4399474785</v>
      </c>
      <c r="S162" s="287">
        <f t="shared" si="38"/>
        <v>60278799.763505101</v>
      </c>
      <c r="T162" s="50">
        <f t="shared" si="31"/>
        <v>4768272.1135051027</v>
      </c>
      <c r="U162" s="103">
        <f t="shared" si="32"/>
        <v>8.5898518990300085E-2</v>
      </c>
      <c r="V162" s="13">
        <f t="shared" si="33"/>
        <v>8.5898518990300085E-2</v>
      </c>
      <c r="W162" s="338"/>
    </row>
    <row r="163" spans="1:24" x14ac:dyDescent="0.25">
      <c r="A163" s="196">
        <f t="shared" ref="A163:A194" si="43">EOMONTH(A162,1)</f>
        <v>42521</v>
      </c>
      <c r="B163" s="170">
        <v>47972677.969999999</v>
      </c>
      <c r="C163" s="288">
        <f>'CDM Activity'!H145</f>
        <v>2231000.1620664345</v>
      </c>
      <c r="D163" s="402">
        <f t="shared" si="42"/>
        <v>1.0519444996030285</v>
      </c>
      <c r="E163" s="171">
        <f t="shared" si="34"/>
        <v>2346888.349099251</v>
      </c>
      <c r="F163" s="171">
        <f t="shared" si="35"/>
        <v>50319566.319099247</v>
      </c>
      <c r="G163" s="223">
        <v>241.2</v>
      </c>
      <c r="H163" s="223">
        <v>3.5</v>
      </c>
      <c r="I163" s="169">
        <v>1</v>
      </c>
      <c r="J163" s="169">
        <v>31</v>
      </c>
      <c r="K163" s="287">
        <v>161</v>
      </c>
      <c r="L163" s="287">
        <v>33360</v>
      </c>
      <c r="M163" s="289">
        <v>154.6751570766921</v>
      </c>
      <c r="N163" s="169">
        <v>336</v>
      </c>
      <c r="O163" s="169"/>
      <c r="P163" s="293"/>
      <c r="Q163" s="287">
        <f t="shared" si="36"/>
        <v>52193773.406729281</v>
      </c>
      <c r="R163" s="291">
        <f t="shared" si="37"/>
        <v>2346888.349099251</v>
      </c>
      <c r="S163" s="287">
        <f t="shared" si="38"/>
        <v>52193773.406729281</v>
      </c>
      <c r="T163" s="50">
        <f t="shared" ref="T163:T182" si="44">S163-B163</f>
        <v>4221095.4367292821</v>
      </c>
      <c r="U163" s="103">
        <f t="shared" ref="U163:U182" si="45">T163/B163</f>
        <v>8.798957271822451E-2</v>
      </c>
      <c r="V163" s="13">
        <f t="shared" si="33"/>
        <v>8.798957271822451E-2</v>
      </c>
      <c r="W163" s="338"/>
    </row>
    <row r="164" spans="1:24" x14ac:dyDescent="0.25">
      <c r="A164" s="196">
        <f t="shared" si="43"/>
        <v>42551</v>
      </c>
      <c r="B164" s="170">
        <v>46020697.049999997</v>
      </c>
      <c r="C164" s="288">
        <f>'CDM Activity'!H146</f>
        <v>2328422.5158032016</v>
      </c>
      <c r="D164" s="402">
        <f t="shared" si="42"/>
        <v>1.0519444996030285</v>
      </c>
      <c r="E164" s="171">
        <f t="shared" si="34"/>
        <v>2449371.2582510235</v>
      </c>
      <c r="F164" s="171">
        <f t="shared" si="35"/>
        <v>48470068.308251023</v>
      </c>
      <c r="G164" s="223">
        <v>116.8</v>
      </c>
      <c r="H164" s="223">
        <v>8.6</v>
      </c>
      <c r="I164" s="169">
        <v>0</v>
      </c>
      <c r="J164" s="169">
        <v>30</v>
      </c>
      <c r="K164" s="287">
        <v>162</v>
      </c>
      <c r="L164" s="287">
        <v>33360</v>
      </c>
      <c r="M164" s="289">
        <v>154.99376257528229</v>
      </c>
      <c r="N164" s="169">
        <v>352</v>
      </c>
      <c r="O164" s="169"/>
      <c r="P164" s="293"/>
      <c r="Q164" s="287">
        <f t="shared" si="36"/>
        <v>48803227.486845881</v>
      </c>
      <c r="R164" s="291">
        <f t="shared" si="37"/>
        <v>2449371.2582510235</v>
      </c>
      <c r="S164" s="287">
        <f t="shared" ref="S164:S182" si="46">+$Z$43+G164*$Z$44+H164*$Z$45+I164*$Z$46+J164*$Z$47+K164*$Z$48+ L164*$Z$49</f>
        <v>48803227.486845881</v>
      </c>
      <c r="T164" s="50">
        <f t="shared" si="44"/>
        <v>2782530.4368458837</v>
      </c>
      <c r="U164" s="103">
        <f t="shared" si="45"/>
        <v>6.0462587818319105E-2</v>
      </c>
      <c r="V164" s="13">
        <f t="shared" si="33"/>
        <v>6.0462587818319105E-2</v>
      </c>
      <c r="W164" s="338"/>
    </row>
    <row r="165" spans="1:24" x14ac:dyDescent="0.25">
      <c r="A165" s="196">
        <f t="shared" si="43"/>
        <v>42582</v>
      </c>
      <c r="B165" s="170">
        <v>50843952.109999999</v>
      </c>
      <c r="C165" s="288">
        <f>'CDM Activity'!H147</f>
        <v>2425844.8695399687</v>
      </c>
      <c r="D165" s="402">
        <f t="shared" si="42"/>
        <v>1.0519444996030285</v>
      </c>
      <c r="E165" s="171">
        <f t="shared" si="34"/>
        <v>2551854.1674027964</v>
      </c>
      <c r="F165" s="171">
        <f t="shared" si="35"/>
        <v>53395806.277402796</v>
      </c>
      <c r="G165" s="223">
        <v>27.2</v>
      </c>
      <c r="H165" s="223">
        <v>44.2</v>
      </c>
      <c r="I165" s="169">
        <v>0</v>
      </c>
      <c r="J165" s="169">
        <v>31</v>
      </c>
      <c r="K165" s="287">
        <v>163</v>
      </c>
      <c r="L165" s="287">
        <v>33412</v>
      </c>
      <c r="M165" s="289">
        <v>155.31302434903424</v>
      </c>
      <c r="N165" s="169">
        <v>320</v>
      </c>
      <c r="O165" s="169"/>
      <c r="P165" s="293"/>
      <c r="Q165" s="287">
        <f t="shared" si="36"/>
        <v>50344637.853556007</v>
      </c>
      <c r="R165" s="291">
        <f t="shared" si="37"/>
        <v>2551854.1674027964</v>
      </c>
      <c r="S165" s="287">
        <f t="shared" si="46"/>
        <v>50344637.853556007</v>
      </c>
      <c r="T165" s="50">
        <f t="shared" si="44"/>
        <v>-499314.25644399226</v>
      </c>
      <c r="U165" s="103">
        <f t="shared" si="45"/>
        <v>-9.8205240883661952E-3</v>
      </c>
      <c r="V165" s="13">
        <f t="shared" si="33"/>
        <v>9.8205240883661952E-3</v>
      </c>
      <c r="W165" s="338"/>
    </row>
    <row r="166" spans="1:24" x14ac:dyDescent="0.25">
      <c r="A166" s="196">
        <f t="shared" si="43"/>
        <v>42613</v>
      </c>
      <c r="B166" s="170">
        <v>52655659.520000003</v>
      </c>
      <c r="C166" s="288">
        <f>'CDM Activity'!H148</f>
        <v>2523267.2232767357</v>
      </c>
      <c r="D166" s="402">
        <f t="shared" si="42"/>
        <v>1.0519444996030285</v>
      </c>
      <c r="E166" s="171">
        <f t="shared" si="34"/>
        <v>2654337.076554569</v>
      </c>
      <c r="F166" s="171">
        <f t="shared" si="35"/>
        <v>55309996.59655457</v>
      </c>
      <c r="G166" s="223">
        <v>17.100000000000001</v>
      </c>
      <c r="H166" s="223">
        <v>51.7</v>
      </c>
      <c r="I166" s="169">
        <v>0</v>
      </c>
      <c r="J166" s="169">
        <v>31</v>
      </c>
      <c r="K166" s="287">
        <v>164</v>
      </c>
      <c r="L166" s="287">
        <v>33412</v>
      </c>
      <c r="M166" s="289">
        <v>155.63294374976735</v>
      </c>
      <c r="N166" s="169">
        <v>352</v>
      </c>
      <c r="O166" s="169"/>
      <c r="P166" s="293"/>
      <c r="Q166" s="287">
        <f t="shared" si="36"/>
        <v>50512189.703315675</v>
      </c>
      <c r="R166" s="291">
        <f t="shared" si="37"/>
        <v>2654337.076554569</v>
      </c>
      <c r="S166" s="287">
        <f t="shared" si="46"/>
        <v>50512189.703315675</v>
      </c>
      <c r="T166" s="50">
        <f t="shared" si="44"/>
        <v>-2143469.816684328</v>
      </c>
      <c r="U166" s="103">
        <f t="shared" si="45"/>
        <v>-4.0707301669446985E-2</v>
      </c>
      <c r="V166" s="13">
        <f t="shared" si="33"/>
        <v>4.0707301669446985E-2</v>
      </c>
      <c r="W166" s="338"/>
    </row>
    <row r="167" spans="1:24" x14ac:dyDescent="0.25">
      <c r="A167" s="196">
        <f t="shared" si="43"/>
        <v>42643</v>
      </c>
      <c r="B167" s="170">
        <v>47273739.93</v>
      </c>
      <c r="C167" s="288">
        <f>'CDM Activity'!H149</f>
        <v>2620689.5770135028</v>
      </c>
      <c r="D167" s="402">
        <f t="shared" si="42"/>
        <v>1.0519444996030285</v>
      </c>
      <c r="E167" s="171">
        <f t="shared" si="34"/>
        <v>2756819.9857063415</v>
      </c>
      <c r="F167" s="171">
        <f t="shared" si="35"/>
        <v>50030559.915706344</v>
      </c>
      <c r="G167" s="223">
        <v>65.099999999999994</v>
      </c>
      <c r="H167" s="223">
        <v>12.8</v>
      </c>
      <c r="I167" s="169">
        <v>1</v>
      </c>
      <c r="J167" s="169">
        <v>30</v>
      </c>
      <c r="K167" s="287">
        <v>165</v>
      </c>
      <c r="L167" s="287">
        <v>33412</v>
      </c>
      <c r="M167" s="289">
        <v>155.95352213208551</v>
      </c>
      <c r="N167" s="169">
        <v>336</v>
      </c>
      <c r="O167" s="169"/>
      <c r="P167" s="293"/>
      <c r="Q167" s="287">
        <f t="shared" si="36"/>
        <v>44363745.242348433</v>
      </c>
      <c r="R167" s="291">
        <f t="shared" si="37"/>
        <v>2756819.9857063415</v>
      </c>
      <c r="S167" s="287">
        <f t="shared" si="46"/>
        <v>44363745.242348433</v>
      </c>
      <c r="T167" s="50">
        <f t="shared" si="44"/>
        <v>-2909994.6876515672</v>
      </c>
      <c r="U167" s="103">
        <f t="shared" si="45"/>
        <v>-6.1556261297720585E-2</v>
      </c>
      <c r="V167" s="13">
        <f t="shared" si="33"/>
        <v>6.1556261297720585E-2</v>
      </c>
      <c r="W167" s="338"/>
    </row>
    <row r="168" spans="1:24" x14ac:dyDescent="0.25">
      <c r="A168" s="196">
        <f t="shared" si="43"/>
        <v>42674</v>
      </c>
      <c r="B168" s="170">
        <v>50073797.57</v>
      </c>
      <c r="C168" s="288">
        <f>'CDM Activity'!H150</f>
        <v>2718111.9307502699</v>
      </c>
      <c r="D168" s="402">
        <f t="shared" si="42"/>
        <v>1.0519444996030285</v>
      </c>
      <c r="E168" s="171">
        <f t="shared" si="34"/>
        <v>2859302.8948581144</v>
      </c>
      <c r="F168" s="171">
        <f t="shared" si="35"/>
        <v>52933100.464858115</v>
      </c>
      <c r="G168" s="223">
        <v>277.39999999999998</v>
      </c>
      <c r="H168" s="223">
        <v>0</v>
      </c>
      <c r="I168" s="169">
        <v>1</v>
      </c>
      <c r="J168" s="169">
        <v>31</v>
      </c>
      <c r="K168" s="287">
        <v>166</v>
      </c>
      <c r="L168" s="287">
        <v>33513</v>
      </c>
      <c r="M168" s="289">
        <v>156.2747608533829</v>
      </c>
      <c r="N168" s="169">
        <v>320</v>
      </c>
      <c r="O168" s="169"/>
      <c r="P168" s="293"/>
      <c r="Q168" s="287">
        <f t="shared" si="36"/>
        <v>53897531.219556481</v>
      </c>
      <c r="R168" s="291">
        <f t="shared" si="37"/>
        <v>2859302.8948581144</v>
      </c>
      <c r="S168" s="287">
        <f t="shared" si="46"/>
        <v>53897531.219556481</v>
      </c>
      <c r="T168" s="50">
        <f t="shared" si="44"/>
        <v>3823733.6495564803</v>
      </c>
      <c r="U168" s="103">
        <f t="shared" si="45"/>
        <v>7.6361966439855947E-2</v>
      </c>
      <c r="V168" s="13">
        <f t="shared" si="33"/>
        <v>7.6361966439855947E-2</v>
      </c>
      <c r="W168" s="338"/>
    </row>
    <row r="169" spans="1:24" x14ac:dyDescent="0.25">
      <c r="A169" s="196">
        <f t="shared" si="43"/>
        <v>42704</v>
      </c>
      <c r="B169" s="170">
        <v>53720227.840000004</v>
      </c>
      <c r="C169" s="288">
        <f>'CDM Activity'!H151</f>
        <v>2815534.284487037</v>
      </c>
      <c r="D169" s="402">
        <f t="shared" si="42"/>
        <v>1.0519444996030285</v>
      </c>
      <c r="E169" s="171">
        <f t="shared" si="34"/>
        <v>2961785.8040098869</v>
      </c>
      <c r="F169" s="171">
        <f t="shared" si="35"/>
        <v>56682013.644009888</v>
      </c>
      <c r="G169" s="222">
        <v>485.62</v>
      </c>
      <c r="H169" s="222">
        <f>(H157+H145+H133+H121+H109)/5</f>
        <v>0</v>
      </c>
      <c r="I169" s="169">
        <v>1</v>
      </c>
      <c r="J169" s="169">
        <v>30</v>
      </c>
      <c r="K169" s="287">
        <v>167</v>
      </c>
      <c r="L169" s="287">
        <v>33513</v>
      </c>
      <c r="M169" s="289">
        <v>156.59666127384969</v>
      </c>
      <c r="N169" s="169">
        <v>336</v>
      </c>
      <c r="O169" s="169"/>
      <c r="P169" s="293"/>
      <c r="Q169" s="287">
        <f t="shared" si="36"/>
        <v>60171813.13712889</v>
      </c>
      <c r="R169" s="291">
        <f t="shared" si="37"/>
        <v>2961785.8040098869</v>
      </c>
      <c r="S169" s="287">
        <f t="shared" si="46"/>
        <v>60171813.13712889</v>
      </c>
      <c r="T169" s="50">
        <f t="shared" si="44"/>
        <v>6451585.297128886</v>
      </c>
      <c r="U169" s="103">
        <f t="shared" si="45"/>
        <v>0.12009601516107206</v>
      </c>
      <c r="V169" s="13">
        <f t="shared" si="33"/>
        <v>0.12009601516107206</v>
      </c>
      <c r="W169" s="338"/>
    </row>
    <row r="170" spans="1:24" x14ac:dyDescent="0.25">
      <c r="A170" s="196">
        <f t="shared" si="43"/>
        <v>42735</v>
      </c>
      <c r="B170" s="170">
        <v>67261959.730000004</v>
      </c>
      <c r="C170" s="288">
        <f>'CDM Activity'!H152</f>
        <v>2912956.6382238041</v>
      </c>
      <c r="D170" s="402">
        <f t="shared" si="42"/>
        <v>1.0519444996030285</v>
      </c>
      <c r="E170" s="171">
        <f t="shared" si="34"/>
        <v>3064268.7131616599</v>
      </c>
      <c r="F170" s="171">
        <f t="shared" si="35"/>
        <v>70326228.443161666</v>
      </c>
      <c r="G170" s="222">
        <v>640.68000000000006</v>
      </c>
      <c r="H170" s="222">
        <f>(H158+H146+H134+H122+H110)/5</f>
        <v>0</v>
      </c>
      <c r="I170" s="169">
        <v>0</v>
      </c>
      <c r="J170" s="169">
        <v>31</v>
      </c>
      <c r="K170" s="287">
        <v>168</v>
      </c>
      <c r="L170" s="287">
        <v>33513</v>
      </c>
      <c r="M170" s="289">
        <v>156.91922475647806</v>
      </c>
      <c r="N170" s="169">
        <v>336</v>
      </c>
      <c r="O170" s="169"/>
      <c r="P170" s="293"/>
      <c r="Q170" s="287">
        <f t="shared" si="36"/>
        <v>70810409.15429908</v>
      </c>
      <c r="R170" s="291">
        <f t="shared" si="37"/>
        <v>3064268.7131616599</v>
      </c>
      <c r="S170" s="287">
        <f t="shared" si="46"/>
        <v>70810409.15429908</v>
      </c>
      <c r="T170" s="50">
        <f t="shared" si="44"/>
        <v>3548449.4242990762</v>
      </c>
      <c r="U170" s="103">
        <f t="shared" si="45"/>
        <v>5.2755665141829132E-2</v>
      </c>
      <c r="V170" s="13">
        <f t="shared" si="33"/>
        <v>5.2755665141829132E-2</v>
      </c>
    </row>
    <row r="171" spans="1:24" x14ac:dyDescent="0.25">
      <c r="A171" s="196">
        <f t="shared" si="43"/>
        <v>42766</v>
      </c>
      <c r="B171" s="170">
        <v>66674271</v>
      </c>
      <c r="C171" s="288">
        <f>'CDM Activity'!H153</f>
        <v>2926161.7132919636</v>
      </c>
      <c r="D171" s="402">
        <f>'Rate Class Energy Model'!F26</f>
        <v>1.0488769185235338</v>
      </c>
      <c r="E171" s="171">
        <f t="shared" si="34"/>
        <v>3069183.4809392188</v>
      </c>
      <c r="F171" s="171">
        <f t="shared" si="35"/>
        <v>69743454.480939224</v>
      </c>
      <c r="G171" s="222">
        <f>'Weather Analysis '!X8</f>
        <v>710.9</v>
      </c>
      <c r="H171" s="222">
        <f>'Weather Analysis '!X28</f>
        <v>0</v>
      </c>
      <c r="I171" s="169">
        <v>0</v>
      </c>
      <c r="J171" s="169">
        <v>31</v>
      </c>
      <c r="K171" s="287">
        <v>169</v>
      </c>
      <c r="L171" s="287">
        <v>33528</v>
      </c>
      <c r="M171" s="289">
        <v>157.24245266706706</v>
      </c>
      <c r="N171" s="169">
        <v>320</v>
      </c>
      <c r="O171" s="169"/>
      <c r="P171" s="293"/>
      <c r="Q171" s="287">
        <f t="shared" si="36"/>
        <v>73571018.249151886</v>
      </c>
      <c r="R171" s="291">
        <f t="shared" si="37"/>
        <v>3069183.4809392188</v>
      </c>
      <c r="S171" s="287">
        <f t="shared" si="46"/>
        <v>73571018.249151886</v>
      </c>
      <c r="T171" s="50">
        <f t="shared" si="44"/>
        <v>6896747.2491518855</v>
      </c>
      <c r="U171" s="103">
        <f t="shared" si="45"/>
        <v>0.10343940992098564</v>
      </c>
      <c r="V171" s="13">
        <f t="shared" ref="V171:V182" si="47">ABS(U171)</f>
        <v>0.10343940992098564</v>
      </c>
      <c r="W171" s="341"/>
      <c r="X171" s="172"/>
    </row>
    <row r="172" spans="1:24" x14ac:dyDescent="0.25">
      <c r="A172" s="196">
        <f t="shared" si="43"/>
        <v>42794</v>
      </c>
      <c r="B172" s="170">
        <v>59162719</v>
      </c>
      <c r="C172" s="288">
        <f>'CDM Activity'!H154</f>
        <v>2939366.7883601231</v>
      </c>
      <c r="D172" s="402">
        <f>D171</f>
        <v>1.0488769185235338</v>
      </c>
      <c r="E172" s="171">
        <f t="shared" si="34"/>
        <v>3083033.9793855823</v>
      </c>
      <c r="F172" s="171">
        <f t="shared" si="35"/>
        <v>62245752.979385585</v>
      </c>
      <c r="G172" s="222">
        <f>'Weather Analysis '!X9</f>
        <v>638.70000000000005</v>
      </c>
      <c r="H172" s="222">
        <f>'Weather Analysis '!X29</f>
        <v>0</v>
      </c>
      <c r="I172" s="169">
        <v>0</v>
      </c>
      <c r="J172" s="169">
        <v>28</v>
      </c>
      <c r="K172" s="287">
        <v>170</v>
      </c>
      <c r="L172" s="287">
        <v>33528</v>
      </c>
      <c r="M172" s="289">
        <v>157.56634637422971</v>
      </c>
      <c r="N172" s="169">
        <v>320</v>
      </c>
      <c r="O172" s="169"/>
      <c r="P172" s="293"/>
      <c r="Q172" s="287">
        <f t="shared" si="36"/>
        <v>65347573.800129473</v>
      </c>
      <c r="R172" s="291">
        <f t="shared" si="37"/>
        <v>3083033.9793855823</v>
      </c>
      <c r="S172" s="287">
        <f t="shared" si="46"/>
        <v>65347573.800129473</v>
      </c>
      <c r="T172" s="50">
        <f t="shared" si="44"/>
        <v>6184854.8001294732</v>
      </c>
      <c r="U172" s="103">
        <f t="shared" si="45"/>
        <v>0.10453973219401011</v>
      </c>
      <c r="V172" s="13">
        <f t="shared" si="47"/>
        <v>0.10453973219401011</v>
      </c>
      <c r="W172" s="341"/>
      <c r="X172" s="172"/>
    </row>
    <row r="173" spans="1:24" x14ac:dyDescent="0.25">
      <c r="A173" s="196">
        <f t="shared" si="43"/>
        <v>42825</v>
      </c>
      <c r="B173" s="170">
        <v>63923197</v>
      </c>
      <c r="C173" s="288">
        <f>'CDM Activity'!H155</f>
        <v>2952571.8634282826</v>
      </c>
      <c r="D173" s="402">
        <f t="shared" ref="D173:D182" si="48">D172</f>
        <v>1.0488769185235338</v>
      </c>
      <c r="E173" s="171">
        <f t="shared" si="34"/>
        <v>3096884.4778319453</v>
      </c>
      <c r="F173" s="171">
        <f t="shared" si="35"/>
        <v>67020081.477831945</v>
      </c>
      <c r="G173" s="222">
        <f>'Weather Analysis '!X10</f>
        <v>706.2</v>
      </c>
      <c r="H173" s="222">
        <f>'Weather Analysis '!X30</f>
        <v>0</v>
      </c>
      <c r="I173" s="169">
        <v>1</v>
      </c>
      <c r="J173" s="169">
        <v>31</v>
      </c>
      <c r="K173" s="287">
        <v>171</v>
      </c>
      <c r="L173" s="287">
        <v>33528</v>
      </c>
      <c r="M173" s="289">
        <v>157.89090724939794</v>
      </c>
      <c r="N173" s="169">
        <v>352</v>
      </c>
      <c r="O173" s="169"/>
      <c r="P173" s="293"/>
      <c r="Q173" s="287">
        <f t="shared" si="36"/>
        <v>70360247.140446663</v>
      </c>
      <c r="R173" s="291">
        <f t="shared" si="37"/>
        <v>3096884.4778319453</v>
      </c>
      <c r="S173" s="287">
        <f t="shared" si="46"/>
        <v>70360247.140446663</v>
      </c>
      <c r="T173" s="50">
        <f t="shared" si="44"/>
        <v>6437050.1404466629</v>
      </c>
      <c r="U173" s="103">
        <f t="shared" si="45"/>
        <v>0.10069975286822189</v>
      </c>
      <c r="V173" s="13">
        <f t="shared" si="47"/>
        <v>0.10069975286822189</v>
      </c>
      <c r="W173" s="341"/>
      <c r="X173" s="172"/>
    </row>
    <row r="174" spans="1:24" x14ac:dyDescent="0.25">
      <c r="A174" s="196">
        <f t="shared" si="43"/>
        <v>42855</v>
      </c>
      <c r="B174" s="170">
        <v>51461055</v>
      </c>
      <c r="C174" s="288">
        <f>'CDM Activity'!H156</f>
        <v>2965776.938496442</v>
      </c>
      <c r="D174" s="402">
        <f t="shared" si="48"/>
        <v>1.0488769185235338</v>
      </c>
      <c r="E174" s="171">
        <f t="shared" si="34"/>
        <v>3110734.9762783083</v>
      </c>
      <c r="F174" s="171">
        <f t="shared" si="35"/>
        <v>54571789.976278305</v>
      </c>
      <c r="G174" s="222">
        <f>'Weather Analysis '!X11</f>
        <v>392.1</v>
      </c>
      <c r="H174" s="222">
        <f>'Weather Analysis '!X31</f>
        <v>0</v>
      </c>
      <c r="I174" s="169">
        <v>1</v>
      </c>
      <c r="J174" s="169">
        <v>30</v>
      </c>
      <c r="K174" s="287">
        <v>172</v>
      </c>
      <c r="L174" s="287">
        <v>33482</v>
      </c>
      <c r="M174" s="289">
        <v>158.21613666682862</v>
      </c>
      <c r="N174" s="169">
        <v>336</v>
      </c>
      <c r="O174" s="169"/>
      <c r="P174" s="293"/>
      <c r="Q174" s="287">
        <f t="shared" si="36"/>
        <v>55968649.370937854</v>
      </c>
      <c r="R174" s="291">
        <f t="shared" si="37"/>
        <v>3110734.9762783083</v>
      </c>
      <c r="S174" s="287">
        <f t="shared" si="46"/>
        <v>55968649.370937854</v>
      </c>
      <c r="T174" s="50">
        <f t="shared" si="44"/>
        <v>4507594.3709378541</v>
      </c>
      <c r="U174" s="103">
        <f t="shared" si="45"/>
        <v>8.7592342810264068E-2</v>
      </c>
      <c r="V174" s="13">
        <f t="shared" si="47"/>
        <v>8.7592342810264068E-2</v>
      </c>
      <c r="W174" s="341"/>
      <c r="X174" s="172"/>
    </row>
    <row r="175" spans="1:24" x14ac:dyDescent="0.25">
      <c r="A175" s="196">
        <f t="shared" si="43"/>
        <v>42886</v>
      </c>
      <c r="B175" s="170">
        <v>48082511</v>
      </c>
      <c r="C175" s="288">
        <f>'CDM Activity'!H157</f>
        <v>2978982.0135646015</v>
      </c>
      <c r="D175" s="402">
        <f t="shared" si="48"/>
        <v>1.0488769185235338</v>
      </c>
      <c r="E175" s="171">
        <f t="shared" si="34"/>
        <v>3124585.4747246713</v>
      </c>
      <c r="F175" s="171">
        <f t="shared" si="35"/>
        <v>51207096.474724673</v>
      </c>
      <c r="G175" s="222">
        <f>'Weather Analysis '!X12</f>
        <v>273.8</v>
      </c>
      <c r="H175" s="222">
        <f>'Weather Analysis '!X32</f>
        <v>0</v>
      </c>
      <c r="I175" s="169">
        <v>1</v>
      </c>
      <c r="J175" s="169">
        <v>31</v>
      </c>
      <c r="K175" s="287">
        <v>173</v>
      </c>
      <c r="L175" s="287">
        <v>33482</v>
      </c>
      <c r="M175" s="289">
        <v>158.54203600360935</v>
      </c>
      <c r="N175" s="169">
        <v>336</v>
      </c>
      <c r="O175" s="169"/>
      <c r="P175" s="293"/>
      <c r="Q175" s="287">
        <f t="shared" si="36"/>
        <v>53058262.971204758</v>
      </c>
      <c r="R175" s="291">
        <f t="shared" si="37"/>
        <v>3124585.4747246713</v>
      </c>
      <c r="S175" s="287">
        <f t="shared" si="46"/>
        <v>53058262.971204758</v>
      </c>
      <c r="T175" s="50">
        <f t="shared" si="44"/>
        <v>4975751.9712047577</v>
      </c>
      <c r="U175" s="103">
        <f t="shared" si="45"/>
        <v>0.10348361322487416</v>
      </c>
      <c r="V175" s="13">
        <f t="shared" si="47"/>
        <v>0.10348361322487416</v>
      </c>
      <c r="W175" s="341"/>
      <c r="X175" s="172"/>
    </row>
    <row r="176" spans="1:24" x14ac:dyDescent="0.25">
      <c r="A176" s="196">
        <f t="shared" si="43"/>
        <v>42916</v>
      </c>
      <c r="B176" s="170">
        <v>44830072</v>
      </c>
      <c r="C176" s="288">
        <f>'CDM Activity'!H158</f>
        <v>2992187.088632761</v>
      </c>
      <c r="D176" s="402">
        <f t="shared" si="48"/>
        <v>1.0488769185235338</v>
      </c>
      <c r="E176" s="171">
        <f t="shared" si="34"/>
        <v>3138435.9731710344</v>
      </c>
      <c r="F176" s="171">
        <f t="shared" si="35"/>
        <v>47968507.973171033</v>
      </c>
      <c r="G176" s="222">
        <f>'Weather Analysis '!X13</f>
        <v>104.1</v>
      </c>
      <c r="H176" s="222">
        <f>'Weather Analysis '!X33</f>
        <v>3.5</v>
      </c>
      <c r="I176" s="169">
        <v>0</v>
      </c>
      <c r="J176" s="169">
        <v>30</v>
      </c>
      <c r="K176" s="287">
        <v>174</v>
      </c>
      <c r="L176" s="287">
        <v>33482</v>
      </c>
      <c r="M176" s="289">
        <v>158.86860663966431</v>
      </c>
      <c r="N176" s="169">
        <v>352</v>
      </c>
      <c r="O176" s="169"/>
      <c r="P176" s="293"/>
      <c r="Q176" s="287">
        <f t="shared" si="36"/>
        <v>47764886.03870967</v>
      </c>
      <c r="R176" s="291">
        <f t="shared" si="37"/>
        <v>3138435.9731710344</v>
      </c>
      <c r="S176" s="287">
        <f t="shared" si="46"/>
        <v>47764886.03870967</v>
      </c>
      <c r="T176" s="50">
        <f t="shared" si="44"/>
        <v>2934814.0387096703</v>
      </c>
      <c r="U176" s="103">
        <f t="shared" si="45"/>
        <v>6.5465298353963614E-2</v>
      </c>
      <c r="V176" s="13">
        <f t="shared" si="47"/>
        <v>6.5465298353963614E-2</v>
      </c>
      <c r="W176" s="341"/>
      <c r="X176" s="172"/>
    </row>
    <row r="177" spans="1:24" x14ac:dyDescent="0.25">
      <c r="A177" s="196">
        <f t="shared" si="43"/>
        <v>42947</v>
      </c>
      <c r="B177" s="170">
        <v>48264067</v>
      </c>
      <c r="C177" s="288">
        <f>'CDM Activity'!H159</f>
        <v>3005392.1637009205</v>
      </c>
      <c r="D177" s="402">
        <f t="shared" si="48"/>
        <v>1.0488769185235338</v>
      </c>
      <c r="E177" s="171">
        <f t="shared" si="34"/>
        <v>3152286.4716173974</v>
      </c>
      <c r="F177" s="171">
        <f t="shared" si="35"/>
        <v>51416353.471617401</v>
      </c>
      <c r="G177" s="222">
        <f>'Weather Analysis '!X14</f>
        <v>42</v>
      </c>
      <c r="H177" s="222">
        <f>'Weather Analysis '!X34</f>
        <v>13.8</v>
      </c>
      <c r="I177" s="169">
        <v>0</v>
      </c>
      <c r="J177" s="169">
        <v>31</v>
      </c>
      <c r="K177" s="287">
        <v>175</v>
      </c>
      <c r="L177" s="287">
        <v>33516</v>
      </c>
      <c r="M177" s="289">
        <v>159.19584995776006</v>
      </c>
      <c r="N177" s="169">
        <v>320</v>
      </c>
      <c r="O177" s="169"/>
      <c r="P177" s="293"/>
      <c r="Q177" s="287">
        <f t="shared" si="36"/>
        <v>48128966.102743894</v>
      </c>
      <c r="R177" s="291">
        <f t="shared" si="37"/>
        <v>3152286.4716173974</v>
      </c>
      <c r="S177" s="287">
        <f t="shared" si="46"/>
        <v>48128966.102743894</v>
      </c>
      <c r="T177" s="50">
        <f t="shared" si="44"/>
        <v>-135100.89725610614</v>
      </c>
      <c r="U177" s="103">
        <f t="shared" si="45"/>
        <v>-2.7992025051702778E-3</v>
      </c>
      <c r="V177" s="13">
        <f t="shared" si="47"/>
        <v>2.7992025051702778E-3</v>
      </c>
      <c r="W177" s="341"/>
      <c r="X177" s="172"/>
    </row>
    <row r="178" spans="1:24" x14ac:dyDescent="0.25">
      <c r="A178" s="196">
        <f t="shared" si="43"/>
        <v>42978</v>
      </c>
      <c r="B178" s="170">
        <v>47137204</v>
      </c>
      <c r="C178" s="288">
        <f>'CDM Activity'!H160</f>
        <v>3018597.23876908</v>
      </c>
      <c r="D178" s="402">
        <f t="shared" si="48"/>
        <v>1.0488769185235338</v>
      </c>
      <c r="E178" s="171">
        <f t="shared" si="34"/>
        <v>3166136.9700637604</v>
      </c>
      <c r="F178" s="171">
        <f t="shared" si="35"/>
        <v>50303340.970063761</v>
      </c>
      <c r="G178" s="222">
        <f>'Weather Analysis '!X15</f>
        <v>55.5</v>
      </c>
      <c r="H178" s="222">
        <f>'Weather Analysis '!X35</f>
        <v>9.1999999999999993</v>
      </c>
      <c r="I178" s="169">
        <v>0</v>
      </c>
      <c r="J178" s="169">
        <v>31</v>
      </c>
      <c r="K178" s="287">
        <v>176</v>
      </c>
      <c r="L178" s="287">
        <v>33516</v>
      </c>
      <c r="M178" s="289">
        <v>159.52376734351151</v>
      </c>
      <c r="N178" s="169">
        <v>352</v>
      </c>
      <c r="O178" s="169"/>
      <c r="P178" s="293"/>
      <c r="Q178" s="287">
        <f t="shared" si="36"/>
        <v>48194506.981831372</v>
      </c>
      <c r="R178" s="291">
        <f t="shared" si="37"/>
        <v>3166136.9700637604</v>
      </c>
      <c r="S178" s="287">
        <f t="shared" si="46"/>
        <v>48194506.981831372</v>
      </c>
      <c r="T178" s="50">
        <f t="shared" si="44"/>
        <v>1057302.9818313718</v>
      </c>
      <c r="U178" s="103">
        <f t="shared" si="45"/>
        <v>2.243032874481422E-2</v>
      </c>
      <c r="V178" s="13">
        <f t="shared" si="47"/>
        <v>2.243032874481422E-2</v>
      </c>
      <c r="W178" s="341"/>
      <c r="X178" s="172"/>
    </row>
    <row r="179" spans="1:24" x14ac:dyDescent="0.25">
      <c r="A179" s="196">
        <f t="shared" si="43"/>
        <v>43008</v>
      </c>
      <c r="B179" s="170">
        <v>46024413</v>
      </c>
      <c r="C179" s="288">
        <f>'CDM Activity'!H161</f>
        <v>3031802.3138372395</v>
      </c>
      <c r="D179" s="402">
        <f t="shared" si="48"/>
        <v>1.0488769185235338</v>
      </c>
      <c r="E179" s="171">
        <f t="shared" si="34"/>
        <v>3179987.4685101234</v>
      </c>
      <c r="F179" s="171">
        <f t="shared" si="35"/>
        <v>49204400.468510121</v>
      </c>
      <c r="G179" s="222">
        <f>'Weather Analysis '!X16</f>
        <v>112.7</v>
      </c>
      <c r="H179" s="222">
        <f>'Weather Analysis '!X36</f>
        <v>33.299999999999997</v>
      </c>
      <c r="I179" s="169">
        <v>1</v>
      </c>
      <c r="J179" s="169">
        <v>30</v>
      </c>
      <c r="K179" s="287">
        <v>177</v>
      </c>
      <c r="L179" s="287">
        <v>33516</v>
      </c>
      <c r="M179" s="289">
        <v>159.85236018538762</v>
      </c>
      <c r="N179" s="169">
        <v>336</v>
      </c>
      <c r="O179" s="169"/>
      <c r="P179" s="293"/>
      <c r="Q179" s="287">
        <f t="shared" si="36"/>
        <v>47730712.891391248</v>
      </c>
      <c r="R179" s="291">
        <f t="shared" si="37"/>
        <v>3179987.4685101234</v>
      </c>
      <c r="S179" s="287">
        <f t="shared" si="46"/>
        <v>47730712.891391248</v>
      </c>
      <c r="T179" s="50">
        <f t="shared" si="44"/>
        <v>1706299.8913912475</v>
      </c>
      <c r="U179" s="103">
        <f t="shared" si="45"/>
        <v>3.7073800189287534E-2</v>
      </c>
      <c r="V179" s="13">
        <f t="shared" si="47"/>
        <v>3.7073800189287534E-2</v>
      </c>
      <c r="W179" s="341"/>
      <c r="X179" s="172"/>
    </row>
    <row r="180" spans="1:24" x14ac:dyDescent="0.25">
      <c r="A180" s="196">
        <f t="shared" si="43"/>
        <v>43039</v>
      </c>
      <c r="B180" s="170">
        <v>48274780</v>
      </c>
      <c r="C180" s="288">
        <f>'CDM Activity'!H162</f>
        <v>3045007.388905399</v>
      </c>
      <c r="D180" s="402">
        <f t="shared" si="48"/>
        <v>1.0488769185235338</v>
      </c>
      <c r="E180" s="171">
        <f t="shared" si="34"/>
        <v>3193837.9669564865</v>
      </c>
      <c r="F180" s="171">
        <f t="shared" si="35"/>
        <v>51468617.966956489</v>
      </c>
      <c r="G180" s="222">
        <f>'Weather Analysis '!X17</f>
        <v>266.3</v>
      </c>
      <c r="H180" s="222">
        <f>'Weather Analysis '!X37</f>
        <v>1.9</v>
      </c>
      <c r="I180" s="169">
        <v>1</v>
      </c>
      <c r="J180" s="169">
        <v>31</v>
      </c>
      <c r="K180" s="287">
        <v>178</v>
      </c>
      <c r="L180" s="287">
        <v>33605</v>
      </c>
      <c r="M180" s="289">
        <v>160.18162987471746</v>
      </c>
      <c r="N180" s="169">
        <v>320</v>
      </c>
      <c r="O180" s="169"/>
      <c r="P180" s="293"/>
      <c r="Q180" s="287">
        <f t="shared" si="36"/>
        <v>53327296.185189247</v>
      </c>
      <c r="R180" s="291">
        <f t="shared" si="37"/>
        <v>3193837.9669564865</v>
      </c>
      <c r="S180" s="287">
        <f t="shared" si="46"/>
        <v>53327296.185189247</v>
      </c>
      <c r="T180" s="50">
        <f t="shared" si="44"/>
        <v>5052516.1851892471</v>
      </c>
      <c r="U180" s="103">
        <f t="shared" si="45"/>
        <v>0.10466160975128726</v>
      </c>
      <c r="V180" s="13">
        <f t="shared" si="47"/>
        <v>0.10466160975128726</v>
      </c>
      <c r="W180" s="341"/>
      <c r="X180" s="172"/>
    </row>
    <row r="181" spans="1:24" x14ac:dyDescent="0.25">
      <c r="A181" s="196">
        <f t="shared" si="43"/>
        <v>43069</v>
      </c>
      <c r="B181" s="170">
        <v>58218614</v>
      </c>
      <c r="C181" s="288">
        <f>'CDM Activity'!H163</f>
        <v>3058212.4639735585</v>
      </c>
      <c r="D181" s="402">
        <f t="shared" si="48"/>
        <v>1.0488769185235338</v>
      </c>
      <c r="E181" s="171">
        <f t="shared" si="34"/>
        <v>3207688.4654028499</v>
      </c>
      <c r="F181" s="171">
        <f t="shared" si="35"/>
        <v>61426302.465402849</v>
      </c>
      <c r="G181" s="222">
        <f>'Weather Analysis '!X18</f>
        <v>497.4</v>
      </c>
      <c r="H181" s="222">
        <f>'Weather Analysis '!X38</f>
        <v>0</v>
      </c>
      <c r="I181" s="169">
        <v>1</v>
      </c>
      <c r="J181" s="169">
        <v>30</v>
      </c>
      <c r="K181" s="287">
        <v>179</v>
      </c>
      <c r="L181" s="287">
        <v>33605</v>
      </c>
      <c r="M181" s="289">
        <v>160.51157780569594</v>
      </c>
      <c r="N181" s="169">
        <v>336</v>
      </c>
      <c r="O181" s="169"/>
      <c r="P181" s="293"/>
      <c r="Q181" s="287">
        <f t="shared" si="36"/>
        <v>60333724.948951036</v>
      </c>
      <c r="R181" s="291">
        <f t="shared" si="37"/>
        <v>3207688.4654028499</v>
      </c>
      <c r="S181" s="287">
        <f t="shared" si="46"/>
        <v>60333724.948951036</v>
      </c>
      <c r="T181" s="50">
        <f t="shared" si="44"/>
        <v>2115110.9489510357</v>
      </c>
      <c r="U181" s="103">
        <f t="shared" si="45"/>
        <v>3.633049300952159E-2</v>
      </c>
      <c r="V181" s="13">
        <f t="shared" si="47"/>
        <v>3.633049300952159E-2</v>
      </c>
      <c r="W181" s="341"/>
      <c r="X181" s="172"/>
    </row>
    <row r="182" spans="1:24" x14ac:dyDescent="0.25">
      <c r="A182" s="196">
        <f t="shared" si="43"/>
        <v>43100</v>
      </c>
      <c r="B182" s="170">
        <v>70917570</v>
      </c>
      <c r="C182" s="288">
        <f>'CDM Activity'!H164</f>
        <v>3071417.539041718</v>
      </c>
      <c r="D182" s="402">
        <f t="shared" si="48"/>
        <v>1.0488769185235338</v>
      </c>
      <c r="E182" s="171">
        <f t="shared" si="34"/>
        <v>3221538.963849213</v>
      </c>
      <c r="F182" s="171">
        <f t="shared" si="35"/>
        <v>74139108.963849217</v>
      </c>
      <c r="G182" s="222">
        <f>'Weather Analysis '!X19</f>
        <v>849.9</v>
      </c>
      <c r="H182" s="222">
        <f>'Weather Analysis '!X39</f>
        <v>0</v>
      </c>
      <c r="I182" s="169">
        <v>0</v>
      </c>
      <c r="J182" s="169">
        <v>31</v>
      </c>
      <c r="K182" s="287">
        <v>180</v>
      </c>
      <c r="L182" s="287">
        <v>33605</v>
      </c>
      <c r="M182" s="289">
        <v>160.37144770112059</v>
      </c>
      <c r="N182" s="169">
        <v>336</v>
      </c>
      <c r="O182" s="169"/>
      <c r="P182" s="293"/>
      <c r="Q182" s="287">
        <f t="shared" si="36"/>
        <v>78676298.305544049</v>
      </c>
      <c r="R182" s="291">
        <f t="shared" si="37"/>
        <v>3221538.963849213</v>
      </c>
      <c r="S182" s="287">
        <f t="shared" si="46"/>
        <v>78676298.305544049</v>
      </c>
      <c r="T182" s="50">
        <f t="shared" si="44"/>
        <v>7758728.3055440485</v>
      </c>
      <c r="U182" s="103">
        <f t="shared" si="45"/>
        <v>0.10940488098427581</v>
      </c>
      <c r="V182" s="13">
        <f t="shared" si="47"/>
        <v>0.10940488098427581</v>
      </c>
      <c r="W182" s="341" t="s">
        <v>277</v>
      </c>
      <c r="X182" s="172"/>
    </row>
    <row r="183" spans="1:24" x14ac:dyDescent="0.25">
      <c r="A183" s="196">
        <f t="shared" si="43"/>
        <v>43131</v>
      </c>
      <c r="B183" s="170"/>
      <c r="C183" s="288">
        <f>'CDM Activity'!H165</f>
        <v>3089873.1700584772</v>
      </c>
      <c r="D183" s="402">
        <f>'Rate Class Energy Model'!F29</f>
        <v>1.0461248909402159</v>
      </c>
      <c r="E183" s="170">
        <f t="shared" si="34"/>
        <v>3232393.2330465238</v>
      </c>
      <c r="F183" s="171"/>
      <c r="G183" s="222">
        <f>(G171+G159+G147+G135+G123+G111+G99+G87+G75+G63)/10</f>
        <v>824.21</v>
      </c>
      <c r="H183" s="222">
        <f t="shared" ref="H183" si="49">(H171+H159+H147+H135+H123+H111+H99+H87+H75+H63)/10</f>
        <v>0</v>
      </c>
      <c r="I183" s="169">
        <v>0</v>
      </c>
      <c r="J183" s="169">
        <v>31</v>
      </c>
      <c r="K183" s="287">
        <v>181</v>
      </c>
      <c r="L183" s="287">
        <f>L171*'Rate Class Customer Model'!$J$19</f>
        <v>33625.286197386944</v>
      </c>
      <c r="M183" s="289">
        <v>160.70178662574256</v>
      </c>
      <c r="N183" s="169">
        <v>320</v>
      </c>
      <c r="O183" s="169"/>
      <c r="P183" s="293"/>
      <c r="Q183" s="287">
        <f>+$Z$43+G183*$Z$44+H183*$Z$45+I183*$Z$46+J183*$Z$47+K183*$Z$48+ L183*$Z$49+W183</f>
        <v>77288046.746428713</v>
      </c>
      <c r="R183" s="291">
        <f t="shared" si="37"/>
        <v>3232393.2330465238</v>
      </c>
      <c r="S183" s="287">
        <f t="shared" ref="S183:S194" si="50">+$Z$43+G183*$Z$44+H183*$Z$45+I183*$Z$46+J183*$Z$47+K183*$Z$48+ L183*$Z$49+W183</f>
        <v>77288046.746428713</v>
      </c>
      <c r="T183" s="50"/>
      <c r="U183" s="103"/>
      <c r="V183" s="5">
        <f>AVERAGE(V3:V182)</f>
        <v>3.4540433091354732E-2</v>
      </c>
      <c r="W183" s="341">
        <f>'Rate Class Energy Model'!U73</f>
        <v>-439302.35075063654</v>
      </c>
      <c r="X183" s="172"/>
    </row>
    <row r="184" spans="1:24" x14ac:dyDescent="0.25">
      <c r="A184" s="196">
        <f t="shared" si="43"/>
        <v>43159</v>
      </c>
      <c r="B184" s="170"/>
      <c r="C184" s="288">
        <f>'CDM Activity'!H166</f>
        <v>3108328.8010752364</v>
      </c>
      <c r="D184" s="402">
        <f>D183</f>
        <v>1.0461248909402159</v>
      </c>
      <c r="E184" s="170">
        <f t="shared" si="34"/>
        <v>3251700.1280311635</v>
      </c>
      <c r="F184" s="171"/>
      <c r="G184" s="222">
        <f t="shared" ref="G184:H184" si="51">(G172+G160+G148+G136+G124+G112+G100+G88+G76+G64)/10</f>
        <v>754.11000000000013</v>
      </c>
      <c r="H184" s="222">
        <f t="shared" si="51"/>
        <v>0</v>
      </c>
      <c r="I184" s="169">
        <v>0</v>
      </c>
      <c r="J184" s="169">
        <v>28</v>
      </c>
      <c r="K184" s="287">
        <v>182</v>
      </c>
      <c r="L184" s="287">
        <f>L172*'Rate Class Customer Model'!$J$19</f>
        <v>33625.286197386944</v>
      </c>
      <c r="M184" s="289">
        <v>161.03280599446279</v>
      </c>
      <c r="N184" s="169">
        <v>320</v>
      </c>
      <c r="O184" s="169"/>
      <c r="P184" s="293"/>
      <c r="Q184" s="287">
        <f t="shared" ref="Q184:Q194" si="52">+$Z$43+G184*$Z$44+H184*$Z$45+I184*$Z$46+J184*$Z$47+K184*$Z$48+ L184*$Z$49+W184</f>
        <v>69146542.899172828</v>
      </c>
      <c r="R184" s="291">
        <f t="shared" si="37"/>
        <v>3251700.1280311635</v>
      </c>
      <c r="S184" s="287">
        <f t="shared" si="50"/>
        <v>69146542.899172828</v>
      </c>
      <c r="T184" s="50"/>
      <c r="U184" s="103"/>
      <c r="V184" s="5"/>
      <c r="W184" s="341">
        <f>W183</f>
        <v>-439302.35075063654</v>
      </c>
      <c r="X184" s="172"/>
    </row>
    <row r="185" spans="1:24" x14ac:dyDescent="0.25">
      <c r="A185" s="196">
        <f t="shared" si="43"/>
        <v>43190</v>
      </c>
      <c r="B185" s="170"/>
      <c r="C185" s="288">
        <f>'CDM Activity'!H167</f>
        <v>3126784.4320919956</v>
      </c>
      <c r="D185" s="402">
        <f t="shared" ref="D185:D194" si="53">D184</f>
        <v>1.0461248909402159</v>
      </c>
      <c r="E185" s="170">
        <f t="shared" si="34"/>
        <v>3271007.0230158037</v>
      </c>
      <c r="F185" s="171"/>
      <c r="G185" s="222">
        <f t="shared" ref="G185:H185" si="54">(G173+G161+G149+G137+G125+G113+G101+G89+G77+G65)/10</f>
        <v>679.39</v>
      </c>
      <c r="H185" s="222">
        <f t="shared" si="54"/>
        <v>0</v>
      </c>
      <c r="I185" s="169">
        <v>1</v>
      </c>
      <c r="J185" s="169">
        <v>31</v>
      </c>
      <c r="K185" s="287">
        <v>183</v>
      </c>
      <c r="L185" s="287">
        <f>L173*'Rate Class Customer Model'!$J$19</f>
        <v>33625.286197386944</v>
      </c>
      <c r="M185" s="289">
        <v>161.36450720888473</v>
      </c>
      <c r="N185" s="169">
        <v>352</v>
      </c>
      <c r="O185" s="169"/>
      <c r="P185" s="293"/>
      <c r="Q185" s="287">
        <f t="shared" si="52"/>
        <v>68609886.533185765</v>
      </c>
      <c r="R185" s="291">
        <f t="shared" si="37"/>
        <v>3271007.0230158037</v>
      </c>
      <c r="S185" s="287">
        <f t="shared" si="50"/>
        <v>68609886.533185765</v>
      </c>
      <c r="T185" s="50"/>
      <c r="U185" s="103"/>
      <c r="V185" s="5"/>
      <c r="W185" s="341">
        <f t="shared" ref="W185:W194" si="55">W184</f>
        <v>-439302.35075063654</v>
      </c>
      <c r="X185" s="172"/>
    </row>
    <row r="186" spans="1:24" x14ac:dyDescent="0.25">
      <c r="A186" s="196">
        <f t="shared" si="43"/>
        <v>43220</v>
      </c>
      <c r="B186" s="170"/>
      <c r="C186" s="288">
        <f>'CDM Activity'!H168</f>
        <v>3145240.0631087548</v>
      </c>
      <c r="D186" s="402">
        <f t="shared" si="53"/>
        <v>1.0461248909402159</v>
      </c>
      <c r="E186" s="170">
        <f t="shared" si="34"/>
        <v>3290313.9180004438</v>
      </c>
      <c r="F186" s="171"/>
      <c r="G186" s="222">
        <f t="shared" ref="G186:H186" si="56">(G174+G162+G150+G138+G126+G114+G102+G90+G78+G66)/10</f>
        <v>427.16999999999996</v>
      </c>
      <c r="H186" s="222">
        <f t="shared" si="56"/>
        <v>0.02</v>
      </c>
      <c r="I186" s="169">
        <v>1</v>
      </c>
      <c r="J186" s="169">
        <v>30</v>
      </c>
      <c r="K186" s="287">
        <v>184</v>
      </c>
      <c r="L186" s="287">
        <f>L174*'Rate Class Customer Model'!$J$19</f>
        <v>33579.152721931212</v>
      </c>
      <c r="M186" s="289">
        <v>161.6968916734989</v>
      </c>
      <c r="N186" s="169">
        <v>336</v>
      </c>
      <c r="O186" s="169"/>
      <c r="P186" s="293"/>
      <c r="Q186" s="287">
        <f t="shared" si="52"/>
        <v>56633668.011011049</v>
      </c>
      <c r="R186" s="291">
        <f t="shared" si="37"/>
        <v>3290313.9180004438</v>
      </c>
      <c r="S186" s="287">
        <f t="shared" si="50"/>
        <v>56633668.011011049</v>
      </c>
      <c r="T186" s="50"/>
      <c r="U186" s="103"/>
      <c r="V186" s="5"/>
      <c r="W186" s="341">
        <f t="shared" si="55"/>
        <v>-439302.35075063654</v>
      </c>
      <c r="X186" s="172"/>
    </row>
    <row r="187" spans="1:24" x14ac:dyDescent="0.25">
      <c r="A187" s="196">
        <f t="shared" si="43"/>
        <v>43251</v>
      </c>
      <c r="B187" s="170"/>
      <c r="C187" s="288">
        <f>'CDM Activity'!H169</f>
        <v>3163695.694125514</v>
      </c>
      <c r="D187" s="402">
        <f t="shared" si="53"/>
        <v>1.0461248909402159</v>
      </c>
      <c r="E187" s="170">
        <f t="shared" si="34"/>
        <v>3309620.812985084</v>
      </c>
      <c r="F187" s="171"/>
      <c r="G187" s="222">
        <f t="shared" ref="G187:H187" si="57">(G175+G163+G151+G139+G127+G115+G103+G91+G79+G67)/10</f>
        <v>232.2</v>
      </c>
      <c r="H187" s="222">
        <f t="shared" si="57"/>
        <v>3.9</v>
      </c>
      <c r="I187" s="169">
        <v>1</v>
      </c>
      <c r="J187" s="169">
        <v>31</v>
      </c>
      <c r="K187" s="287">
        <v>185</v>
      </c>
      <c r="L187" s="287">
        <f>L175*'Rate Class Customer Model'!$J$19</f>
        <v>33579.152721931212</v>
      </c>
      <c r="M187" s="289">
        <v>162.02996079568879</v>
      </c>
      <c r="N187" s="169">
        <v>336</v>
      </c>
      <c r="O187" s="169"/>
      <c r="P187" s="293"/>
      <c r="Q187" s="287">
        <f t="shared" si="52"/>
        <v>51059663.058289126</v>
      </c>
      <c r="R187" s="291">
        <f t="shared" si="37"/>
        <v>3309620.812985084</v>
      </c>
      <c r="S187" s="287">
        <f t="shared" si="50"/>
        <v>51059663.058289126</v>
      </c>
      <c r="T187" s="50"/>
      <c r="U187" s="103"/>
      <c r="V187" s="5"/>
      <c r="W187" s="341">
        <f t="shared" si="55"/>
        <v>-439302.35075063654</v>
      </c>
      <c r="X187" s="172"/>
    </row>
    <row r="188" spans="1:24" x14ac:dyDescent="0.25">
      <c r="A188" s="196">
        <f t="shared" si="43"/>
        <v>43281</v>
      </c>
      <c r="B188" s="170"/>
      <c r="C188" s="288">
        <f>'CDM Activity'!H170</f>
        <v>3182151.3251422732</v>
      </c>
      <c r="D188" s="402">
        <f t="shared" si="53"/>
        <v>1.0461248909402159</v>
      </c>
      <c r="E188" s="170">
        <f t="shared" si="34"/>
        <v>3328927.7079697242</v>
      </c>
      <c r="F188" s="171"/>
      <c r="G188" s="222">
        <f t="shared" ref="G188:H188" si="58">(G176+G164+G152+G140+G128+G116+G104+G92+G80+G68)/10</f>
        <v>101.74</v>
      </c>
      <c r="H188" s="222">
        <f t="shared" si="58"/>
        <v>9.5400000000000009</v>
      </c>
      <c r="I188" s="169">
        <v>0</v>
      </c>
      <c r="J188" s="169">
        <v>30</v>
      </c>
      <c r="K188" s="287">
        <v>186</v>
      </c>
      <c r="L188" s="287">
        <f>L176*'Rate Class Customer Model'!$J$19</f>
        <v>33579.152721931212</v>
      </c>
      <c r="M188" s="289">
        <v>162.36371598573695</v>
      </c>
      <c r="N188" s="169">
        <v>352</v>
      </c>
      <c r="O188" s="169"/>
      <c r="P188" s="293"/>
      <c r="Q188" s="287">
        <f t="shared" si="52"/>
        <v>47478308.594703272</v>
      </c>
      <c r="R188" s="291">
        <f t="shared" si="37"/>
        <v>3328927.7079697242</v>
      </c>
      <c r="S188" s="287">
        <f t="shared" si="50"/>
        <v>47478308.594703272</v>
      </c>
      <c r="T188" s="50"/>
      <c r="U188" s="103"/>
      <c r="V188" s="5"/>
      <c r="W188" s="341">
        <f t="shared" si="55"/>
        <v>-439302.35075063654</v>
      </c>
      <c r="X188" s="172"/>
    </row>
    <row r="189" spans="1:24" x14ac:dyDescent="0.25">
      <c r="A189" s="196">
        <f t="shared" si="43"/>
        <v>43312</v>
      </c>
      <c r="B189" s="170"/>
      <c r="C189" s="288">
        <f>'CDM Activity'!H171</f>
        <v>3200606.9561590324</v>
      </c>
      <c r="D189" s="402">
        <f t="shared" si="53"/>
        <v>1.0461248909402159</v>
      </c>
      <c r="E189" s="170">
        <f t="shared" si="34"/>
        <v>3348234.6029543639</v>
      </c>
      <c r="F189" s="171"/>
      <c r="G189" s="222">
        <f t="shared" ref="G189:H189" si="59">(G177+G165+G153+G141+G129+G117+G105+G93+G81+G69)/10</f>
        <v>40.76</v>
      </c>
      <c r="H189" s="222">
        <f t="shared" si="59"/>
        <v>36.08</v>
      </c>
      <c r="I189" s="169">
        <v>0</v>
      </c>
      <c r="J189" s="169">
        <v>31</v>
      </c>
      <c r="K189" s="287">
        <v>187</v>
      </c>
      <c r="L189" s="287">
        <f>L177*'Rate Class Customer Model'!$J$19</f>
        <v>33613.251377702843</v>
      </c>
      <c r="M189" s="289">
        <v>162.6981586568308</v>
      </c>
      <c r="N189" s="169">
        <v>320</v>
      </c>
      <c r="O189" s="169"/>
      <c r="P189" s="293"/>
      <c r="Q189" s="287">
        <f t="shared" si="52"/>
        <v>49259542.216764137</v>
      </c>
      <c r="R189" s="291">
        <f t="shared" si="37"/>
        <v>3348234.6029543639</v>
      </c>
      <c r="S189" s="287">
        <f t="shared" si="50"/>
        <v>49259542.216764137</v>
      </c>
      <c r="T189" s="50"/>
      <c r="U189" s="103"/>
      <c r="V189" s="5"/>
      <c r="W189" s="341">
        <f t="shared" si="55"/>
        <v>-439302.35075063654</v>
      </c>
      <c r="X189" s="172"/>
    </row>
    <row r="190" spans="1:24" x14ac:dyDescent="0.25">
      <c r="A190" s="196">
        <f t="shared" si="43"/>
        <v>43343</v>
      </c>
      <c r="B190" s="170"/>
      <c r="C190" s="288">
        <f>'CDM Activity'!H172</f>
        <v>3219062.5871757916</v>
      </c>
      <c r="D190" s="402">
        <f t="shared" si="53"/>
        <v>1.0461248909402159</v>
      </c>
      <c r="E190" s="170">
        <f t="shared" si="34"/>
        <v>3367541.4979390041</v>
      </c>
      <c r="F190" s="171"/>
      <c r="G190" s="222">
        <f t="shared" ref="G190:H190" si="60">(G178+G166+G154+G142+G130+G118+G106+G94+G82+G70)/10</f>
        <v>42.03</v>
      </c>
      <c r="H190" s="222">
        <f t="shared" si="60"/>
        <v>33.799999999999997</v>
      </c>
      <c r="I190" s="169">
        <v>0</v>
      </c>
      <c r="J190" s="169">
        <v>31</v>
      </c>
      <c r="K190" s="287">
        <v>188</v>
      </c>
      <c r="L190" s="287">
        <f>L178*'Rate Class Customer Model'!$J$19</f>
        <v>33613.251377702843</v>
      </c>
      <c r="M190" s="289">
        <v>163.03329022506875</v>
      </c>
      <c r="N190" s="169">
        <v>352</v>
      </c>
      <c r="O190" s="169"/>
      <c r="P190" s="293"/>
      <c r="Q190" s="287">
        <f t="shared" si="52"/>
        <v>49043996.641928658</v>
      </c>
      <c r="R190" s="291">
        <f t="shared" si="37"/>
        <v>3367541.4979390041</v>
      </c>
      <c r="S190" s="287">
        <f t="shared" si="50"/>
        <v>49043996.641928658</v>
      </c>
      <c r="T190" s="50"/>
      <c r="U190" s="103"/>
      <c r="V190" s="5"/>
      <c r="W190" s="341">
        <f t="shared" si="55"/>
        <v>-439302.35075063654</v>
      </c>
      <c r="X190" s="172"/>
    </row>
    <row r="191" spans="1:24" x14ac:dyDescent="0.25">
      <c r="A191" s="196">
        <f t="shared" si="43"/>
        <v>43373</v>
      </c>
      <c r="B191" s="170"/>
      <c r="C191" s="288">
        <f>'CDM Activity'!H173</f>
        <v>3237518.2181925508</v>
      </c>
      <c r="D191" s="402">
        <f t="shared" si="53"/>
        <v>1.0461248909402159</v>
      </c>
      <c r="E191" s="170">
        <f t="shared" si="34"/>
        <v>3386848.3929236443</v>
      </c>
      <c r="F191" s="171"/>
      <c r="G191" s="222">
        <f t="shared" ref="G191:H191" si="61">(G179+G167+G155+G143+G131+G119+G107+G95+G83+G71)/10</f>
        <v>129.35999999999999</v>
      </c>
      <c r="H191" s="222">
        <f t="shared" si="61"/>
        <v>11.58</v>
      </c>
      <c r="I191" s="169">
        <v>1</v>
      </c>
      <c r="J191" s="169">
        <v>30</v>
      </c>
      <c r="K191" s="287">
        <v>189</v>
      </c>
      <c r="L191" s="287">
        <f>L179*'Rate Class Customer Model'!$J$19</f>
        <v>33613.251377702843</v>
      </c>
      <c r="M191" s="289">
        <v>163.36911210946616</v>
      </c>
      <c r="N191" s="169">
        <v>336</v>
      </c>
      <c r="O191" s="169"/>
      <c r="P191" s="293"/>
      <c r="Q191" s="287">
        <f t="shared" si="52"/>
        <v>45840217.788257554</v>
      </c>
      <c r="R191" s="291">
        <f t="shared" si="37"/>
        <v>3386848.3929236443</v>
      </c>
      <c r="S191" s="287">
        <f t="shared" si="50"/>
        <v>45840217.788257554</v>
      </c>
      <c r="T191" s="50"/>
      <c r="U191" s="103"/>
      <c r="V191" s="5"/>
      <c r="W191" s="341">
        <f t="shared" si="55"/>
        <v>-439302.35075063654</v>
      </c>
      <c r="X191" s="172"/>
    </row>
    <row r="192" spans="1:24" x14ac:dyDescent="0.25">
      <c r="A192" s="196">
        <f t="shared" si="43"/>
        <v>43404</v>
      </c>
      <c r="B192" s="170"/>
      <c r="C192" s="288">
        <f>'CDM Activity'!H174</f>
        <v>3255973.84920931</v>
      </c>
      <c r="D192" s="402">
        <f t="shared" si="53"/>
        <v>1.0461248909402159</v>
      </c>
      <c r="E192" s="170">
        <f t="shared" si="34"/>
        <v>3406155.2879082845</v>
      </c>
      <c r="F192" s="171"/>
      <c r="G192" s="222">
        <f>(G180+G168+G156+G144+G132+G120+G108+G96+G84+G72)/10</f>
        <v>306.13</v>
      </c>
      <c r="H192" s="222">
        <f t="shared" ref="H192" si="62">(H180+H168+H156+H144+H132+H120+H108+H96+H84+H72)/10</f>
        <v>0.47000000000000003</v>
      </c>
      <c r="I192" s="169">
        <v>1</v>
      </c>
      <c r="J192" s="169">
        <v>31</v>
      </c>
      <c r="K192" s="287">
        <v>190</v>
      </c>
      <c r="L192" s="287">
        <f>L180*'Rate Class Customer Model'!$J$19</f>
        <v>33702.50962369328</v>
      </c>
      <c r="M192" s="289">
        <v>163.70562573196125</v>
      </c>
      <c r="N192" s="169">
        <v>320</v>
      </c>
      <c r="O192" s="169"/>
      <c r="P192" s="293"/>
      <c r="Q192" s="287">
        <f t="shared" si="52"/>
        <v>54057685.429068878</v>
      </c>
      <c r="R192" s="291">
        <f t="shared" si="37"/>
        <v>3406155.2879082845</v>
      </c>
      <c r="S192" s="287">
        <f t="shared" si="50"/>
        <v>54057685.429068878</v>
      </c>
      <c r="T192" s="50"/>
      <c r="U192" s="103"/>
      <c r="V192" s="5"/>
      <c r="W192" s="341">
        <f t="shared" si="55"/>
        <v>-439302.35075063654</v>
      </c>
      <c r="X192" s="172"/>
    </row>
    <row r="193" spans="1:24" x14ac:dyDescent="0.25">
      <c r="A193" s="196">
        <f t="shared" si="43"/>
        <v>43434</v>
      </c>
      <c r="B193" s="170"/>
      <c r="C193" s="288">
        <f>'CDM Activity'!H175</f>
        <v>3274429.4802260692</v>
      </c>
      <c r="D193" s="402">
        <f t="shared" si="53"/>
        <v>1.0461248909402159</v>
      </c>
      <c r="E193" s="170">
        <f t="shared" si="34"/>
        <v>3425462.1828929246</v>
      </c>
      <c r="F193" s="171"/>
      <c r="G193" s="222">
        <f>(G181+G169+G157+G145+G133+G121+G109+G97+G85+G73)/10</f>
        <v>480.06200000000001</v>
      </c>
      <c r="H193" s="222">
        <f t="shared" ref="H193" si="63">(H181+H169+H157+H145+H133+H121+H109+H97+H85+H73)/10</f>
        <v>0</v>
      </c>
      <c r="I193" s="169">
        <v>1</v>
      </c>
      <c r="J193" s="169">
        <v>30</v>
      </c>
      <c r="K193" s="287">
        <v>191</v>
      </c>
      <c r="L193" s="287">
        <f>L181*'Rate Class Customer Model'!$J$19</f>
        <v>33702.50962369328</v>
      </c>
      <c r="M193" s="289">
        <v>164.04283251742123</v>
      </c>
      <c r="N193" s="169">
        <v>336</v>
      </c>
      <c r="O193" s="169"/>
      <c r="P193" s="293"/>
      <c r="Q193" s="287">
        <f t="shared" si="52"/>
        <v>58954341.208953634</v>
      </c>
      <c r="R193" s="291">
        <f t="shared" si="37"/>
        <v>3425462.1828929246</v>
      </c>
      <c r="S193" s="287">
        <f t="shared" si="50"/>
        <v>58954341.208953634</v>
      </c>
      <c r="T193" s="50"/>
      <c r="U193" s="103"/>
      <c r="V193" s="5"/>
      <c r="W193" s="341">
        <f t="shared" si="55"/>
        <v>-439302.35075063654</v>
      </c>
      <c r="X193" s="172"/>
    </row>
    <row r="194" spans="1:24" x14ac:dyDescent="0.25">
      <c r="A194" s="196">
        <f t="shared" si="43"/>
        <v>43465</v>
      </c>
      <c r="B194" s="170"/>
      <c r="C194" s="288">
        <f>'CDM Activity'!H176</f>
        <v>3292885.1112428284</v>
      </c>
      <c r="D194" s="402">
        <f t="shared" si="53"/>
        <v>1.0461248909402159</v>
      </c>
      <c r="E194" s="170">
        <f t="shared" si="34"/>
        <v>3444769.0778775644</v>
      </c>
      <c r="F194" s="171"/>
      <c r="G194" s="222">
        <f>(G182+G170+G158+G146+G134+G122+G110+G98+G86+G74)/10</f>
        <v>702.73799999999994</v>
      </c>
      <c r="H194" s="222">
        <f t="shared" ref="H194" si="64">(H182+H170+H158+H146+H134+H122+H110+H98+H86+H74)/10</f>
        <v>0</v>
      </c>
      <c r="I194" s="169">
        <v>0</v>
      </c>
      <c r="J194" s="169">
        <v>31</v>
      </c>
      <c r="K194" s="287">
        <v>192</v>
      </c>
      <c r="L194" s="287">
        <f>L182*'Rate Class Customer Model'!$J$19</f>
        <v>33702.50962369328</v>
      </c>
      <c r="M194" s="289">
        <v>163.7392481028441</v>
      </c>
      <c r="N194" s="169">
        <v>336</v>
      </c>
      <c r="O194" s="169"/>
      <c r="P194" s="293"/>
      <c r="Q194" s="287">
        <f t="shared" si="52"/>
        <v>72231268.525670096</v>
      </c>
      <c r="R194" s="291">
        <f t="shared" si="37"/>
        <v>3444769.0778775644</v>
      </c>
      <c r="S194" s="287">
        <f t="shared" si="50"/>
        <v>72231268.525670096</v>
      </c>
      <c r="T194" s="50"/>
      <c r="U194" s="103"/>
      <c r="V194" s="5"/>
      <c r="W194" s="341">
        <f t="shared" si="55"/>
        <v>-439302.35075063654</v>
      </c>
      <c r="X194" s="172"/>
    </row>
    <row r="195" spans="1:24" x14ac:dyDescent="0.25">
      <c r="A195" s="51"/>
      <c r="B195" s="27"/>
      <c r="C195" s="194"/>
      <c r="D195" s="194"/>
      <c r="E195" s="194"/>
      <c r="F195" s="194"/>
      <c r="G195" s="182"/>
      <c r="H195" s="182"/>
      <c r="I195" s="182"/>
      <c r="J195" s="181"/>
      <c r="K195" s="16"/>
      <c r="L195" s="32"/>
      <c r="M195" s="182"/>
      <c r="N195" s="182"/>
      <c r="O195" s="182"/>
      <c r="P195" s="183"/>
      <c r="Q195" s="16"/>
      <c r="R195" s="183"/>
      <c r="S195" s="16"/>
      <c r="T195" s="50"/>
      <c r="U195" s="103"/>
      <c r="V195" s="172"/>
      <c r="W195" s="341"/>
      <c r="X195" s="172"/>
    </row>
    <row r="196" spans="1:24" x14ac:dyDescent="0.25">
      <c r="A196" s="51"/>
      <c r="B196" s="27"/>
      <c r="C196" s="194"/>
      <c r="D196" s="194"/>
      <c r="E196" s="194"/>
      <c r="F196" s="194"/>
      <c r="G196" s="182"/>
      <c r="H196" s="182"/>
      <c r="I196" s="182"/>
      <c r="J196" s="400"/>
      <c r="K196" s="16"/>
      <c r="L196" s="32"/>
      <c r="M196" s="182"/>
      <c r="N196" s="182"/>
      <c r="O196" s="182"/>
      <c r="P196" s="183"/>
      <c r="Q196" s="16"/>
      <c r="R196" s="183"/>
      <c r="S196" s="16"/>
      <c r="T196" s="172"/>
      <c r="U196" s="172"/>
      <c r="V196" s="172"/>
      <c r="W196" s="172"/>
      <c r="X196" s="172"/>
    </row>
    <row r="197" spans="1:24" x14ac:dyDescent="0.25">
      <c r="A197" s="51"/>
      <c r="I197" s="10"/>
      <c r="N197" s="16"/>
      <c r="X197" s="224" t="s">
        <v>220</v>
      </c>
    </row>
    <row r="198" spans="1:24" x14ac:dyDescent="0.25">
      <c r="A198" s="51"/>
      <c r="G198" s="17"/>
      <c r="H198" s="56" t="s">
        <v>67</v>
      </c>
      <c r="I198" s="10"/>
      <c r="K198" s="105">
        <f>SUM(K3:K197)</f>
        <v>18528</v>
      </c>
      <c r="N198" s="16"/>
      <c r="Q198" s="50">
        <f>SUM(Q3:Q194)</f>
        <v>11727066864.781704</v>
      </c>
      <c r="R198" s="50">
        <f>SUM(R3:R194)</f>
        <v>216765811.16380966</v>
      </c>
      <c r="S198" s="50">
        <f>Q198-R198</f>
        <v>11510301053.617895</v>
      </c>
      <c r="T198" s="50"/>
      <c r="X198" s="198" t="s">
        <v>221</v>
      </c>
    </row>
    <row r="199" spans="1:24" x14ac:dyDescent="0.25">
      <c r="A199" s="51"/>
      <c r="I199" s="10"/>
      <c r="N199" s="16"/>
      <c r="R199" s="198"/>
      <c r="W199" s="224" t="s">
        <v>67</v>
      </c>
      <c r="X199" s="198" t="s">
        <v>222</v>
      </c>
    </row>
    <row r="200" spans="1:24" x14ac:dyDescent="0.25">
      <c r="A200" s="52">
        <v>2003</v>
      </c>
      <c r="B200" s="6">
        <f>SUM(B3:B14)</f>
        <v>755126020</v>
      </c>
      <c r="C200" s="158">
        <f>SUM(C3:C14)</f>
        <v>0</v>
      </c>
      <c r="E200" s="158">
        <f t="shared" ref="E200:F200" si="65">SUM(E3:E14)</f>
        <v>0</v>
      </c>
      <c r="F200" s="158">
        <f t="shared" si="65"/>
        <v>755126020</v>
      </c>
      <c r="I200" s="10"/>
      <c r="N200" s="16"/>
      <c r="Q200" s="158">
        <f>SUM(Q3:Q14)</f>
        <v>768656326.90473604</v>
      </c>
      <c r="R200" s="158">
        <f>SUM(R3:R14)</f>
        <v>0</v>
      </c>
      <c r="S200" s="6">
        <f>Q200-R200</f>
        <v>768656326.90473604</v>
      </c>
      <c r="T200" s="37">
        <f>S200-F200</f>
        <v>13530306.904736042</v>
      </c>
      <c r="U200" s="5">
        <f t="shared" ref="U200:U214" si="66">T200/B200</f>
        <v>1.7917945543362474E-2</v>
      </c>
      <c r="V200" s="5">
        <f t="shared" ref="V200:V211" si="67">ABS(U200)</f>
        <v>1.7917945543362474E-2</v>
      </c>
      <c r="W200" s="158">
        <f>'Purchased Power Model WN'!S200</f>
        <v>753235094.02196586</v>
      </c>
      <c r="X200" s="193">
        <f>W200/S200</f>
        <v>0.9799374150150183</v>
      </c>
    </row>
    <row r="201" spans="1:24" x14ac:dyDescent="0.25">
      <c r="A201" s="41">
        <v>2004</v>
      </c>
      <c r="B201" s="6">
        <f>SUM(B15:B26)</f>
        <v>757685752</v>
      </c>
      <c r="C201" s="158">
        <f>SUM(C15:C26)</f>
        <v>0</v>
      </c>
      <c r="E201" s="158">
        <f t="shared" ref="E201:F201" si="68">SUM(E15:E26)</f>
        <v>0</v>
      </c>
      <c r="F201" s="158">
        <f t="shared" si="68"/>
        <v>757685752</v>
      </c>
      <c r="I201" s="10"/>
      <c r="N201" s="16"/>
      <c r="Q201" s="158">
        <f>SUM(Q15:Q26)</f>
        <v>757594250.17188394</v>
      </c>
      <c r="R201" s="158">
        <f>SUM(R15:R26)</f>
        <v>0</v>
      </c>
      <c r="S201" s="158">
        <f t="shared" ref="S201:S215" si="69">Q201-R201</f>
        <v>757594250.17188394</v>
      </c>
      <c r="T201" s="37">
        <f t="shared" ref="T201:T214" si="70">S201-F201</f>
        <v>-91501.828116059303</v>
      </c>
      <c r="U201" s="5">
        <f t="shared" si="66"/>
        <v>-1.2076487894160546E-4</v>
      </c>
      <c r="V201" s="5">
        <f t="shared" si="67"/>
        <v>1.2076487894160546E-4</v>
      </c>
      <c r="W201" s="158">
        <f>'Purchased Power Model WN'!S201</f>
        <v>747644480.47249103</v>
      </c>
      <c r="X201" s="193">
        <f t="shared" ref="X201:X215" si="71">W201/S201</f>
        <v>0.98686662458547503</v>
      </c>
    </row>
    <row r="202" spans="1:24" x14ac:dyDescent="0.25">
      <c r="A202" s="52">
        <v>2005</v>
      </c>
      <c r="B202" s="6">
        <f>SUM(B27:B38)</f>
        <v>749219032</v>
      </c>
      <c r="C202" s="158">
        <f>SUM(C27:C38)</f>
        <v>0</v>
      </c>
      <c r="E202" s="158">
        <f t="shared" ref="E202:F202" si="72">SUM(E27:E38)</f>
        <v>0</v>
      </c>
      <c r="F202" s="158">
        <f t="shared" si="72"/>
        <v>749219032</v>
      </c>
      <c r="I202" s="10"/>
      <c r="N202" s="16"/>
      <c r="Q202" s="158">
        <f>SUM(Q27:Q38)</f>
        <v>750911727.29060423</v>
      </c>
      <c r="R202" s="158">
        <f>SUM(R27:R38)</f>
        <v>0</v>
      </c>
      <c r="S202" s="158">
        <f t="shared" si="69"/>
        <v>750911727.29060423</v>
      </c>
      <c r="T202" s="37">
        <f t="shared" si="70"/>
        <v>1692695.2906042337</v>
      </c>
      <c r="U202" s="5">
        <f t="shared" si="66"/>
        <v>2.2592796209216343E-3</v>
      </c>
      <c r="V202" s="5">
        <f t="shared" si="67"/>
        <v>2.2592796209216343E-3</v>
      </c>
      <c r="W202" s="158">
        <f>'Purchased Power Model WN'!S202</f>
        <v>744427242.55751419</v>
      </c>
      <c r="X202" s="193">
        <f t="shared" si="71"/>
        <v>0.99136451796206859</v>
      </c>
    </row>
    <row r="203" spans="1:24" x14ac:dyDescent="0.25">
      <c r="A203" s="41">
        <v>2006</v>
      </c>
      <c r="B203" s="6">
        <f>SUM(B39:B50)</f>
        <v>728093333</v>
      </c>
      <c r="C203" s="158">
        <f>SUM(C39:C50)</f>
        <v>1571521.531015906</v>
      </c>
      <c r="E203" s="158">
        <f t="shared" ref="E203:F203" si="73">SUM(E39:E50)</f>
        <v>1641295.9063537153</v>
      </c>
      <c r="F203" s="158">
        <f t="shared" si="73"/>
        <v>729734628.90635371</v>
      </c>
      <c r="I203" s="10"/>
      <c r="N203" s="16"/>
      <c r="Q203" s="158">
        <f>SUM(Q39:Q50)</f>
        <v>728082920.59872651</v>
      </c>
      <c r="R203" s="158">
        <f>SUM(R39:R50)</f>
        <v>1641295.9063537153</v>
      </c>
      <c r="S203" s="158">
        <f t="shared" si="69"/>
        <v>726441624.6923728</v>
      </c>
      <c r="T203" s="37">
        <f t="shared" si="70"/>
        <v>-3293004.2139809132</v>
      </c>
      <c r="U203" s="5">
        <f t="shared" si="66"/>
        <v>-4.5227775955763534E-3</v>
      </c>
      <c r="V203" s="5">
        <f t="shared" si="67"/>
        <v>4.5227775955763534E-3</v>
      </c>
      <c r="W203" s="158">
        <f>'Purchased Power Model WN'!S203</f>
        <v>738431638.49476612</v>
      </c>
      <c r="X203" s="193">
        <f t="shared" si="71"/>
        <v>1.0165051304810222</v>
      </c>
    </row>
    <row r="204" spans="1:24" x14ac:dyDescent="0.25">
      <c r="A204" s="52">
        <v>2007</v>
      </c>
      <c r="B204" s="6">
        <f>SUM(B51:B62)</f>
        <v>738093576</v>
      </c>
      <c r="C204" s="158">
        <f>SUM(C51:C62)</f>
        <v>4551503.5039854906</v>
      </c>
      <c r="E204" s="158">
        <f t="shared" ref="E204:F204" si="74">SUM(E51:E62)</f>
        <v>4786879.1706504142</v>
      </c>
      <c r="F204" s="158">
        <f t="shared" si="74"/>
        <v>742880455.17065036</v>
      </c>
      <c r="Q204" s="158">
        <f>SUM(Q51:Q62)</f>
        <v>733425354.8415761</v>
      </c>
      <c r="R204" s="158">
        <f>SUM(R51:R62)</f>
        <v>4786879.1706504142</v>
      </c>
      <c r="S204" s="158">
        <f t="shared" si="69"/>
        <v>728638475.67092574</v>
      </c>
      <c r="T204" s="37">
        <f t="shared" si="70"/>
        <v>-14241979.499724627</v>
      </c>
      <c r="U204" s="5">
        <f t="shared" si="66"/>
        <v>-1.9295628579924975E-2</v>
      </c>
      <c r="V204" s="5">
        <f t="shared" si="67"/>
        <v>1.9295628579924975E-2</v>
      </c>
      <c r="W204" s="158">
        <f>'Purchased Power Model WN'!S204</f>
        <v>725076873.12595689</v>
      </c>
      <c r="X204" s="193">
        <f t="shared" si="71"/>
        <v>0.9951119757412078</v>
      </c>
    </row>
    <row r="205" spans="1:24" x14ac:dyDescent="0.25">
      <c r="A205" s="41">
        <v>2008</v>
      </c>
      <c r="B205" s="6">
        <f>SUM(B63:B74)</f>
        <v>740966486</v>
      </c>
      <c r="C205" s="158">
        <f>SUM(C63:C74)</f>
        <v>6625848.8160930118</v>
      </c>
      <c r="E205" s="158">
        <f t="shared" ref="E205:F205" si="75">SUM(E63:E74)</f>
        <v>6908036.310214702</v>
      </c>
      <c r="F205" s="158">
        <f t="shared" si="75"/>
        <v>747874522.31021476</v>
      </c>
      <c r="Q205" s="158">
        <f>SUM(Q63:Q74)</f>
        <v>745183458.1094743</v>
      </c>
      <c r="R205" s="158">
        <f>SUM(R63:R74)</f>
        <v>6908036.310214702</v>
      </c>
      <c r="S205" s="158">
        <f t="shared" si="69"/>
        <v>738275421.79925954</v>
      </c>
      <c r="T205" s="37">
        <f t="shared" si="70"/>
        <v>-9599100.5109552145</v>
      </c>
      <c r="U205" s="5">
        <f t="shared" si="66"/>
        <v>-1.2954837623999117E-2</v>
      </c>
      <c r="V205" s="5">
        <f t="shared" si="67"/>
        <v>1.2954837623999117E-2</v>
      </c>
      <c r="W205" s="158">
        <f>'Purchased Power Model WN'!S205</f>
        <v>728243755.93797672</v>
      </c>
      <c r="X205" s="193">
        <f t="shared" si="71"/>
        <v>0.98641202786240056</v>
      </c>
    </row>
    <row r="206" spans="1:24" x14ac:dyDescent="0.25">
      <c r="A206" s="52">
        <v>2009</v>
      </c>
      <c r="B206" s="6">
        <f>SUM(B75:B86)</f>
        <v>732869984</v>
      </c>
      <c r="C206" s="158">
        <f>SUM(C75:C86)</f>
        <v>8277543.6652882788</v>
      </c>
      <c r="E206" s="158">
        <f t="shared" ref="E206:F206" si="76">SUM(E75:E86)</f>
        <v>8571255.1976394188</v>
      </c>
      <c r="F206" s="158">
        <f t="shared" si="76"/>
        <v>741441239.19763947</v>
      </c>
      <c r="Q206" s="158">
        <f>SUM(Q75:Q86)</f>
        <v>746084935.8282795</v>
      </c>
      <c r="R206" s="158">
        <f>SUM(R75:R86)</f>
        <v>8571255.1976394188</v>
      </c>
      <c r="S206" s="158">
        <f t="shared" si="69"/>
        <v>737513680.63064003</v>
      </c>
      <c r="T206" s="37">
        <f t="shared" si="70"/>
        <v>-3927558.5669994354</v>
      </c>
      <c r="U206" s="5">
        <f t="shared" si="66"/>
        <v>-5.3591478062218409E-3</v>
      </c>
      <c r="V206" s="5">
        <f t="shared" si="67"/>
        <v>5.3591478062218409E-3</v>
      </c>
      <c r="W206" s="158">
        <f>'Purchased Power Model WN'!S206</f>
        <v>728008744.67280006</v>
      </c>
      <c r="X206" s="193">
        <f t="shared" si="71"/>
        <v>0.98711219031257513</v>
      </c>
    </row>
    <row r="207" spans="1:24" x14ac:dyDescent="0.25">
      <c r="A207" s="41">
        <v>2010</v>
      </c>
      <c r="B207" s="6">
        <f>SUM(B87:B98)</f>
        <v>714199062</v>
      </c>
      <c r="C207" s="158">
        <f>SUM(C87:C98)</f>
        <v>7031261.5937940693</v>
      </c>
      <c r="E207" s="158">
        <f t="shared" ref="E207:F207" si="77">SUM(E87:E98)</f>
        <v>7344296.444761537</v>
      </c>
      <c r="F207" s="158">
        <f t="shared" si="77"/>
        <v>721543358.44476163</v>
      </c>
      <c r="Q207" s="158">
        <f>SUM(Q87:Q98)</f>
        <v>731372701.35000658</v>
      </c>
      <c r="R207" s="158">
        <f>SUM(R87:R98)</f>
        <v>7344296.444761537</v>
      </c>
      <c r="S207" s="158">
        <f t="shared" si="69"/>
        <v>724028404.90524507</v>
      </c>
      <c r="T207" s="37">
        <f t="shared" si="70"/>
        <v>2485046.4604834318</v>
      </c>
      <c r="U207" s="5">
        <f t="shared" si="66"/>
        <v>3.4794871523976209E-3</v>
      </c>
      <c r="V207" s="5">
        <f t="shared" si="67"/>
        <v>3.4794871523976209E-3</v>
      </c>
      <c r="W207" s="158">
        <f>'Purchased Power Model WN'!S207</f>
        <v>732119359.14370549</v>
      </c>
      <c r="X207" s="193">
        <f t="shared" si="71"/>
        <v>1.011174912729452</v>
      </c>
    </row>
    <row r="208" spans="1:24" x14ac:dyDescent="0.25">
      <c r="A208" s="52">
        <v>2011</v>
      </c>
      <c r="B208" s="6">
        <f>SUM(B99:B110)</f>
        <v>745049194</v>
      </c>
      <c r="C208" s="158">
        <f>SUM(C99:C110)</f>
        <v>8934158.3337433916</v>
      </c>
      <c r="E208" s="158">
        <f t="shared" ref="E208:F208" si="78">SUM(E99:E110)</f>
        <v>9349790.9295413587</v>
      </c>
      <c r="F208" s="158">
        <f t="shared" si="78"/>
        <v>754398984.92954135</v>
      </c>
      <c r="Q208" s="194">
        <f>SUM(Q99:Q110)</f>
        <v>738094104.19069004</v>
      </c>
      <c r="R208" s="194">
        <f>SUM(R99:R110)</f>
        <v>9349790.9295413587</v>
      </c>
      <c r="S208" s="158">
        <f t="shared" si="69"/>
        <v>728744313.26114869</v>
      </c>
      <c r="T208" s="37">
        <f t="shared" si="70"/>
        <v>-25654671.668392658</v>
      </c>
      <c r="U208" s="5">
        <f t="shared" si="66"/>
        <v>-3.4433527175109807E-2</v>
      </c>
      <c r="V208" s="5">
        <f t="shared" si="67"/>
        <v>3.4433527175109807E-2</v>
      </c>
      <c r="W208" s="158">
        <f>'Purchased Power Model WN'!S208</f>
        <v>728804835.21919036</v>
      </c>
      <c r="X208" s="193">
        <f t="shared" si="71"/>
        <v>1.0000830496470989</v>
      </c>
    </row>
    <row r="209" spans="1:24" x14ac:dyDescent="0.25">
      <c r="A209" s="41">
        <v>2012</v>
      </c>
      <c r="B209" s="6">
        <f>SUM(B111:B122)</f>
        <v>706953513</v>
      </c>
      <c r="C209" s="158">
        <f>SUM(C111:C122)</f>
        <v>12424509.453383327</v>
      </c>
      <c r="E209" s="158">
        <f t="shared" ref="E209:F209" si="79">SUM(E111:E122)</f>
        <v>12978716.989591224</v>
      </c>
      <c r="F209" s="158">
        <f t="shared" si="79"/>
        <v>719932229.98959112</v>
      </c>
      <c r="Q209" s="194">
        <f>SUM(Q111:Q122)</f>
        <v>703402933.96597338</v>
      </c>
      <c r="R209" s="194">
        <f>SUM(R111:R122)</f>
        <v>12978716.989591224</v>
      </c>
      <c r="S209" s="158">
        <f t="shared" si="69"/>
        <v>690424216.97638214</v>
      </c>
      <c r="T209" s="37">
        <f t="shared" si="70"/>
        <v>-29508013.013208985</v>
      </c>
      <c r="U209" s="5">
        <f t="shared" si="66"/>
        <v>-4.1739679442273296E-2</v>
      </c>
      <c r="V209" s="5">
        <f t="shared" si="67"/>
        <v>4.1739679442273296E-2</v>
      </c>
      <c r="W209" s="158">
        <f>'Purchased Power Model WN'!S209</f>
        <v>721954534.85562038</v>
      </c>
      <c r="X209" s="193">
        <f t="shared" si="71"/>
        <v>1.0456680358306678</v>
      </c>
    </row>
    <row r="210" spans="1:24" x14ac:dyDescent="0.25">
      <c r="A210" s="52">
        <v>2013</v>
      </c>
      <c r="B210" s="6">
        <f>SUM(B123:B134)</f>
        <v>730568311</v>
      </c>
      <c r="C210" s="158">
        <f>SUM(C123:C134)</f>
        <v>14122594.063692499</v>
      </c>
      <c r="E210" s="158">
        <f t="shared" ref="E210:F210" si="80">SUM(E123:E134)</f>
        <v>14991074.66035445</v>
      </c>
      <c r="F210" s="158">
        <f t="shared" si="80"/>
        <v>745559385.6603545</v>
      </c>
      <c r="Q210" s="158">
        <f>SUM(Q123:Q134)</f>
        <v>728398544.68833661</v>
      </c>
      <c r="R210" s="158">
        <f>SUM(R123:R134)</f>
        <v>14991074.66035445</v>
      </c>
      <c r="S210" s="158">
        <f t="shared" si="69"/>
        <v>713407470.02798212</v>
      </c>
      <c r="T210" s="37">
        <f t="shared" si="70"/>
        <v>-32151915.632372379</v>
      </c>
      <c r="U210" s="5">
        <f t="shared" si="66"/>
        <v>-4.4009458319322556E-2</v>
      </c>
      <c r="V210" s="5">
        <f t="shared" si="67"/>
        <v>4.4009458319322556E-2</v>
      </c>
      <c r="W210" s="158">
        <f>'Purchased Power Model WN'!S210</f>
        <v>723150415.34006059</v>
      </c>
      <c r="X210" s="193">
        <f t="shared" si="71"/>
        <v>1.0136569151871879</v>
      </c>
    </row>
    <row r="211" spans="1:24" x14ac:dyDescent="0.25">
      <c r="A211" s="41">
        <v>2014</v>
      </c>
      <c r="B211" s="6">
        <f>SUM(B135:B146)</f>
        <v>730490284.99000001</v>
      </c>
      <c r="C211" s="158">
        <f>SUM(C135:C146)</f>
        <v>19103457.294930223</v>
      </c>
      <c r="E211" s="158">
        <f t="shared" ref="E211:F211" si="81">SUM(E135:E146)</f>
        <v>19883203.848297957</v>
      </c>
      <c r="F211" s="158">
        <f t="shared" si="81"/>
        <v>750373488.83829808</v>
      </c>
      <c r="Q211" s="158">
        <f>SUM(Q135:Q146)</f>
        <v>757455752.15548909</v>
      </c>
      <c r="R211" s="158">
        <f>SUM(R135:R146)</f>
        <v>19883203.848297957</v>
      </c>
      <c r="S211" s="158">
        <f t="shared" si="69"/>
        <v>737572548.30719113</v>
      </c>
      <c r="T211" s="37">
        <f t="shared" si="70"/>
        <v>-12800940.531106949</v>
      </c>
      <c r="U211" s="5">
        <f t="shared" si="66"/>
        <v>-1.7523765605290953E-2</v>
      </c>
      <c r="V211" s="5">
        <f t="shared" si="67"/>
        <v>1.7523765605290953E-2</v>
      </c>
      <c r="W211" s="158">
        <f>'Purchased Power Model WN'!S211</f>
        <v>707577737.0772053</v>
      </c>
      <c r="X211" s="193">
        <f t="shared" si="71"/>
        <v>0.95933306994840417</v>
      </c>
    </row>
    <row r="212" spans="1:24" x14ac:dyDescent="0.25">
      <c r="A212" s="52">
        <v>2015</v>
      </c>
      <c r="B212" s="158">
        <f>SUM(B147:B158)</f>
        <v>698517377.1099999</v>
      </c>
      <c r="C212" s="158">
        <f>SUM(C147:C158)</f>
        <v>21558438.379207514</v>
      </c>
      <c r="E212" s="158">
        <f t="shared" ref="E212:F212" si="82">SUM(E147:E158)</f>
        <v>22496600.618206907</v>
      </c>
      <c r="F212" s="158">
        <f t="shared" si="82"/>
        <v>721013977.72820687</v>
      </c>
      <c r="Q212" s="158">
        <f>SUM(Q147:Q158)</f>
        <v>731180236.78299022</v>
      </c>
      <c r="R212" s="158">
        <f>SUM(R147:R158)</f>
        <v>22496600.618206907</v>
      </c>
      <c r="S212" s="158">
        <f t="shared" si="69"/>
        <v>708683636.16478336</v>
      </c>
      <c r="T212" s="37">
        <f t="shared" si="70"/>
        <v>-12330341.563423514</v>
      </c>
      <c r="U212" s="5">
        <f t="shared" si="66"/>
        <v>-1.7652161517353031E-2</v>
      </c>
      <c r="V212" s="5">
        <f t="shared" ref="V212:V213" si="83">ABS(U212)</f>
        <v>1.7652161517353031E-2</v>
      </c>
      <c r="W212" s="158">
        <f>'Purchased Power Model WN'!S212</f>
        <v>696181663.5079397</v>
      </c>
      <c r="X212" s="193">
        <f t="shared" si="71"/>
        <v>0.98235888057963183</v>
      </c>
    </row>
    <row r="213" spans="1:24" x14ac:dyDescent="0.25">
      <c r="A213" s="41">
        <v>2016</v>
      </c>
      <c r="B213" s="158">
        <f>SUM(B159:B170)</f>
        <v>669958461.73000014</v>
      </c>
      <c r="C213" s="158">
        <f>SUM(C159:C170)</f>
        <v>28525604.312059022</v>
      </c>
      <c r="E213" s="158">
        <f t="shared" ref="E213:F213" si="84">SUM(E159:E170)</f>
        <v>30007352.553922918</v>
      </c>
      <c r="F213" s="158">
        <f t="shared" si="84"/>
        <v>699965814.28392291</v>
      </c>
      <c r="Q213" s="158">
        <f>SUM(Q159:Q170)</f>
        <v>705158307.26326895</v>
      </c>
      <c r="R213" s="158">
        <f>SUM(R159:R170)</f>
        <v>30007352.553922918</v>
      </c>
      <c r="S213" s="158">
        <f t="shared" si="69"/>
        <v>675150954.70934606</v>
      </c>
      <c r="T213" s="37">
        <f t="shared" si="70"/>
        <v>-24814859.574576855</v>
      </c>
      <c r="U213" s="5">
        <f t="shared" si="66"/>
        <v>-3.7039400189824732E-2</v>
      </c>
      <c r="V213" s="5">
        <f t="shared" si="83"/>
        <v>3.7039400189824732E-2</v>
      </c>
      <c r="W213" s="158">
        <f>'Purchased Power Model WN'!S213</f>
        <v>682168575.06684494</v>
      </c>
      <c r="X213" s="193">
        <f t="shared" si="71"/>
        <v>1.0103941500912488</v>
      </c>
    </row>
    <row r="214" spans="1:24" x14ac:dyDescent="0.25">
      <c r="A214" s="41">
        <v>2017</v>
      </c>
      <c r="B214" s="158">
        <f>SUM(B171:B182)</f>
        <v>652970473</v>
      </c>
      <c r="C214" s="158">
        <f>SUM(C171:C182)</f>
        <v>35985475.514002092</v>
      </c>
      <c r="E214" s="158">
        <f t="shared" ref="E214:F214" si="85">SUM(E171:E182)</f>
        <v>37744334.668730587</v>
      </c>
      <c r="F214" s="158">
        <f t="shared" si="85"/>
        <v>690714807.66873062</v>
      </c>
      <c r="G214" s="197"/>
      <c r="H214" s="158"/>
      <c r="I214" s="50"/>
      <c r="Q214" s="158">
        <f>SUM(Q171:Q182)</f>
        <v>702462142.98623097</v>
      </c>
      <c r="R214" s="158">
        <f>SUM(R171:R182)</f>
        <v>37744334.668730587</v>
      </c>
      <c r="S214" s="158">
        <f t="shared" si="69"/>
        <v>664717808.31750035</v>
      </c>
      <c r="T214" s="37">
        <f t="shared" si="70"/>
        <v>-25996999.351230264</v>
      </c>
      <c r="U214" s="5">
        <f t="shared" si="66"/>
        <v>-3.9813437860045875E-2</v>
      </c>
      <c r="V214" s="5">
        <f t="shared" ref="V214" si="86">ABS(U214)</f>
        <v>3.9813437860045875E-2</v>
      </c>
      <c r="W214" s="158">
        <f>'Purchased Power Model WN'!S214</f>
        <v>670308834.27813518</v>
      </c>
      <c r="X214" s="193">
        <f t="shared" si="71"/>
        <v>1.008411127083817</v>
      </c>
    </row>
    <row r="215" spans="1:24" x14ac:dyDescent="0.25">
      <c r="A215" s="41">
        <v>2018</v>
      </c>
      <c r="B215" s="158">
        <f>SUM(B183:B194)</f>
        <v>0</v>
      </c>
      <c r="C215" s="158">
        <f>SUM(C183:C194)</f>
        <v>38296549.687807836</v>
      </c>
      <c r="E215" s="158">
        <f t="shared" ref="E215:F215" si="87">SUM(E183:E194)</f>
        <v>40062973.865544535</v>
      </c>
      <c r="F215" s="158">
        <f t="shared" si="87"/>
        <v>0</v>
      </c>
      <c r="G215" s="197"/>
      <c r="H215" s="197"/>
      <c r="I215" s="197"/>
      <c r="Q215" s="158">
        <f>SUM(Q183:Q194)</f>
        <v>699603167.65343368</v>
      </c>
      <c r="R215" s="158">
        <f>SUM(R183:R194)</f>
        <v>40062973.865544535</v>
      </c>
      <c r="S215" s="158">
        <f t="shared" si="69"/>
        <v>659540193.78788912</v>
      </c>
      <c r="T215" s="37"/>
      <c r="U215" s="5"/>
      <c r="V215" s="5"/>
      <c r="W215" s="158">
        <f>'Purchased Power Model WN'!S215</f>
        <v>659540193.78788912</v>
      </c>
      <c r="X215" s="193">
        <f t="shared" si="71"/>
        <v>1</v>
      </c>
    </row>
    <row r="216" spans="1:24" x14ac:dyDescent="0.25">
      <c r="Q216" s="158"/>
      <c r="S216" s="6"/>
    </row>
    <row r="217" spans="1:24" x14ac:dyDescent="0.25">
      <c r="A217" s="398" t="s">
        <v>319</v>
      </c>
      <c r="B217" s="27">
        <f>SUM(B200:B214)</f>
        <v>10850760859.83</v>
      </c>
      <c r="C217" s="194">
        <f>SUM(C200:C215)</f>
        <v>207008466.14900264</v>
      </c>
      <c r="D217" s="194"/>
      <c r="E217" s="194">
        <f t="shared" ref="E217:F217" si="88">SUM(E200:E215)</f>
        <v>216765811.16380972</v>
      </c>
      <c r="F217" s="194">
        <f t="shared" si="88"/>
        <v>11027463697.128265</v>
      </c>
      <c r="L217" s="194">
        <f>Q217-F217</f>
        <v>0</v>
      </c>
      <c r="Q217" s="194">
        <f>SUM(Q200:Q214)</f>
        <v>11027463697.128267</v>
      </c>
      <c r="S217"/>
      <c r="T217"/>
    </row>
    <row r="218" spans="1:24" x14ac:dyDescent="0.25">
      <c r="S218"/>
      <c r="T218"/>
    </row>
    <row r="219" spans="1:24" x14ac:dyDescent="0.25">
      <c r="L219" s="194">
        <f>Q219-Q198</f>
        <v>0</v>
      </c>
      <c r="Q219" s="158">
        <f>SUM(Q200:Q215)</f>
        <v>11727066864.7817</v>
      </c>
      <c r="R219" s="158">
        <f>SUM(R200:R215)</f>
        <v>216765811.16380972</v>
      </c>
      <c r="S219" s="158">
        <f>SUM(S200:S215)</f>
        <v>11510301053.617891</v>
      </c>
      <c r="T219"/>
    </row>
    <row r="220" spans="1:24" x14ac:dyDescent="0.25">
      <c r="L220" s="403"/>
      <c r="Q220" s="403" t="s">
        <v>141</v>
      </c>
      <c r="S220"/>
      <c r="T220"/>
      <c r="U220"/>
      <c r="V220"/>
      <c r="W220"/>
    </row>
    <row r="223" spans="1:24" x14ac:dyDescent="0.25">
      <c r="B223" s="440" t="s">
        <v>118</v>
      </c>
      <c r="C223" s="440"/>
      <c r="D223" s="440"/>
      <c r="E223" s="440"/>
      <c r="F223" s="440"/>
      <c r="G223" s="441"/>
      <c r="H223" s="441"/>
      <c r="I223" s="118"/>
      <c r="S223" s="118"/>
      <c r="T223" s="118"/>
    </row>
    <row r="224" spans="1:24" x14ac:dyDescent="0.25">
      <c r="G224" s="104">
        <f>'Weather Analysis '!Z8</f>
        <v>810.83473684210594</v>
      </c>
      <c r="H224" s="104">
        <f>'Weather Analysis '!Z28</f>
        <v>0</v>
      </c>
      <c r="I224" s="16">
        <f>I183</f>
        <v>0</v>
      </c>
      <c r="J224" s="16">
        <f t="shared" ref="J224:L224" si="89">J183</f>
        <v>31</v>
      </c>
      <c r="K224" s="16">
        <f t="shared" si="89"/>
        <v>181</v>
      </c>
      <c r="L224" s="16">
        <f t="shared" si="89"/>
        <v>33625.286197386944</v>
      </c>
      <c r="M224" s="16">
        <v>352</v>
      </c>
      <c r="N224" s="16">
        <v>31</v>
      </c>
      <c r="O224" s="16" t="e">
        <f>#REF!</f>
        <v>#REF!</v>
      </c>
      <c r="P224" s="105" t="e">
        <f>#REF!</f>
        <v>#REF!</v>
      </c>
      <c r="Q224" s="401">
        <f t="shared" ref="Q224:Q235" si="90">+$Z$43+E224*$Z$44+F224*$Z$45+G224*$Z$46+H224*$Z$47+I224*$Z$48+ J224*$Z$49+U183</f>
        <v>-2542169170.6962781</v>
      </c>
      <c r="R224" s="105"/>
      <c r="S224" s="401">
        <f t="shared" ref="S224:S235" si="91">+$Z$43+G224*$Z$44+H224*$Z$45+I224*$Z$46+J224*$Z$47+K224*$Z$48+ L224*$Z$49+W183</f>
        <v>76766152.883598313</v>
      </c>
      <c r="T224" s="118"/>
    </row>
    <row r="225" spans="7:20" x14ac:dyDescent="0.25">
      <c r="G225" s="104">
        <f>'Weather Analysis '!Z9</f>
        <v>801.32526315789437</v>
      </c>
      <c r="H225" s="104">
        <f>'Weather Analysis '!Z29</f>
        <v>0</v>
      </c>
      <c r="I225" s="16">
        <f t="shared" ref="I225:L225" si="92">I184</f>
        <v>0</v>
      </c>
      <c r="J225" s="16">
        <f t="shared" si="92"/>
        <v>28</v>
      </c>
      <c r="K225" s="16">
        <f t="shared" si="92"/>
        <v>182</v>
      </c>
      <c r="L225" s="16">
        <f t="shared" si="92"/>
        <v>33625.286197386944</v>
      </c>
      <c r="M225" s="16">
        <v>304</v>
      </c>
      <c r="N225" s="16">
        <v>28</v>
      </c>
      <c r="O225" s="16" t="e">
        <f t="shared" ref="O225:O235" si="93">O224</f>
        <v>#REF!</v>
      </c>
      <c r="P225" s="105" t="e">
        <f t="shared" ref="P225:P235" si="94">P224</f>
        <v>#REF!</v>
      </c>
      <c r="Q225" s="401">
        <f t="shared" si="90"/>
        <v>-2514775224.246943</v>
      </c>
      <c r="R225" s="105"/>
      <c r="S225" s="401">
        <f t="shared" si="91"/>
        <v>70988851.030469939</v>
      </c>
      <c r="T225" s="118"/>
    </row>
    <row r="226" spans="7:20" x14ac:dyDescent="0.25">
      <c r="G226" s="104">
        <f>'Weather Analysis '!Z10</f>
        <v>704.08894736842103</v>
      </c>
      <c r="H226" s="104">
        <f>'Weather Analysis '!Z30</f>
        <v>0</v>
      </c>
      <c r="I226" s="16">
        <f t="shared" ref="I226:L226" si="95">I185</f>
        <v>1</v>
      </c>
      <c r="J226" s="16">
        <f t="shared" si="95"/>
        <v>31</v>
      </c>
      <c r="K226" s="16">
        <f t="shared" si="95"/>
        <v>183</v>
      </c>
      <c r="L226" s="16">
        <f t="shared" si="95"/>
        <v>33625.286197386944</v>
      </c>
      <c r="M226" s="16">
        <v>336</v>
      </c>
      <c r="N226" s="16">
        <v>31</v>
      </c>
      <c r="O226" s="16" t="e">
        <f t="shared" si="93"/>
        <v>#REF!</v>
      </c>
      <c r="P226" s="105" t="e">
        <f t="shared" si="94"/>
        <v>#REF!</v>
      </c>
      <c r="Q226" s="401">
        <f t="shared" si="90"/>
        <v>-2234530010.7291737</v>
      </c>
      <c r="R226" s="105"/>
      <c r="S226" s="401">
        <f t="shared" si="91"/>
        <v>69573623.014313772</v>
      </c>
      <c r="T226" s="118"/>
    </row>
    <row r="227" spans="7:20" x14ac:dyDescent="0.25">
      <c r="G227" s="104">
        <f>'Weather Analysis '!Z11</f>
        <v>464.47105263157937</v>
      </c>
      <c r="H227" s="104">
        <f>'Weather Analysis '!Z31</f>
        <v>-6.6842105263155815E-2</v>
      </c>
      <c r="I227" s="16">
        <f t="shared" ref="I227:L227" si="96">I186</f>
        <v>1</v>
      </c>
      <c r="J227" s="16">
        <f t="shared" si="96"/>
        <v>30</v>
      </c>
      <c r="K227" s="16">
        <f t="shared" si="96"/>
        <v>184</v>
      </c>
      <c r="L227" s="16">
        <f t="shared" si="96"/>
        <v>33579.152721931212</v>
      </c>
      <c r="M227" s="16">
        <v>320</v>
      </c>
      <c r="N227" s="16">
        <v>30</v>
      </c>
      <c r="O227" s="16" t="e">
        <f t="shared" si="93"/>
        <v>#REF!</v>
      </c>
      <c r="P227" s="105" t="e">
        <f t="shared" si="94"/>
        <v>#REF!</v>
      </c>
      <c r="Q227" s="401">
        <f t="shared" si="90"/>
        <v>-1543918799.7025359</v>
      </c>
      <c r="R227" s="105"/>
      <c r="S227" s="401">
        <f t="shared" si="91"/>
        <v>58081789.096141443</v>
      </c>
      <c r="T227" s="118"/>
    </row>
    <row r="228" spans="7:20" x14ac:dyDescent="0.25">
      <c r="G228" s="104">
        <f>'Weather Analysis '!Z12</f>
        <v>255.98210526315779</v>
      </c>
      <c r="H228" s="104">
        <f>'Weather Analysis '!Z32</f>
        <v>2.9473684210526585</v>
      </c>
      <c r="I228" s="16">
        <f t="shared" ref="I228:L228" si="97">I187</f>
        <v>1</v>
      </c>
      <c r="J228" s="16">
        <f t="shared" si="97"/>
        <v>31</v>
      </c>
      <c r="K228" s="16">
        <f t="shared" si="97"/>
        <v>185</v>
      </c>
      <c r="L228" s="16">
        <f t="shared" si="97"/>
        <v>33579.152721931212</v>
      </c>
      <c r="M228" s="16">
        <v>336</v>
      </c>
      <c r="N228" s="16">
        <v>31</v>
      </c>
      <c r="O228" s="16" t="e">
        <f t="shared" si="93"/>
        <v>#REF!</v>
      </c>
      <c r="P228" s="105" t="e">
        <f t="shared" si="94"/>
        <v>#REF!</v>
      </c>
      <c r="Q228" s="401">
        <f t="shared" si="90"/>
        <v>-937551273.83837509</v>
      </c>
      <c r="R228" s="105"/>
      <c r="S228" s="401">
        <f t="shared" si="91"/>
        <v>51907094.75189583</v>
      </c>
      <c r="T228" s="118"/>
    </row>
    <row r="229" spans="7:20" x14ac:dyDescent="0.25">
      <c r="G229" s="104">
        <f>'Weather Analysis '!Z13</f>
        <v>108.26842105263131</v>
      </c>
      <c r="H229" s="104">
        <f>'Weather Analysis '!Z33</f>
        <v>2.3105263157895024</v>
      </c>
      <c r="I229" s="16">
        <f t="shared" ref="I229:L229" si="98">I188</f>
        <v>0</v>
      </c>
      <c r="J229" s="16">
        <f t="shared" si="98"/>
        <v>30</v>
      </c>
      <c r="K229" s="16">
        <f t="shared" si="98"/>
        <v>186</v>
      </c>
      <c r="L229" s="16">
        <f t="shared" si="98"/>
        <v>33579.152721931212</v>
      </c>
      <c r="M229" s="16">
        <v>336</v>
      </c>
      <c r="N229" s="16">
        <v>30</v>
      </c>
      <c r="O229" s="16" t="e">
        <f t="shared" si="93"/>
        <v>#REF!</v>
      </c>
      <c r="P229" s="105" t="e">
        <f t="shared" si="94"/>
        <v>#REF!</v>
      </c>
      <c r="Q229" s="401">
        <f t="shared" si="90"/>
        <v>-512809476.49992567</v>
      </c>
      <c r="R229" s="105"/>
      <c r="S229" s="401">
        <f t="shared" si="91"/>
        <v>47121903.40942882</v>
      </c>
      <c r="T229" s="118"/>
    </row>
    <row r="230" spans="7:20" x14ac:dyDescent="0.25">
      <c r="G230" s="104">
        <f>'Weather Analysis '!Z14</f>
        <v>47.185263157894951</v>
      </c>
      <c r="H230" s="104">
        <f>'Weather Analysis '!Z34</f>
        <v>27.098421052631693</v>
      </c>
      <c r="I230" s="16">
        <f t="shared" ref="I230:L230" si="99">I189</f>
        <v>0</v>
      </c>
      <c r="J230" s="16">
        <f t="shared" si="99"/>
        <v>31</v>
      </c>
      <c r="K230" s="16">
        <f t="shared" si="99"/>
        <v>187</v>
      </c>
      <c r="L230" s="16">
        <f t="shared" si="99"/>
        <v>33613.251377702843</v>
      </c>
      <c r="M230" s="16">
        <v>352</v>
      </c>
      <c r="N230" s="16">
        <v>31</v>
      </c>
      <c r="O230" s="16" t="e">
        <f t="shared" si="93"/>
        <v>#REF!</v>
      </c>
      <c r="P230" s="105" t="e">
        <f t="shared" si="94"/>
        <v>#REF!</v>
      </c>
      <c r="Q230" s="401">
        <f t="shared" si="90"/>
        <v>-292649524.45546162</v>
      </c>
      <c r="R230" s="105"/>
      <c r="S230" s="401">
        <f t="shared" si="91"/>
        <v>48750998.564672902</v>
      </c>
      <c r="T230" s="118"/>
    </row>
    <row r="231" spans="7:20" x14ac:dyDescent="0.25">
      <c r="G231" s="104">
        <f>'Weather Analysis '!Z15</f>
        <v>48.300526315789284</v>
      </c>
      <c r="H231" s="104">
        <f>'Weather Analysis '!Z35</f>
        <v>26.10684210526324</v>
      </c>
      <c r="I231" s="16">
        <f t="shared" ref="I231:L231" si="100">I190</f>
        <v>0</v>
      </c>
      <c r="J231" s="16">
        <f t="shared" si="100"/>
        <v>31</v>
      </c>
      <c r="K231" s="16">
        <f t="shared" si="100"/>
        <v>188</v>
      </c>
      <c r="L231" s="16">
        <f t="shared" si="100"/>
        <v>33613.251377702843</v>
      </c>
      <c r="M231" s="16">
        <v>320</v>
      </c>
      <c r="N231" s="16">
        <v>31</v>
      </c>
      <c r="O231" s="16" t="e">
        <f t="shared" si="93"/>
        <v>#REF!</v>
      </c>
      <c r="P231" s="105" t="e">
        <f t="shared" si="94"/>
        <v>#REF!</v>
      </c>
      <c r="Q231" s="401">
        <f t="shared" si="90"/>
        <v>-297627435.88176852</v>
      </c>
      <c r="R231" s="105"/>
      <c r="S231" s="401">
        <f t="shared" si="91"/>
        <v>48638331.270229384</v>
      </c>
      <c r="T231" s="118"/>
    </row>
    <row r="232" spans="7:20" x14ac:dyDescent="0.25">
      <c r="G232" s="104">
        <f>'Weather Analysis '!Z16</f>
        <v>127.10578947368413</v>
      </c>
      <c r="H232" s="104">
        <f>'Weather Analysis '!Z36</f>
        <v>13.282105263157888</v>
      </c>
      <c r="I232" s="16">
        <f t="shared" ref="I232:L232" si="101">I191</f>
        <v>1</v>
      </c>
      <c r="J232" s="16">
        <f t="shared" si="101"/>
        <v>30</v>
      </c>
      <c r="K232" s="16">
        <f t="shared" si="101"/>
        <v>189</v>
      </c>
      <c r="L232" s="16">
        <f t="shared" si="101"/>
        <v>33613.251377702843</v>
      </c>
      <c r="M232" s="16">
        <v>336</v>
      </c>
      <c r="N232" s="16">
        <v>30</v>
      </c>
      <c r="O232" s="16" t="e">
        <f t="shared" si="93"/>
        <v>#REF!</v>
      </c>
      <c r="P232" s="105" t="e">
        <f t="shared" si="94"/>
        <v>#REF!</v>
      </c>
      <c r="Q232" s="401">
        <f t="shared" si="90"/>
        <v>-547676460.05681932</v>
      </c>
      <c r="R232" s="105"/>
      <c r="S232" s="401">
        <f t="shared" si="91"/>
        <v>45896146.584677532</v>
      </c>
      <c r="T232" s="118"/>
    </row>
    <row r="233" spans="7:20" x14ac:dyDescent="0.25">
      <c r="G233" s="104">
        <f>'Weather Analysis '!Z17</f>
        <v>293.91157894736853</v>
      </c>
      <c r="H233" s="104">
        <f>'Weather Analysis '!Z37</f>
        <v>0.71842105263157841</v>
      </c>
      <c r="I233" s="16">
        <f t="shared" ref="I233:L233" si="102">I192</f>
        <v>1</v>
      </c>
      <c r="J233" s="16">
        <f t="shared" si="102"/>
        <v>31</v>
      </c>
      <c r="K233" s="16">
        <f t="shared" si="102"/>
        <v>190</v>
      </c>
      <c r="L233" s="16">
        <f t="shared" si="102"/>
        <v>33702.50962369328</v>
      </c>
      <c r="M233" s="16">
        <v>352</v>
      </c>
      <c r="N233" s="16">
        <v>31</v>
      </c>
      <c r="O233" s="16" t="e">
        <f t="shared" si="93"/>
        <v>#REF!</v>
      </c>
      <c r="P233" s="105" t="e">
        <f t="shared" si="94"/>
        <v>#REF!</v>
      </c>
      <c r="Q233" s="401">
        <f t="shared" si="90"/>
        <v>-1050851929.7444907</v>
      </c>
      <c r="R233" s="105"/>
      <c r="S233" s="401">
        <f t="shared" si="91"/>
        <v>53601930.920446113</v>
      </c>
      <c r="T233" s="118"/>
    </row>
    <row r="234" spans="7:20" x14ac:dyDescent="0.25">
      <c r="G234" s="104">
        <f>'Weather Analysis '!Z18</f>
        <v>494.0389473684213</v>
      </c>
      <c r="H234" s="104">
        <f>'Weather Analysis '!Z38</f>
        <v>0</v>
      </c>
      <c r="I234" s="16">
        <f t="shared" ref="I234:L234" si="103">I193</f>
        <v>1</v>
      </c>
      <c r="J234" s="16">
        <f t="shared" si="103"/>
        <v>30</v>
      </c>
      <c r="K234" s="16">
        <f t="shared" si="103"/>
        <v>191</v>
      </c>
      <c r="L234" s="16">
        <f t="shared" si="103"/>
        <v>33702.50962369328</v>
      </c>
      <c r="M234" s="16">
        <v>304</v>
      </c>
      <c r="N234" s="16">
        <v>30</v>
      </c>
      <c r="O234" s="16" t="e">
        <f t="shared" si="93"/>
        <v>#REF!</v>
      </c>
      <c r="P234" s="105" t="e">
        <f t="shared" si="94"/>
        <v>#REF!</v>
      </c>
      <c r="Q234" s="401">
        <f t="shared" si="90"/>
        <v>-1629034062.4055583</v>
      </c>
      <c r="R234" s="105"/>
      <c r="S234" s="401">
        <f t="shared" si="91"/>
        <v>59499712.389062151</v>
      </c>
      <c r="T234" s="118"/>
    </row>
    <row r="235" spans="7:20" x14ac:dyDescent="0.25">
      <c r="G235" s="104">
        <f>'Weather Analysis '!Z19</f>
        <v>695.58368421052637</v>
      </c>
      <c r="H235" s="104">
        <f>'Weather Analysis '!Z39</f>
        <v>0</v>
      </c>
      <c r="I235" s="16">
        <f t="shared" ref="I235:L235" si="104">I194</f>
        <v>0</v>
      </c>
      <c r="J235" s="16">
        <f t="shared" si="104"/>
        <v>31</v>
      </c>
      <c r="K235" s="16">
        <f t="shared" si="104"/>
        <v>192</v>
      </c>
      <c r="L235" s="16">
        <f t="shared" si="104"/>
        <v>33702.50962369328</v>
      </c>
      <c r="M235" s="16">
        <v>336</v>
      </c>
      <c r="N235" s="16">
        <v>31</v>
      </c>
      <c r="O235" s="16" t="e">
        <f t="shared" si="93"/>
        <v>#REF!</v>
      </c>
      <c r="P235" s="105" t="e">
        <f t="shared" si="94"/>
        <v>#REF!</v>
      </c>
      <c r="Q235" s="401">
        <f t="shared" si="90"/>
        <v>-2209939890.9143991</v>
      </c>
      <c r="R235" s="105"/>
      <c r="S235" s="401">
        <f t="shared" si="91"/>
        <v>71952111.88709037</v>
      </c>
      <c r="T235" s="50">
        <f>SUM(S224:S235) + SUM(W182:W194)</f>
        <v>697507017.59301901</v>
      </c>
    </row>
    <row r="243" spans="24:24" x14ac:dyDescent="0.25">
      <c r="X243" s="5"/>
    </row>
    <row r="244" spans="24:24" x14ac:dyDescent="0.25">
      <c r="X244" s="5"/>
    </row>
    <row r="245" spans="24:24" x14ac:dyDescent="0.25">
      <c r="X245" s="5"/>
    </row>
    <row r="246" spans="24:24" x14ac:dyDescent="0.25">
      <c r="X246" s="5"/>
    </row>
    <row r="247" spans="24:24" x14ac:dyDescent="0.25">
      <c r="X247" s="5"/>
    </row>
    <row r="248" spans="24:24" x14ac:dyDescent="0.25">
      <c r="X248" s="5"/>
    </row>
    <row r="249" spans="24:24" x14ac:dyDescent="0.25">
      <c r="X249" s="5"/>
    </row>
    <row r="250" spans="24:24" x14ac:dyDescent="0.25">
      <c r="X250" s="5"/>
    </row>
    <row r="251" spans="24:24" x14ac:dyDescent="0.25">
      <c r="X251" s="5"/>
    </row>
    <row r="252" spans="24:24" x14ac:dyDescent="0.25">
      <c r="X252" s="5"/>
    </row>
    <row r="253" spans="24:24" x14ac:dyDescent="0.25">
      <c r="X253" s="5"/>
    </row>
    <row r="254" spans="24:24" x14ac:dyDescent="0.25">
      <c r="X254" s="5"/>
    </row>
    <row r="255" spans="24:24" x14ac:dyDescent="0.25">
      <c r="X255" s="5"/>
    </row>
    <row r="256" spans="24:24" x14ac:dyDescent="0.25">
      <c r="X256" s="5"/>
    </row>
    <row r="257" spans="24:24" x14ac:dyDescent="0.25">
      <c r="X257" s="5"/>
    </row>
    <row r="258" spans="24:24" x14ac:dyDescent="0.25">
      <c r="X258" s="5"/>
    </row>
    <row r="259" spans="24:24" x14ac:dyDescent="0.25">
      <c r="X259" s="5"/>
    </row>
    <row r="260" spans="24:24" x14ac:dyDescent="0.25">
      <c r="X260" s="5"/>
    </row>
    <row r="261" spans="24:24" x14ac:dyDescent="0.25">
      <c r="X261" s="5"/>
    </row>
    <row r="266" spans="24:24" x14ac:dyDescent="0.25">
      <c r="X266" s="17"/>
    </row>
  </sheetData>
  <dataConsolidate/>
  <mergeCells count="1">
    <mergeCell ref="B223:H223"/>
  </mergeCells>
  <phoneticPr fontId="0" type="noConversion"/>
  <printOptions gridLines="1"/>
  <pageMargins left="0.38" right="0.75" top="0.73" bottom="0.74" header="0.5" footer="0.5"/>
  <pageSetup scale="17" orientation="landscape" r:id="rId1"/>
  <headerFooter alignWithMargins="0">
    <oddFooter>&amp;L&amp;Z&amp;F</oddFooter>
  </headerFooter>
  <rowBreaks count="1" manualBreakCount="1">
    <brk id="37" max="12" man="1"/>
  </rowBreaks>
  <ignoredErrors>
    <ignoredError sqref="B200:B215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D266"/>
  <sheetViews>
    <sheetView zoomScaleNormal="100" workbookViewId="0">
      <pane xSplit="1" ySplit="2" topLeftCell="G195" activePane="bottomRight" state="frozen"/>
      <selection activeCell="M35" sqref="M35"/>
      <selection pane="topRight" activeCell="M35" sqref="M35"/>
      <selection pane="bottomLeft" activeCell="M35" sqref="M35"/>
      <selection pane="bottomRight" activeCell="H15" sqref="H15:H194"/>
    </sheetView>
  </sheetViews>
  <sheetFormatPr defaultRowHeight="13.2" x14ac:dyDescent="0.25"/>
  <cols>
    <col min="1" max="1" width="11.88671875" style="41" customWidth="1"/>
    <col min="2" max="6" width="18" style="158" customWidth="1"/>
    <col min="7" max="7" width="11.6640625" style="198" customWidth="1"/>
    <col min="8" max="8" width="13.44140625" style="198" customWidth="1"/>
    <col min="9" max="9" width="12.44140625" style="198" customWidth="1"/>
    <col min="10" max="10" width="12.33203125" style="180" customWidth="1"/>
    <col min="11" max="11" width="12.6640625" style="159" bestFit="1" customWidth="1"/>
    <col min="12" max="12" width="14.88671875" style="159" customWidth="1"/>
    <col min="13" max="13" width="13" style="159" hidden="1" customWidth="1"/>
    <col min="14" max="14" width="10.109375" style="159" hidden="1" customWidth="1"/>
    <col min="15" max="16" width="14.88671875" style="159" hidden="1" customWidth="1"/>
    <col min="17" max="17" width="16.44140625" style="198" bestFit="1" customWidth="1"/>
    <col min="18" max="18" width="14.88671875" style="159" customWidth="1"/>
    <col min="19" max="19" width="16.44140625" style="198" bestFit="1" customWidth="1"/>
    <col min="20" max="20" width="16" style="198" customWidth="1"/>
    <col min="21" max="21" width="9.44140625" style="198" customWidth="1"/>
    <col min="22" max="22" width="8.88671875" style="198" customWidth="1"/>
    <col min="23" max="23" width="14.5546875" style="198" customWidth="1"/>
    <col min="24" max="24" width="17.33203125" style="198" bestFit="1" customWidth="1"/>
    <col min="25" max="25" width="42.109375" customWidth="1"/>
    <col min="26" max="26" width="15.88671875" bestFit="1" customWidth="1"/>
    <col min="27" max="27" width="15.33203125" bestFit="1" customWidth="1"/>
    <col min="28" max="28" width="13" bestFit="1" customWidth="1"/>
    <col min="29" max="29" width="17.109375" customWidth="1"/>
    <col min="30" max="30" width="17.109375" bestFit="1" customWidth="1"/>
    <col min="31" max="31" width="16" bestFit="1" customWidth="1"/>
    <col min="32" max="32" width="26.109375" bestFit="1" customWidth="1"/>
    <col min="33" max="33" width="23" bestFit="1" customWidth="1"/>
    <col min="36" max="36" width="40.6640625" bestFit="1" customWidth="1"/>
    <col min="37" max="37" width="42.88671875" bestFit="1" customWidth="1"/>
  </cols>
  <sheetData>
    <row r="2" spans="1:31" s="32" customFormat="1" ht="39.6" x14ac:dyDescent="0.25">
      <c r="A2" s="166"/>
      <c r="B2" s="154" t="s">
        <v>65</v>
      </c>
      <c r="C2" s="155" t="s">
        <v>113</v>
      </c>
      <c r="D2" s="154" t="s">
        <v>0</v>
      </c>
      <c r="E2" s="154" t="s">
        <v>323</v>
      </c>
      <c r="F2" s="154" t="s">
        <v>324</v>
      </c>
      <c r="G2" s="155" t="s">
        <v>4</v>
      </c>
      <c r="H2" s="155" t="s">
        <v>5</v>
      </c>
      <c r="I2" s="155" t="s">
        <v>22</v>
      </c>
      <c r="J2" s="156" t="s">
        <v>6</v>
      </c>
      <c r="K2" s="155" t="s">
        <v>325</v>
      </c>
      <c r="L2" s="155" t="s">
        <v>102</v>
      </c>
      <c r="M2" s="157" t="s">
        <v>8</v>
      </c>
      <c r="N2" s="165" t="s">
        <v>7</v>
      </c>
      <c r="O2" s="155" t="s">
        <v>135</v>
      </c>
      <c r="P2" s="155" t="s">
        <v>136</v>
      </c>
      <c r="Q2" s="155" t="s">
        <v>345</v>
      </c>
      <c r="R2" s="155" t="s">
        <v>323</v>
      </c>
      <c r="S2" s="155" t="s">
        <v>13</v>
      </c>
      <c r="T2" s="156" t="s">
        <v>14</v>
      </c>
      <c r="U2" s="155" t="s">
        <v>15</v>
      </c>
      <c r="V2" s="155" t="s">
        <v>103</v>
      </c>
      <c r="Y2" t="s">
        <v>23</v>
      </c>
      <c r="Z2"/>
      <c r="AA2"/>
      <c r="AB2"/>
      <c r="AC2"/>
      <c r="AD2"/>
      <c r="AE2"/>
    </row>
    <row r="3" spans="1:31" ht="13.8" thickBot="1" x14ac:dyDescent="0.3">
      <c r="A3" s="167">
        <v>37652</v>
      </c>
      <c r="B3" s="168">
        <v>85049952</v>
      </c>
      <c r="C3" s="288">
        <v>0</v>
      </c>
      <c r="D3" s="171"/>
      <c r="E3" s="171">
        <f>C3*D3</f>
        <v>0</v>
      </c>
      <c r="F3" s="171">
        <f>B3+E3</f>
        <v>85049952</v>
      </c>
      <c r="G3" s="222">
        <f>'Purchased Power Model'!G183</f>
        <v>824.21</v>
      </c>
      <c r="H3" s="222">
        <f>'Purchased Power Model'!H183</f>
        <v>0</v>
      </c>
      <c r="I3" s="169">
        <v>0</v>
      </c>
      <c r="J3" s="169">
        <v>31</v>
      </c>
      <c r="K3" s="287">
        <v>1</v>
      </c>
      <c r="L3" s="288">
        <v>32198</v>
      </c>
      <c r="M3" s="289">
        <v>125.66024937363977</v>
      </c>
      <c r="N3" s="290">
        <v>351.91199999999998</v>
      </c>
      <c r="O3" s="169">
        <v>166.9</v>
      </c>
      <c r="P3" s="291">
        <v>9.1</v>
      </c>
      <c r="Q3" s="287">
        <f>+$Z$43+G3*$Z$44+H3*$Z$45+I3*$Z$46+J3*$Z$47+K3*$Z$48+ L3*$Z$49</f>
        <v>81900109.957910568</v>
      </c>
      <c r="R3" s="291">
        <f>E3</f>
        <v>0</v>
      </c>
      <c r="S3" s="287">
        <f>+$Z$43+$G$3*$Z$44+$H$3*$Z$45+$I$3*$Z$46+$J$3*$Z$47+$K$3*$Z$48+ $L$3*$Z$49</f>
        <v>81900109.957910568</v>
      </c>
      <c r="T3" s="50">
        <f t="shared" ref="T3:T34" si="0">S3-B3</f>
        <v>-3149842.0420894325</v>
      </c>
      <c r="U3" s="103">
        <f t="shared" ref="U3:U34" si="1">T3/B3</f>
        <v>-3.7035200702869676E-2</v>
      </c>
      <c r="V3" s="13">
        <f t="shared" ref="V3:V66" si="2">ABS(U3)</f>
        <v>3.7035200702869676E-2</v>
      </c>
      <c r="W3" s="13"/>
      <c r="X3" s="13"/>
    </row>
    <row r="4" spans="1:31" x14ac:dyDescent="0.25">
      <c r="A4" s="167">
        <f t="shared" ref="A4:A67" si="3">EOMONTH(A3,1)</f>
        <v>37680</v>
      </c>
      <c r="B4" s="168">
        <v>76788076</v>
      </c>
      <c r="C4" s="288">
        <v>0</v>
      </c>
      <c r="D4" s="171"/>
      <c r="E4" s="171">
        <f t="shared" ref="E4:E67" si="4">C4*D4</f>
        <v>0</v>
      </c>
      <c r="F4" s="171">
        <f t="shared" ref="F4:F67" si="5">B4+E4</f>
        <v>76788076</v>
      </c>
      <c r="G4" s="222">
        <f>'Purchased Power Model'!G184</f>
        <v>754.11000000000013</v>
      </c>
      <c r="H4" s="222">
        <f>'Purchased Power Model'!H184</f>
        <v>0</v>
      </c>
      <c r="I4" s="169">
        <v>0</v>
      </c>
      <c r="J4" s="169">
        <v>28</v>
      </c>
      <c r="K4" s="287">
        <v>2</v>
      </c>
      <c r="L4" s="288">
        <v>32198</v>
      </c>
      <c r="M4" s="289">
        <v>125.80592062045517</v>
      </c>
      <c r="N4" s="290">
        <v>319.87200000000001</v>
      </c>
      <c r="O4" s="169">
        <v>167.8</v>
      </c>
      <c r="P4" s="291">
        <v>9.3000000000000007</v>
      </c>
      <c r="Q4" s="287">
        <f t="shared" ref="Q4:Q67" si="6">+$Z$43+G4*$Z$44+H4*$Z$45+I4*$Z$46+J4*$Z$47+K4*$Z$48+ L4*$Z$49</f>
        <v>73758606.110654667</v>
      </c>
      <c r="R4" s="291">
        <f t="shared" ref="R4:R67" si="7">E4</f>
        <v>0</v>
      </c>
      <c r="S4" s="287">
        <f t="shared" ref="S4:S35" si="8">+$Z$43+G4*$Z$44+H4*$Z$45+I4*$Z$46+J4*$Z$47+K4*$Z$48+ L4*$Z$49</f>
        <v>73758606.110654667</v>
      </c>
      <c r="T4" s="50">
        <f t="shared" si="0"/>
        <v>-3029469.889345333</v>
      </c>
      <c r="U4" s="103">
        <f t="shared" si="1"/>
        <v>-3.9452347905491639E-2</v>
      </c>
      <c r="V4" s="13">
        <f t="shared" si="2"/>
        <v>3.9452347905491639E-2</v>
      </c>
      <c r="W4" s="338"/>
      <c r="X4" s="13"/>
      <c r="Y4" s="36" t="s">
        <v>24</v>
      </c>
      <c r="Z4" s="36"/>
    </row>
    <row r="5" spans="1:31" x14ac:dyDescent="0.25">
      <c r="A5" s="167">
        <f t="shared" si="3"/>
        <v>37711</v>
      </c>
      <c r="B5" s="168">
        <v>75545096</v>
      </c>
      <c r="C5" s="288">
        <v>0</v>
      </c>
      <c r="D5" s="171"/>
      <c r="E5" s="171">
        <f t="shared" si="4"/>
        <v>0</v>
      </c>
      <c r="F5" s="171">
        <f t="shared" si="5"/>
        <v>75545096</v>
      </c>
      <c r="G5" s="222">
        <f>'Purchased Power Model'!G185</f>
        <v>679.39</v>
      </c>
      <c r="H5" s="222">
        <f>'Purchased Power Model'!H185</f>
        <v>0</v>
      </c>
      <c r="I5" s="169">
        <v>1</v>
      </c>
      <c r="J5" s="169">
        <v>31</v>
      </c>
      <c r="K5" s="287">
        <v>3</v>
      </c>
      <c r="L5" s="288">
        <v>32199</v>
      </c>
      <c r="M5" s="289">
        <v>125.9517607362029</v>
      </c>
      <c r="N5" s="290">
        <v>336.28800000000001</v>
      </c>
      <c r="O5" s="169">
        <v>169.4</v>
      </c>
      <c r="P5" s="291">
        <v>9.3000000000000007</v>
      </c>
      <c r="Q5" s="287">
        <f t="shared" si="6"/>
        <v>73228151.941646531</v>
      </c>
      <c r="R5" s="291">
        <f t="shared" si="7"/>
        <v>0</v>
      </c>
      <c r="S5" s="287">
        <f t="shared" si="8"/>
        <v>73228151.941646531</v>
      </c>
      <c r="T5" s="50">
        <f t="shared" si="0"/>
        <v>-2316944.0583534688</v>
      </c>
      <c r="U5" s="103">
        <f t="shared" si="1"/>
        <v>-3.0669681832867998E-2</v>
      </c>
      <c r="V5" s="13">
        <f t="shared" si="2"/>
        <v>3.0669681832867998E-2</v>
      </c>
      <c r="W5" s="338"/>
      <c r="X5" s="13"/>
      <c r="Y5" s="33" t="s">
        <v>25</v>
      </c>
      <c r="Z5" s="286">
        <v>0.98246480723030005</v>
      </c>
    </row>
    <row r="6" spans="1:31" x14ac:dyDescent="0.25">
      <c r="A6" s="167">
        <f t="shared" si="3"/>
        <v>37741</v>
      </c>
      <c r="B6" s="168">
        <v>63274204</v>
      </c>
      <c r="C6" s="288">
        <v>0</v>
      </c>
      <c r="D6" s="171"/>
      <c r="E6" s="171">
        <f t="shared" si="4"/>
        <v>0</v>
      </c>
      <c r="F6" s="171">
        <f t="shared" si="5"/>
        <v>63274204</v>
      </c>
      <c r="G6" s="222">
        <f>'Purchased Power Model'!G186</f>
        <v>427.16999999999996</v>
      </c>
      <c r="H6" s="222">
        <f>'Purchased Power Model'!H186</f>
        <v>0.02</v>
      </c>
      <c r="I6" s="169">
        <v>1</v>
      </c>
      <c r="J6" s="169">
        <v>30</v>
      </c>
      <c r="K6" s="287">
        <v>4</v>
      </c>
      <c r="L6" s="288">
        <v>32198</v>
      </c>
      <c r="M6" s="289">
        <v>126.09776991664374</v>
      </c>
      <c r="N6" s="290">
        <v>336.24</v>
      </c>
      <c r="O6" s="169">
        <v>170.5</v>
      </c>
      <c r="P6" s="291">
        <v>9.4</v>
      </c>
      <c r="Q6" s="287">
        <f t="shared" si="6"/>
        <v>61531860.124592364</v>
      </c>
      <c r="R6" s="291">
        <f t="shared" si="7"/>
        <v>0</v>
      </c>
      <c r="S6" s="287">
        <f t="shared" si="8"/>
        <v>61531860.124592364</v>
      </c>
      <c r="T6" s="50">
        <f t="shared" si="0"/>
        <v>-1742343.8754076362</v>
      </c>
      <c r="U6" s="103">
        <f t="shared" si="1"/>
        <v>-2.7536401333593009E-2</v>
      </c>
      <c r="V6" s="13">
        <f t="shared" si="2"/>
        <v>2.7536401333593009E-2</v>
      </c>
      <c r="W6" s="338"/>
      <c r="X6" s="13"/>
      <c r="Y6" s="33" t="s">
        <v>26</v>
      </c>
      <c r="Z6" s="286">
        <v>0.96523709744607056</v>
      </c>
    </row>
    <row r="7" spans="1:31" x14ac:dyDescent="0.25">
      <c r="A7" s="167">
        <f t="shared" si="3"/>
        <v>37772</v>
      </c>
      <c r="B7" s="168">
        <v>52784032</v>
      </c>
      <c r="C7" s="288">
        <v>0</v>
      </c>
      <c r="D7" s="171"/>
      <c r="E7" s="171">
        <f t="shared" si="4"/>
        <v>0</v>
      </c>
      <c r="F7" s="171">
        <f t="shared" si="5"/>
        <v>52784032</v>
      </c>
      <c r="G7" s="222">
        <f>'Purchased Power Model'!G187</f>
        <v>232.2</v>
      </c>
      <c r="H7" s="222">
        <f>'Purchased Power Model'!H187</f>
        <v>3.9</v>
      </c>
      <c r="I7" s="169">
        <v>1</v>
      </c>
      <c r="J7" s="169">
        <v>31</v>
      </c>
      <c r="K7" s="287">
        <v>5</v>
      </c>
      <c r="L7" s="288">
        <v>32136</v>
      </c>
      <c r="M7" s="289">
        <v>126.2439483577654</v>
      </c>
      <c r="N7" s="290">
        <v>336.28800000000001</v>
      </c>
      <c r="O7" s="169">
        <v>173.3</v>
      </c>
      <c r="P7" s="291">
        <v>9.9</v>
      </c>
      <c r="Q7" s="287">
        <f t="shared" si="6"/>
        <v>55573318.959176272</v>
      </c>
      <c r="R7" s="291">
        <f t="shared" si="7"/>
        <v>0</v>
      </c>
      <c r="S7" s="287">
        <f t="shared" si="8"/>
        <v>55573318.959176272</v>
      </c>
      <c r="T7" s="50">
        <f t="shared" si="0"/>
        <v>2789286.9591762722</v>
      </c>
      <c r="U7" s="103">
        <f t="shared" si="1"/>
        <v>5.2843385650726195E-2</v>
      </c>
      <c r="V7" s="13">
        <f t="shared" si="2"/>
        <v>5.2843385650726195E-2</v>
      </c>
      <c r="W7" s="338"/>
      <c r="X7" s="13"/>
      <c r="Y7" s="33" t="s">
        <v>27</v>
      </c>
      <c r="Z7" s="286">
        <v>0.96394158554965081</v>
      </c>
    </row>
    <row r="8" spans="1:31" x14ac:dyDescent="0.25">
      <c r="A8" s="167">
        <f t="shared" si="3"/>
        <v>37802</v>
      </c>
      <c r="B8" s="168">
        <v>49325848</v>
      </c>
      <c r="C8" s="288">
        <v>0</v>
      </c>
      <c r="D8" s="171"/>
      <c r="E8" s="171">
        <f t="shared" si="4"/>
        <v>0</v>
      </c>
      <c r="F8" s="171">
        <f t="shared" si="5"/>
        <v>49325848</v>
      </c>
      <c r="G8" s="222">
        <f>'Purchased Power Model'!G188</f>
        <v>101.74</v>
      </c>
      <c r="H8" s="222">
        <f>'Purchased Power Model'!H188</f>
        <v>9.5400000000000009</v>
      </c>
      <c r="I8" s="169">
        <v>0</v>
      </c>
      <c r="J8" s="169">
        <v>30</v>
      </c>
      <c r="K8" s="287">
        <v>6</v>
      </c>
      <c r="L8" s="288">
        <v>32119</v>
      </c>
      <c r="M8" s="289">
        <v>126.3902962557828</v>
      </c>
      <c r="N8" s="290">
        <v>336.24</v>
      </c>
      <c r="O8" s="169">
        <v>175.5</v>
      </c>
      <c r="P8" s="291">
        <v>10.1</v>
      </c>
      <c r="Q8" s="287">
        <f t="shared" si="6"/>
        <v>51886527.146948457</v>
      </c>
      <c r="R8" s="291">
        <f t="shared" si="7"/>
        <v>0</v>
      </c>
      <c r="S8" s="287">
        <f t="shared" si="8"/>
        <v>51886527.146948457</v>
      </c>
      <c r="T8" s="50">
        <f t="shared" si="0"/>
        <v>2560679.1469484568</v>
      </c>
      <c r="U8" s="103">
        <f t="shared" si="1"/>
        <v>5.1913535210757186E-2</v>
      </c>
      <c r="V8" s="13">
        <f t="shared" si="2"/>
        <v>5.1913535210757186E-2</v>
      </c>
      <c r="W8" s="338"/>
      <c r="X8" s="13"/>
      <c r="Y8" s="33" t="s">
        <v>28</v>
      </c>
      <c r="Z8" s="284">
        <v>2156983.4758142433</v>
      </c>
    </row>
    <row r="9" spans="1:31" ht="13.8" thickBot="1" x14ac:dyDescent="0.3">
      <c r="A9" s="167">
        <f t="shared" si="3"/>
        <v>37833</v>
      </c>
      <c r="B9" s="168">
        <v>51148508</v>
      </c>
      <c r="C9" s="288">
        <v>0</v>
      </c>
      <c r="D9" s="171"/>
      <c r="E9" s="171">
        <f t="shared" si="4"/>
        <v>0</v>
      </c>
      <c r="F9" s="171">
        <f t="shared" si="5"/>
        <v>51148508</v>
      </c>
      <c r="G9" s="222">
        <f>'Purchased Power Model'!G189</f>
        <v>40.76</v>
      </c>
      <c r="H9" s="222">
        <f>'Purchased Power Model'!H189</f>
        <v>36.08</v>
      </c>
      <c r="I9" s="169">
        <v>0</v>
      </c>
      <c r="J9" s="169">
        <v>31</v>
      </c>
      <c r="K9" s="287">
        <v>7</v>
      </c>
      <c r="L9" s="288">
        <v>32132</v>
      </c>
      <c r="M9" s="289">
        <v>126.5368138071383</v>
      </c>
      <c r="N9" s="290">
        <v>351.91199999999998</v>
      </c>
      <c r="O9" s="169">
        <v>176.8</v>
      </c>
      <c r="P9" s="291">
        <v>10.9</v>
      </c>
      <c r="Q9" s="287">
        <f t="shared" si="6"/>
        <v>53536902.749922842</v>
      </c>
      <c r="R9" s="291">
        <f t="shared" si="7"/>
        <v>0</v>
      </c>
      <c r="S9" s="287">
        <f t="shared" si="8"/>
        <v>53536902.749922842</v>
      </c>
      <c r="T9" s="50">
        <f t="shared" si="0"/>
        <v>2388394.7499228418</v>
      </c>
      <c r="U9" s="103">
        <f t="shared" si="1"/>
        <v>4.6695296565108832E-2</v>
      </c>
      <c r="V9" s="13">
        <f t="shared" si="2"/>
        <v>4.6695296565108832E-2</v>
      </c>
      <c r="W9" s="338"/>
      <c r="X9" s="13"/>
      <c r="Y9" s="34" t="s">
        <v>29</v>
      </c>
      <c r="Z9" s="285">
        <v>168</v>
      </c>
    </row>
    <row r="10" spans="1:31" x14ac:dyDescent="0.25">
      <c r="A10" s="167">
        <f t="shared" si="3"/>
        <v>37864</v>
      </c>
      <c r="B10" s="168">
        <v>50113412</v>
      </c>
      <c r="C10" s="288">
        <v>0</v>
      </c>
      <c r="D10" s="171"/>
      <c r="E10" s="171">
        <f t="shared" si="4"/>
        <v>0</v>
      </c>
      <c r="F10" s="171">
        <f t="shared" si="5"/>
        <v>50113412</v>
      </c>
      <c r="G10" s="222">
        <f>'Purchased Power Model'!G190</f>
        <v>42.03</v>
      </c>
      <c r="H10" s="222">
        <f>'Purchased Power Model'!H190</f>
        <v>33.799999999999997</v>
      </c>
      <c r="I10" s="169">
        <v>0</v>
      </c>
      <c r="J10" s="169">
        <v>31</v>
      </c>
      <c r="K10" s="287">
        <v>8</v>
      </c>
      <c r="L10" s="288">
        <v>32143</v>
      </c>
      <c r="M10" s="289">
        <v>126.68350120850199</v>
      </c>
      <c r="N10" s="290">
        <v>319.92</v>
      </c>
      <c r="O10" s="169">
        <v>177.7</v>
      </c>
      <c r="P10" s="291">
        <v>10.3</v>
      </c>
      <c r="Q10" s="287">
        <f t="shared" si="6"/>
        <v>53389581.341855675</v>
      </c>
      <c r="R10" s="291">
        <f t="shared" si="7"/>
        <v>0</v>
      </c>
      <c r="S10" s="287">
        <f t="shared" si="8"/>
        <v>53389581.341855675</v>
      </c>
      <c r="T10" s="50">
        <f t="shared" si="0"/>
        <v>3276169.341855675</v>
      </c>
      <c r="U10" s="103">
        <f t="shared" si="1"/>
        <v>6.5375100419338333E-2</v>
      </c>
      <c r="V10" s="13">
        <f t="shared" si="2"/>
        <v>6.5375100419338333E-2</v>
      </c>
      <c r="W10" s="338"/>
      <c r="X10" s="13"/>
    </row>
    <row r="11" spans="1:31" ht="13.8" thickBot="1" x14ac:dyDescent="0.3">
      <c r="A11" s="167">
        <f t="shared" si="3"/>
        <v>37894</v>
      </c>
      <c r="B11" s="168">
        <v>49728476</v>
      </c>
      <c r="C11" s="288">
        <v>0</v>
      </c>
      <c r="D11" s="171"/>
      <c r="E11" s="171">
        <f t="shared" si="4"/>
        <v>0</v>
      </c>
      <c r="F11" s="171">
        <f t="shared" si="5"/>
        <v>49728476</v>
      </c>
      <c r="G11" s="222">
        <f>'Purchased Power Model'!G191</f>
        <v>129.35999999999999</v>
      </c>
      <c r="H11" s="222">
        <f>'Purchased Power Model'!H191</f>
        <v>11.58</v>
      </c>
      <c r="I11" s="169">
        <v>1</v>
      </c>
      <c r="J11" s="169">
        <v>30</v>
      </c>
      <c r="K11" s="287">
        <v>9</v>
      </c>
      <c r="L11" s="288">
        <v>32159</v>
      </c>
      <c r="M11" s="289">
        <v>126.83035865677196</v>
      </c>
      <c r="N11" s="290">
        <v>336.24</v>
      </c>
      <c r="O11" s="169">
        <v>176.9</v>
      </c>
      <c r="P11" s="291">
        <v>10.1</v>
      </c>
      <c r="Q11" s="287">
        <f t="shared" si="6"/>
        <v>50285037.639847606</v>
      </c>
      <c r="R11" s="291">
        <f t="shared" si="7"/>
        <v>0</v>
      </c>
      <c r="S11" s="287">
        <f t="shared" si="8"/>
        <v>50285037.639847606</v>
      </c>
      <c r="T11" s="50">
        <f t="shared" si="0"/>
        <v>556561.63984760642</v>
      </c>
      <c r="U11" s="103">
        <f t="shared" si="1"/>
        <v>1.1192010787694488E-2</v>
      </c>
      <c r="V11" s="13">
        <f t="shared" si="2"/>
        <v>1.1192010787694488E-2</v>
      </c>
      <c r="W11" s="338"/>
      <c r="X11" s="13"/>
      <c r="Y11" t="s">
        <v>30</v>
      </c>
    </row>
    <row r="12" spans="1:31" x14ac:dyDescent="0.25">
      <c r="A12" s="167">
        <f t="shared" si="3"/>
        <v>37925</v>
      </c>
      <c r="B12" s="168">
        <v>58883124</v>
      </c>
      <c r="C12" s="288">
        <v>0</v>
      </c>
      <c r="D12" s="171"/>
      <c r="E12" s="171">
        <f t="shared" si="4"/>
        <v>0</v>
      </c>
      <c r="F12" s="171">
        <f t="shared" si="5"/>
        <v>58883124</v>
      </c>
      <c r="G12" s="222">
        <f>'Purchased Power Model'!G192</f>
        <v>306.13</v>
      </c>
      <c r="H12" s="222">
        <f>'Purchased Power Model'!H192</f>
        <v>0.47000000000000003</v>
      </c>
      <c r="I12" s="169">
        <v>1</v>
      </c>
      <c r="J12" s="169">
        <v>31</v>
      </c>
      <c r="K12" s="287">
        <v>10</v>
      </c>
      <c r="L12" s="288">
        <v>32189</v>
      </c>
      <c r="M12" s="289">
        <v>126.97738634907456</v>
      </c>
      <c r="N12" s="290">
        <v>351.91199999999998</v>
      </c>
      <c r="O12" s="169">
        <v>176.6</v>
      </c>
      <c r="P12" s="291">
        <v>8.6999999999999993</v>
      </c>
      <c r="Q12" s="287">
        <f t="shared" si="6"/>
        <v>58134973.966399819</v>
      </c>
      <c r="R12" s="291">
        <f t="shared" si="7"/>
        <v>0</v>
      </c>
      <c r="S12" s="287">
        <f t="shared" si="8"/>
        <v>58134973.966399819</v>
      </c>
      <c r="T12" s="50">
        <f t="shared" si="0"/>
        <v>-748150.03360018134</v>
      </c>
      <c r="U12" s="103">
        <f t="shared" si="1"/>
        <v>-1.2705678346824487E-2</v>
      </c>
      <c r="V12" s="13">
        <f t="shared" si="2"/>
        <v>1.2705678346824487E-2</v>
      </c>
      <c r="W12" s="338"/>
      <c r="X12" s="13"/>
      <c r="Y12" s="35"/>
      <c r="Z12" s="35" t="s">
        <v>34</v>
      </c>
      <c r="AA12" s="35" t="s">
        <v>35</v>
      </c>
      <c r="AB12" s="35" t="s">
        <v>36</v>
      </c>
      <c r="AC12" s="35" t="s">
        <v>37</v>
      </c>
      <c r="AD12" s="35" t="s">
        <v>38</v>
      </c>
    </row>
    <row r="13" spans="1:31" x14ac:dyDescent="0.25">
      <c r="A13" s="167">
        <f t="shared" si="3"/>
        <v>37955</v>
      </c>
      <c r="B13" s="168">
        <v>66040876</v>
      </c>
      <c r="C13" s="288">
        <v>0</v>
      </c>
      <c r="D13" s="171"/>
      <c r="E13" s="171">
        <f t="shared" si="4"/>
        <v>0</v>
      </c>
      <c r="F13" s="171">
        <f t="shared" si="5"/>
        <v>66040876</v>
      </c>
      <c r="G13" s="222">
        <f>'Purchased Power Model'!G193</f>
        <v>480.06200000000001</v>
      </c>
      <c r="H13" s="222">
        <f>'Purchased Power Model'!H193</f>
        <v>0</v>
      </c>
      <c r="I13" s="169">
        <v>1</v>
      </c>
      <c r="J13" s="169">
        <v>30</v>
      </c>
      <c r="K13" s="287">
        <v>11</v>
      </c>
      <c r="L13" s="288">
        <v>32230</v>
      </c>
      <c r="M13" s="289">
        <v>127.12458448276465</v>
      </c>
      <c r="N13" s="290">
        <v>319.68</v>
      </c>
      <c r="O13" s="169">
        <v>175</v>
      </c>
      <c r="P13" s="291">
        <v>8.5</v>
      </c>
      <c r="Q13" s="287">
        <f t="shared" si="6"/>
        <v>63285919.822421074</v>
      </c>
      <c r="R13" s="291">
        <f t="shared" si="7"/>
        <v>0</v>
      </c>
      <c r="S13" s="287">
        <f t="shared" si="8"/>
        <v>63285919.822421074</v>
      </c>
      <c r="T13" s="50">
        <f t="shared" si="0"/>
        <v>-2754956.1775789261</v>
      </c>
      <c r="U13" s="103">
        <f t="shared" si="1"/>
        <v>-4.1715924203957047E-2</v>
      </c>
      <c r="V13" s="13">
        <f t="shared" si="2"/>
        <v>4.1715924203957047E-2</v>
      </c>
      <c r="W13" s="338"/>
      <c r="X13" s="13"/>
      <c r="Y13" s="33" t="s">
        <v>31</v>
      </c>
      <c r="Z13" s="33">
        <v>6</v>
      </c>
      <c r="AA13" s="33">
        <v>2.0798762041248708E+16</v>
      </c>
      <c r="AB13" s="33">
        <v>3466460340208118</v>
      </c>
      <c r="AC13" s="33">
        <v>745.06231869703004</v>
      </c>
      <c r="AD13" s="33">
        <v>1.1378208740977467E-114</v>
      </c>
    </row>
    <row r="14" spans="1:31" x14ac:dyDescent="0.25">
      <c r="A14" s="167">
        <f t="shared" si="3"/>
        <v>37986</v>
      </c>
      <c r="B14" s="168">
        <v>76444416</v>
      </c>
      <c r="C14" s="288">
        <v>0</v>
      </c>
      <c r="D14" s="171"/>
      <c r="E14" s="171">
        <f t="shared" si="4"/>
        <v>0</v>
      </c>
      <c r="F14" s="171">
        <f t="shared" si="5"/>
        <v>76444416</v>
      </c>
      <c r="G14" s="222">
        <f>'Purchased Power Model'!G194</f>
        <v>702.73799999999994</v>
      </c>
      <c r="H14" s="222">
        <f>'Purchased Power Model'!H194</f>
        <v>0</v>
      </c>
      <c r="I14" s="169">
        <v>0</v>
      </c>
      <c r="J14" s="169">
        <v>31</v>
      </c>
      <c r="K14" s="287">
        <v>12</v>
      </c>
      <c r="L14" s="288">
        <v>32256</v>
      </c>
      <c r="M14" s="289">
        <v>127.27195325542573</v>
      </c>
      <c r="N14" s="290">
        <v>336.28800000000001</v>
      </c>
      <c r="O14" s="169">
        <v>175.6</v>
      </c>
      <c r="P14" s="291">
        <v>7.8</v>
      </c>
      <c r="Q14" s="287">
        <f t="shared" si="6"/>
        <v>76724104.260589942</v>
      </c>
      <c r="R14" s="291">
        <f t="shared" si="7"/>
        <v>0</v>
      </c>
      <c r="S14" s="287">
        <f t="shared" si="8"/>
        <v>76724104.260589942</v>
      </c>
      <c r="T14" s="50">
        <f t="shared" si="0"/>
        <v>279688.26058994234</v>
      </c>
      <c r="U14" s="103">
        <f t="shared" si="1"/>
        <v>3.6587140725876217E-3</v>
      </c>
      <c r="V14" s="13">
        <f t="shared" si="2"/>
        <v>3.6587140725876217E-3</v>
      </c>
      <c r="W14" s="338"/>
      <c r="X14" s="13"/>
      <c r="Y14" s="33" t="s">
        <v>32</v>
      </c>
      <c r="Z14" s="33">
        <v>161</v>
      </c>
      <c r="AA14" s="33">
        <v>749065012104646.75</v>
      </c>
      <c r="AB14" s="33">
        <v>4652577714935.6943</v>
      </c>
      <c r="AC14" s="33"/>
      <c r="AD14" s="33"/>
    </row>
    <row r="15" spans="1:31" ht="13.8" thickBot="1" x14ac:dyDescent="0.3">
      <c r="A15" s="167">
        <f t="shared" si="3"/>
        <v>38017</v>
      </c>
      <c r="B15" s="168">
        <v>89226740</v>
      </c>
      <c r="C15" s="288">
        <v>0</v>
      </c>
      <c r="D15" s="171"/>
      <c r="E15" s="171">
        <f t="shared" si="4"/>
        <v>0</v>
      </c>
      <c r="F15" s="171">
        <f t="shared" si="5"/>
        <v>89226740</v>
      </c>
      <c r="G15" s="222">
        <f>G3</f>
        <v>824.21</v>
      </c>
      <c r="H15" s="222">
        <f>H3</f>
        <v>0</v>
      </c>
      <c r="I15" s="169">
        <v>0</v>
      </c>
      <c r="J15" s="169">
        <v>31</v>
      </c>
      <c r="K15" s="287">
        <v>13</v>
      </c>
      <c r="L15" s="288">
        <v>32257</v>
      </c>
      <c r="M15" s="289">
        <v>127.53411264087498</v>
      </c>
      <c r="N15" s="292">
        <v>336.28800000000001</v>
      </c>
      <c r="O15" s="169">
        <v>175.8</v>
      </c>
      <c r="P15" s="291">
        <v>8.6</v>
      </c>
      <c r="Q15" s="287">
        <f t="shared" si="6"/>
        <v>81397701.512851581</v>
      </c>
      <c r="R15" s="291">
        <f t="shared" si="7"/>
        <v>0</v>
      </c>
      <c r="S15" s="287">
        <f t="shared" si="8"/>
        <v>81397701.512851581</v>
      </c>
      <c r="T15" s="50">
        <f t="shared" si="0"/>
        <v>-7829038.487148419</v>
      </c>
      <c r="U15" s="103">
        <f t="shared" si="1"/>
        <v>-8.774318648365298E-2</v>
      </c>
      <c r="V15" s="13">
        <f t="shared" si="2"/>
        <v>8.774318648365298E-2</v>
      </c>
      <c r="W15" s="338"/>
      <c r="X15" s="13"/>
      <c r="Y15" s="34" t="s">
        <v>12</v>
      </c>
      <c r="Z15" s="34">
        <v>167</v>
      </c>
      <c r="AA15" s="34">
        <v>2.1547827053353356E+16</v>
      </c>
      <c r="AB15" s="34"/>
      <c r="AC15" s="34"/>
      <c r="AD15" s="34"/>
    </row>
    <row r="16" spans="1:31" ht="13.8" thickBot="1" x14ac:dyDescent="0.3">
      <c r="A16" s="167">
        <f t="shared" si="3"/>
        <v>38046</v>
      </c>
      <c r="B16" s="168">
        <v>73066340</v>
      </c>
      <c r="C16" s="288">
        <v>0</v>
      </c>
      <c r="D16" s="171"/>
      <c r="E16" s="171">
        <f t="shared" si="4"/>
        <v>0</v>
      </c>
      <c r="F16" s="171">
        <f t="shared" si="5"/>
        <v>73066340</v>
      </c>
      <c r="G16" s="222">
        <f t="shared" ref="G16:H79" si="9">G4</f>
        <v>754.11000000000013</v>
      </c>
      <c r="H16" s="222">
        <f t="shared" si="9"/>
        <v>0</v>
      </c>
      <c r="I16" s="169">
        <v>0</v>
      </c>
      <c r="J16" s="169">
        <v>29</v>
      </c>
      <c r="K16" s="287">
        <v>14</v>
      </c>
      <c r="L16" s="288">
        <v>32250</v>
      </c>
      <c r="M16" s="289">
        <v>127.79681203173486</v>
      </c>
      <c r="N16" s="292">
        <v>320.16000000000003</v>
      </c>
      <c r="O16" s="169">
        <v>175.4</v>
      </c>
      <c r="P16" s="291">
        <v>8.8000000000000007</v>
      </c>
      <c r="Q16" s="287">
        <f t="shared" si="6"/>
        <v>74990744.625427097</v>
      </c>
      <c r="R16" s="291">
        <f t="shared" si="7"/>
        <v>0</v>
      </c>
      <c r="S16" s="287">
        <f t="shared" si="8"/>
        <v>74990744.625427097</v>
      </c>
      <c r="T16" s="50">
        <f t="shared" si="0"/>
        <v>1924404.6254270971</v>
      </c>
      <c r="U16" s="103">
        <f t="shared" si="1"/>
        <v>2.6337772296068162E-2</v>
      </c>
      <c r="V16" s="13">
        <f t="shared" si="2"/>
        <v>2.6337772296068162E-2</v>
      </c>
      <c r="W16" s="338"/>
      <c r="X16" s="13"/>
    </row>
    <row r="17" spans="1:31" x14ac:dyDescent="0.25">
      <c r="A17" s="167">
        <f t="shared" si="3"/>
        <v>38077</v>
      </c>
      <c r="B17" s="168">
        <v>71196888</v>
      </c>
      <c r="C17" s="288">
        <v>0</v>
      </c>
      <c r="D17" s="171"/>
      <c r="E17" s="171">
        <f t="shared" si="4"/>
        <v>0</v>
      </c>
      <c r="F17" s="171">
        <f t="shared" si="5"/>
        <v>71196888</v>
      </c>
      <c r="G17" s="222">
        <f t="shared" si="9"/>
        <v>679.39</v>
      </c>
      <c r="H17" s="222">
        <f t="shared" si="9"/>
        <v>0</v>
      </c>
      <c r="I17" s="169">
        <v>1</v>
      </c>
      <c r="J17" s="169">
        <v>31</v>
      </c>
      <c r="K17" s="287">
        <v>15</v>
      </c>
      <c r="L17" s="288">
        <v>32199</v>
      </c>
      <c r="M17" s="289">
        <v>128.06005254032812</v>
      </c>
      <c r="N17" s="292">
        <v>368.28</v>
      </c>
      <c r="O17" s="169">
        <v>173.9</v>
      </c>
      <c r="P17" s="291">
        <v>10.1</v>
      </c>
      <c r="Q17" s="287">
        <f t="shared" si="6"/>
        <v>72359813.874830157</v>
      </c>
      <c r="R17" s="291">
        <f t="shared" si="7"/>
        <v>0</v>
      </c>
      <c r="S17" s="287">
        <f t="shared" si="8"/>
        <v>72359813.874830157</v>
      </c>
      <c r="T17" s="50">
        <f t="shared" si="0"/>
        <v>1162925.8748301566</v>
      </c>
      <c r="U17" s="103">
        <f t="shared" si="1"/>
        <v>1.6333942500831731E-2</v>
      </c>
      <c r="V17" s="13">
        <f t="shared" si="2"/>
        <v>1.6333942500831731E-2</v>
      </c>
      <c r="W17" s="338"/>
      <c r="X17" s="13"/>
      <c r="Y17" s="35"/>
      <c r="Z17" s="35" t="s">
        <v>39</v>
      </c>
      <c r="AA17" s="35" t="s">
        <v>28</v>
      </c>
      <c r="AB17" s="35" t="s">
        <v>40</v>
      </c>
      <c r="AC17" s="35" t="s">
        <v>41</v>
      </c>
      <c r="AD17" s="35" t="s">
        <v>42</v>
      </c>
      <c r="AE17" s="35" t="s">
        <v>43</v>
      </c>
    </row>
    <row r="18" spans="1:31" x14ac:dyDescent="0.25">
      <c r="A18" s="167">
        <f t="shared" si="3"/>
        <v>38107</v>
      </c>
      <c r="B18" s="168">
        <v>61357220</v>
      </c>
      <c r="C18" s="288">
        <v>0</v>
      </c>
      <c r="D18" s="171"/>
      <c r="E18" s="171">
        <f t="shared" si="4"/>
        <v>0</v>
      </c>
      <c r="F18" s="171">
        <f t="shared" si="5"/>
        <v>61357220</v>
      </c>
      <c r="G18" s="222">
        <f t="shared" si="9"/>
        <v>427.16999999999996</v>
      </c>
      <c r="H18" s="222">
        <f t="shared" si="9"/>
        <v>0.02</v>
      </c>
      <c r="I18" s="169">
        <v>1</v>
      </c>
      <c r="J18" s="169">
        <v>30</v>
      </c>
      <c r="K18" s="287">
        <v>16</v>
      </c>
      <c r="L18" s="288">
        <v>32154</v>
      </c>
      <c r="M18" s="289">
        <v>128.32383528126866</v>
      </c>
      <c r="N18" s="292">
        <v>336.24</v>
      </c>
      <c r="O18" s="169">
        <v>173.7</v>
      </c>
      <c r="P18" s="291">
        <v>10.5</v>
      </c>
      <c r="Q18" s="287">
        <f t="shared" si="6"/>
        <v>60390625.390702695</v>
      </c>
      <c r="R18" s="291">
        <f t="shared" si="7"/>
        <v>0</v>
      </c>
      <c r="S18" s="287">
        <f t="shared" si="8"/>
        <v>60390625.390702695</v>
      </c>
      <c r="T18" s="50">
        <f t="shared" si="0"/>
        <v>-966594.60929730535</v>
      </c>
      <c r="U18" s="103">
        <f t="shared" si="1"/>
        <v>-1.5753559390358711E-2</v>
      </c>
      <c r="V18" s="13">
        <f t="shared" si="2"/>
        <v>1.5753559390358711E-2</v>
      </c>
      <c r="W18" s="338"/>
      <c r="X18" s="13"/>
      <c r="Y18" s="33" t="s">
        <v>33</v>
      </c>
      <c r="Z18" s="284">
        <v>-92792689.92313543</v>
      </c>
      <c r="AA18" s="284">
        <v>28164980.221083801</v>
      </c>
      <c r="AB18" s="339">
        <v>-3.2946122878393673</v>
      </c>
      <c r="AC18" s="33">
        <v>1.2120833294354738E-3</v>
      </c>
      <c r="AD18" s="284">
        <v>-148413120.76776084</v>
      </c>
      <c r="AE18" s="284">
        <v>-37172259.078510024</v>
      </c>
    </row>
    <row r="19" spans="1:31" x14ac:dyDescent="0.25">
      <c r="A19" s="167">
        <f t="shared" si="3"/>
        <v>38138</v>
      </c>
      <c r="B19" s="168">
        <v>55571152</v>
      </c>
      <c r="C19" s="288">
        <v>0</v>
      </c>
      <c r="D19" s="171"/>
      <c r="E19" s="171">
        <f t="shared" si="4"/>
        <v>0</v>
      </c>
      <c r="F19" s="171">
        <f t="shared" si="5"/>
        <v>55571152</v>
      </c>
      <c r="G19" s="222">
        <f t="shared" si="9"/>
        <v>232.2</v>
      </c>
      <c r="H19" s="222">
        <f t="shared" si="9"/>
        <v>3.9</v>
      </c>
      <c r="I19" s="169">
        <v>1</v>
      </c>
      <c r="J19" s="169">
        <v>31</v>
      </c>
      <c r="K19" s="287">
        <v>17</v>
      </c>
      <c r="L19" s="288">
        <v>32212</v>
      </c>
      <c r="M19" s="289">
        <v>128.58816137146633</v>
      </c>
      <c r="N19" s="292">
        <v>319.92</v>
      </c>
      <c r="O19" s="169">
        <v>174.9</v>
      </c>
      <c r="P19" s="291">
        <v>10</v>
      </c>
      <c r="Q19" s="287">
        <f t="shared" si="6"/>
        <v>55176347.862759262</v>
      </c>
      <c r="R19" s="291">
        <f t="shared" si="7"/>
        <v>0</v>
      </c>
      <c r="S19" s="287">
        <f t="shared" si="8"/>
        <v>55176347.862759262</v>
      </c>
      <c r="T19" s="50">
        <f t="shared" si="0"/>
        <v>-394804.13724073768</v>
      </c>
      <c r="U19" s="103">
        <f t="shared" si="1"/>
        <v>-7.104479987039637E-3</v>
      </c>
      <c r="V19" s="13">
        <f t="shared" si="2"/>
        <v>7.104479987039637E-3</v>
      </c>
      <c r="W19" s="338"/>
      <c r="X19" s="13"/>
      <c r="Y19" s="33" t="s">
        <v>4</v>
      </c>
      <c r="Z19" s="284">
        <v>39810.865930730841</v>
      </c>
      <c r="AA19" s="284">
        <v>784.63483761578448</v>
      </c>
      <c r="AB19" s="339">
        <v>50.738080980066293</v>
      </c>
      <c r="AC19" s="33">
        <v>6.0362413048508782E-101</v>
      </c>
      <c r="AD19" s="284">
        <v>38261.36270433684</v>
      </c>
      <c r="AE19" s="284">
        <v>41360.369157124842</v>
      </c>
    </row>
    <row r="20" spans="1:31" x14ac:dyDescent="0.25">
      <c r="A20" s="167">
        <f t="shared" si="3"/>
        <v>38168</v>
      </c>
      <c r="B20" s="168">
        <v>49366380</v>
      </c>
      <c r="C20" s="288">
        <v>0</v>
      </c>
      <c r="D20" s="171"/>
      <c r="E20" s="171">
        <f t="shared" si="4"/>
        <v>0</v>
      </c>
      <c r="F20" s="171">
        <f t="shared" si="5"/>
        <v>49366380</v>
      </c>
      <c r="G20" s="222">
        <f t="shared" si="9"/>
        <v>101.74</v>
      </c>
      <c r="H20" s="222">
        <f t="shared" si="9"/>
        <v>9.5400000000000009</v>
      </c>
      <c r="I20" s="169">
        <v>0</v>
      </c>
      <c r="J20" s="169">
        <v>30</v>
      </c>
      <c r="K20" s="287">
        <v>18</v>
      </c>
      <c r="L20" s="288">
        <v>32194</v>
      </c>
      <c r="M20" s="289">
        <v>128.85303193013166</v>
      </c>
      <c r="N20" s="292">
        <v>352.08</v>
      </c>
      <c r="O20" s="169">
        <v>176.9</v>
      </c>
      <c r="P20" s="291">
        <v>9.4</v>
      </c>
      <c r="Q20" s="287">
        <f t="shared" si="6"/>
        <v>51483353.85355249</v>
      </c>
      <c r="R20" s="291">
        <f t="shared" si="7"/>
        <v>0</v>
      </c>
      <c r="S20" s="287">
        <f t="shared" si="8"/>
        <v>51483353.85355249</v>
      </c>
      <c r="T20" s="50">
        <f t="shared" si="0"/>
        <v>2116973.8535524905</v>
      </c>
      <c r="U20" s="103">
        <f t="shared" si="1"/>
        <v>4.2882906414294313E-2</v>
      </c>
      <c r="V20" s="13">
        <f t="shared" si="2"/>
        <v>4.2882906414294313E-2</v>
      </c>
      <c r="W20" s="338"/>
      <c r="X20" s="13"/>
      <c r="Y20" s="33" t="s">
        <v>5</v>
      </c>
      <c r="Z20" s="284">
        <v>84271.358698521362</v>
      </c>
      <c r="AA20" s="284">
        <v>14582.622019041599</v>
      </c>
      <c r="AB20" s="339">
        <v>5.7788893237774435</v>
      </c>
      <c r="AC20" s="33">
        <v>3.789338892856753E-8</v>
      </c>
      <c r="AD20" s="284">
        <v>55473.478736360194</v>
      </c>
      <c r="AE20" s="284">
        <v>113069.23866068253</v>
      </c>
    </row>
    <row r="21" spans="1:31" x14ac:dyDescent="0.25">
      <c r="A21" s="167">
        <f t="shared" si="3"/>
        <v>38199</v>
      </c>
      <c r="B21" s="168">
        <v>51210208</v>
      </c>
      <c r="C21" s="288">
        <v>0</v>
      </c>
      <c r="D21" s="171"/>
      <c r="E21" s="171">
        <f t="shared" si="4"/>
        <v>0</v>
      </c>
      <c r="F21" s="171">
        <f t="shared" si="5"/>
        <v>51210208</v>
      </c>
      <c r="G21" s="222">
        <f t="shared" si="9"/>
        <v>40.76</v>
      </c>
      <c r="H21" s="222">
        <f t="shared" si="9"/>
        <v>36.08</v>
      </c>
      <c r="I21" s="169">
        <v>0</v>
      </c>
      <c r="J21" s="169">
        <v>31</v>
      </c>
      <c r="K21" s="287">
        <v>19</v>
      </c>
      <c r="L21" s="288">
        <v>32195</v>
      </c>
      <c r="M21" s="289">
        <v>129.11844807878055</v>
      </c>
      <c r="N21" s="292">
        <v>336.28800000000001</v>
      </c>
      <c r="O21" s="169">
        <v>175.7</v>
      </c>
      <c r="P21" s="291">
        <v>8.9</v>
      </c>
      <c r="Q21" s="287">
        <f t="shared" si="6"/>
        <v>53059303.092779636</v>
      </c>
      <c r="R21" s="291">
        <f t="shared" si="7"/>
        <v>0</v>
      </c>
      <c r="S21" s="287">
        <f t="shared" si="8"/>
        <v>53059303.092779636</v>
      </c>
      <c r="T21" s="50">
        <f t="shared" si="0"/>
        <v>1849095.0927796364</v>
      </c>
      <c r="U21" s="103">
        <f t="shared" si="1"/>
        <v>3.6107939510412385E-2</v>
      </c>
      <c r="V21" s="13">
        <f t="shared" si="2"/>
        <v>3.6107939510412385E-2</v>
      </c>
      <c r="W21" s="338"/>
      <c r="X21" s="13"/>
      <c r="Y21" s="33" t="s">
        <v>22</v>
      </c>
      <c r="Z21" s="284">
        <v>-2894992.4692334202</v>
      </c>
      <c r="AA21" s="284">
        <v>391995.56300616142</v>
      </c>
      <c r="AB21" s="339">
        <v>-7.3852684633267556</v>
      </c>
      <c r="AC21" s="33">
        <v>7.7418540189495814E-12</v>
      </c>
      <c r="AD21" s="284">
        <v>-3669108.4789887862</v>
      </c>
      <c r="AE21" s="284">
        <v>-2120876.4594780542</v>
      </c>
    </row>
    <row r="22" spans="1:31" x14ac:dyDescent="0.25">
      <c r="A22" s="167">
        <f t="shared" si="3"/>
        <v>38230</v>
      </c>
      <c r="B22" s="168">
        <v>50192756</v>
      </c>
      <c r="C22" s="288">
        <v>0</v>
      </c>
      <c r="D22" s="171"/>
      <c r="E22" s="171">
        <f t="shared" si="4"/>
        <v>0</v>
      </c>
      <c r="F22" s="171">
        <f t="shared" si="5"/>
        <v>50192756</v>
      </c>
      <c r="G22" s="222">
        <f t="shared" si="9"/>
        <v>42.03</v>
      </c>
      <c r="H22" s="222">
        <f t="shared" si="9"/>
        <v>33.799999999999997</v>
      </c>
      <c r="I22" s="169">
        <v>0</v>
      </c>
      <c r="J22" s="169">
        <v>31</v>
      </c>
      <c r="K22" s="287">
        <v>20</v>
      </c>
      <c r="L22" s="288">
        <v>32205</v>
      </c>
      <c r="M22" s="289">
        <v>129.38441094123903</v>
      </c>
      <c r="N22" s="292">
        <v>336.28800000000001</v>
      </c>
      <c r="O22" s="169">
        <v>172.6</v>
      </c>
      <c r="P22" s="291">
        <v>9.8000000000000007</v>
      </c>
      <c r="Q22" s="287">
        <f t="shared" si="6"/>
        <v>52905779.487733513</v>
      </c>
      <c r="R22" s="291">
        <f t="shared" si="7"/>
        <v>0</v>
      </c>
      <c r="S22" s="287">
        <f t="shared" si="8"/>
        <v>52905779.487733513</v>
      </c>
      <c r="T22" s="50">
        <f t="shared" si="0"/>
        <v>2713023.4877335131</v>
      </c>
      <c r="U22" s="103">
        <f t="shared" si="1"/>
        <v>5.4052092452016642E-2</v>
      </c>
      <c r="V22" s="13">
        <f t="shared" si="2"/>
        <v>5.4052092452016642E-2</v>
      </c>
      <c r="W22" s="338"/>
      <c r="X22" s="13"/>
      <c r="Y22" s="33" t="s">
        <v>6</v>
      </c>
      <c r="Z22" s="284">
        <v>1815876.5056657675</v>
      </c>
      <c r="AA22" s="284">
        <v>210619.83519123937</v>
      </c>
      <c r="AB22" s="339">
        <v>8.6215835465685426</v>
      </c>
      <c r="AC22" s="33">
        <v>5.911812343582763E-15</v>
      </c>
      <c r="AD22" s="284">
        <v>1399942.7508466796</v>
      </c>
      <c r="AE22" s="284">
        <v>2231810.2604848556</v>
      </c>
    </row>
    <row r="23" spans="1:31" x14ac:dyDescent="0.25">
      <c r="A23" s="167">
        <f t="shared" si="3"/>
        <v>38260</v>
      </c>
      <c r="B23" s="168">
        <v>50272804</v>
      </c>
      <c r="C23" s="288">
        <v>0</v>
      </c>
      <c r="D23" s="171"/>
      <c r="E23" s="171">
        <f t="shared" si="4"/>
        <v>0</v>
      </c>
      <c r="F23" s="171">
        <f t="shared" si="5"/>
        <v>50272804</v>
      </c>
      <c r="G23" s="222">
        <f t="shared" si="9"/>
        <v>129.35999999999999</v>
      </c>
      <c r="H23" s="222">
        <f t="shared" si="9"/>
        <v>11.58</v>
      </c>
      <c r="I23" s="169">
        <v>1</v>
      </c>
      <c r="J23" s="169">
        <v>30</v>
      </c>
      <c r="K23" s="287">
        <v>21</v>
      </c>
      <c r="L23" s="288">
        <v>32206</v>
      </c>
      <c r="M23" s="289">
        <v>129.65092164364802</v>
      </c>
      <c r="N23" s="292">
        <v>336.24</v>
      </c>
      <c r="O23" s="169">
        <v>168.7</v>
      </c>
      <c r="P23" s="291">
        <v>10.5</v>
      </c>
      <c r="Q23" s="287">
        <f t="shared" si="6"/>
        <v>49708202.831041336</v>
      </c>
      <c r="R23" s="291">
        <f t="shared" si="7"/>
        <v>0</v>
      </c>
      <c r="S23" s="287">
        <f t="shared" si="8"/>
        <v>49708202.831041336</v>
      </c>
      <c r="T23" s="50">
        <f t="shared" si="0"/>
        <v>-564601.16895866394</v>
      </c>
      <c r="U23" s="103">
        <f t="shared" si="1"/>
        <v>-1.1230747522232179E-2</v>
      </c>
      <c r="V23" s="13">
        <f t="shared" si="2"/>
        <v>1.1230747522232179E-2</v>
      </c>
      <c r="W23" s="338"/>
      <c r="X23" s="13"/>
      <c r="Y23" s="33" t="s">
        <v>113</v>
      </c>
      <c r="Z23" s="339">
        <v>-3.6795594206276183</v>
      </c>
      <c r="AA23" s="284">
        <v>0.55585713835404693</v>
      </c>
      <c r="AB23" s="339">
        <v>-6.6196135063106167</v>
      </c>
      <c r="AC23" s="33">
        <v>5.0996320928845613E-10</v>
      </c>
      <c r="AD23" s="284">
        <v>-4.7772705953071846</v>
      </c>
      <c r="AE23" s="284">
        <v>-2.5818482459480521</v>
      </c>
    </row>
    <row r="24" spans="1:31" ht="13.8" thickBot="1" x14ac:dyDescent="0.3">
      <c r="A24" s="167">
        <f t="shared" si="3"/>
        <v>38291</v>
      </c>
      <c r="B24" s="168">
        <v>57641764</v>
      </c>
      <c r="C24" s="288">
        <v>0</v>
      </c>
      <c r="D24" s="171"/>
      <c r="E24" s="171">
        <f t="shared" si="4"/>
        <v>0</v>
      </c>
      <c r="F24" s="171">
        <f t="shared" si="5"/>
        <v>57641764</v>
      </c>
      <c r="G24" s="222">
        <f t="shared" si="9"/>
        <v>306.13</v>
      </c>
      <c r="H24" s="222">
        <f t="shared" si="9"/>
        <v>0.47000000000000003</v>
      </c>
      <c r="I24" s="169">
        <v>1</v>
      </c>
      <c r="J24" s="169">
        <v>31</v>
      </c>
      <c r="K24" s="287">
        <v>22</v>
      </c>
      <c r="L24" s="288">
        <v>32231</v>
      </c>
      <c r="M24" s="289">
        <v>129.91798131446814</v>
      </c>
      <c r="N24" s="292">
        <v>319.92</v>
      </c>
      <c r="O24" s="169">
        <v>168.5</v>
      </c>
      <c r="P24" s="291">
        <v>9.9</v>
      </c>
      <c r="Q24" s="287">
        <f t="shared" si="6"/>
        <v>57527128.172698855</v>
      </c>
      <c r="R24" s="291">
        <f t="shared" si="7"/>
        <v>0</v>
      </c>
      <c r="S24" s="287">
        <f t="shared" si="8"/>
        <v>57527128.172698855</v>
      </c>
      <c r="T24" s="50">
        <f t="shared" si="0"/>
        <v>-114635.8273011446</v>
      </c>
      <c r="U24" s="103">
        <f t="shared" si="1"/>
        <v>-1.988763343556672E-3</v>
      </c>
      <c r="V24" s="13">
        <f t="shared" si="2"/>
        <v>1.988763343556672E-3</v>
      </c>
      <c r="W24" s="338"/>
      <c r="X24" s="13"/>
      <c r="Y24" s="34" t="s">
        <v>102</v>
      </c>
      <c r="Z24" s="285">
        <v>2620.2112079091107</v>
      </c>
      <c r="AA24" s="285">
        <v>846.07373372448887</v>
      </c>
      <c r="AB24" s="340">
        <v>3.0969064556285386</v>
      </c>
      <c r="AC24" s="34">
        <v>2.3075069986230302E-3</v>
      </c>
      <c r="AD24" s="285">
        <v>949.37795233134079</v>
      </c>
      <c r="AE24" s="285">
        <v>4291.0444634868809</v>
      </c>
    </row>
    <row r="25" spans="1:31" x14ac:dyDescent="0.25">
      <c r="A25" s="167">
        <f t="shared" si="3"/>
        <v>38321</v>
      </c>
      <c r="B25" s="168">
        <v>64887008</v>
      </c>
      <c r="C25" s="288">
        <v>0</v>
      </c>
      <c r="D25" s="171"/>
      <c r="E25" s="171">
        <f t="shared" si="4"/>
        <v>0</v>
      </c>
      <c r="F25" s="171">
        <f t="shared" si="5"/>
        <v>64887008</v>
      </c>
      <c r="G25" s="222">
        <f t="shared" si="9"/>
        <v>480.06200000000001</v>
      </c>
      <c r="H25" s="222">
        <f t="shared" si="9"/>
        <v>0</v>
      </c>
      <c r="I25" s="169">
        <v>1</v>
      </c>
      <c r="J25" s="169">
        <v>30</v>
      </c>
      <c r="K25" s="287">
        <v>23</v>
      </c>
      <c r="L25" s="288">
        <v>32250</v>
      </c>
      <c r="M25" s="289">
        <v>130.18559108448443</v>
      </c>
      <c r="N25" s="292">
        <v>352.08</v>
      </c>
      <c r="O25" s="169">
        <v>169.9</v>
      </c>
      <c r="P25" s="291">
        <v>10</v>
      </c>
      <c r="Q25" s="287">
        <f t="shared" si="6"/>
        <v>62541625.695183456</v>
      </c>
      <c r="R25" s="291">
        <f t="shared" si="7"/>
        <v>0</v>
      </c>
      <c r="S25" s="287">
        <f t="shared" si="8"/>
        <v>62541625.695183456</v>
      </c>
      <c r="T25" s="50">
        <f t="shared" si="0"/>
        <v>-2345382.3048165441</v>
      </c>
      <c r="U25" s="103">
        <f t="shared" si="1"/>
        <v>-3.6145638042311093E-2</v>
      </c>
      <c r="V25" s="13">
        <f t="shared" si="2"/>
        <v>3.6145638042311093E-2</v>
      </c>
      <c r="W25" s="338"/>
      <c r="X25" s="13"/>
    </row>
    <row r="26" spans="1:31" x14ac:dyDescent="0.25">
      <c r="A26" s="167">
        <f t="shared" si="3"/>
        <v>38352</v>
      </c>
      <c r="B26" s="168">
        <v>83696492</v>
      </c>
      <c r="C26" s="288">
        <v>0</v>
      </c>
      <c r="D26" s="171"/>
      <c r="E26" s="171">
        <f t="shared" si="4"/>
        <v>0</v>
      </c>
      <c r="F26" s="171">
        <f t="shared" si="5"/>
        <v>83696492</v>
      </c>
      <c r="G26" s="222">
        <f t="shared" si="9"/>
        <v>702.73799999999994</v>
      </c>
      <c r="H26" s="222">
        <f t="shared" si="9"/>
        <v>0</v>
      </c>
      <c r="I26" s="169">
        <v>0</v>
      </c>
      <c r="J26" s="169">
        <v>31</v>
      </c>
      <c r="K26" s="287">
        <v>24</v>
      </c>
      <c r="L26" s="288">
        <v>32296</v>
      </c>
      <c r="M26" s="289">
        <v>130.45375208681136</v>
      </c>
      <c r="N26" s="292">
        <v>336.28800000000001</v>
      </c>
      <c r="O26" s="169">
        <v>172.3</v>
      </c>
      <c r="P26" s="291">
        <v>9.5</v>
      </c>
      <c r="Q26" s="287">
        <f t="shared" si="6"/>
        <v>76103854.072931111</v>
      </c>
      <c r="R26" s="291">
        <f t="shared" si="7"/>
        <v>0</v>
      </c>
      <c r="S26" s="287">
        <f t="shared" si="8"/>
        <v>76103854.072931111</v>
      </c>
      <c r="T26" s="50">
        <f t="shared" si="0"/>
        <v>-7592637.9270688891</v>
      </c>
      <c r="U26" s="103">
        <f t="shared" si="1"/>
        <v>-9.0716322101873623E-2</v>
      </c>
      <c r="V26" s="13">
        <f t="shared" si="2"/>
        <v>9.0716322101873623E-2</v>
      </c>
      <c r="W26" s="338"/>
      <c r="X26" s="13"/>
    </row>
    <row r="27" spans="1:31" x14ac:dyDescent="0.25">
      <c r="A27" s="167">
        <f t="shared" si="3"/>
        <v>38383</v>
      </c>
      <c r="B27" s="168">
        <v>88287600</v>
      </c>
      <c r="C27" s="288">
        <v>0</v>
      </c>
      <c r="D27" s="171"/>
      <c r="E27" s="171">
        <f t="shared" si="4"/>
        <v>0</v>
      </c>
      <c r="F27" s="171">
        <f t="shared" si="5"/>
        <v>88287600</v>
      </c>
      <c r="G27" s="222">
        <f t="shared" si="9"/>
        <v>824.21</v>
      </c>
      <c r="H27" s="222">
        <f t="shared" si="9"/>
        <v>0</v>
      </c>
      <c r="I27" s="169">
        <v>0</v>
      </c>
      <c r="J27" s="169">
        <v>31</v>
      </c>
      <c r="K27" s="287">
        <v>25</v>
      </c>
      <c r="L27" s="288">
        <v>32294</v>
      </c>
      <c r="M27" s="289">
        <v>130.74370215685079</v>
      </c>
      <c r="N27" s="292">
        <v>319.92</v>
      </c>
      <c r="O27" s="169">
        <v>173.3</v>
      </c>
      <c r="P27" s="291">
        <v>11.1</v>
      </c>
      <c r="Q27" s="287">
        <f t="shared" si="6"/>
        <v>80758844.73425594</v>
      </c>
      <c r="R27" s="291">
        <f t="shared" si="7"/>
        <v>0</v>
      </c>
      <c r="S27" s="287">
        <f t="shared" si="8"/>
        <v>80758844.73425594</v>
      </c>
      <c r="T27" s="50">
        <f t="shared" si="0"/>
        <v>-7528755.2657440603</v>
      </c>
      <c r="U27" s="103">
        <f t="shared" si="1"/>
        <v>-8.52753417891534E-2</v>
      </c>
      <c r="V27" s="13">
        <f t="shared" si="2"/>
        <v>8.52753417891534E-2</v>
      </c>
      <c r="W27" s="338"/>
      <c r="X27" s="13"/>
      <c r="Y27" s="390" t="s">
        <v>23</v>
      </c>
      <c r="Z27" s="390"/>
      <c r="AA27" s="390"/>
      <c r="AB27" s="390"/>
      <c r="AC27" s="390"/>
      <c r="AD27" s="390"/>
      <c r="AE27" s="390"/>
    </row>
    <row r="28" spans="1:31" ht="13.8" thickBot="1" x14ac:dyDescent="0.3">
      <c r="A28" s="167">
        <f t="shared" si="3"/>
        <v>38411</v>
      </c>
      <c r="B28" s="168">
        <v>71065788</v>
      </c>
      <c r="C28" s="288">
        <v>0</v>
      </c>
      <c r="D28" s="171"/>
      <c r="E28" s="171">
        <f t="shared" si="4"/>
        <v>0</v>
      </c>
      <c r="F28" s="171">
        <f t="shared" si="5"/>
        <v>71065788</v>
      </c>
      <c r="G28" s="222">
        <f t="shared" si="9"/>
        <v>754.11000000000013</v>
      </c>
      <c r="H28" s="222">
        <f t="shared" si="9"/>
        <v>0</v>
      </c>
      <c r="I28" s="169">
        <v>0</v>
      </c>
      <c r="J28" s="169">
        <v>28</v>
      </c>
      <c r="K28" s="287">
        <v>26</v>
      </c>
      <c r="L28" s="288">
        <v>32296</v>
      </c>
      <c r="M28" s="289">
        <v>131.0342966778299</v>
      </c>
      <c r="N28" s="292">
        <v>319.87200000000001</v>
      </c>
      <c r="O28" s="169">
        <v>175.1</v>
      </c>
      <c r="P28" s="291">
        <v>11.9</v>
      </c>
      <c r="Q28" s="287">
        <f t="shared" si="6"/>
        <v>72629745.280957922</v>
      </c>
      <c r="R28" s="291">
        <f t="shared" si="7"/>
        <v>0</v>
      </c>
      <c r="S28" s="287">
        <f t="shared" si="8"/>
        <v>72629745.280957922</v>
      </c>
      <c r="T28" s="50">
        <f t="shared" si="0"/>
        <v>1563957.2809579223</v>
      </c>
      <c r="U28" s="103">
        <f t="shared" si="1"/>
        <v>2.200717567443173E-2</v>
      </c>
      <c r="V28" s="13">
        <f t="shared" si="2"/>
        <v>2.200717567443173E-2</v>
      </c>
      <c r="W28" s="338"/>
      <c r="X28" s="13"/>
      <c r="Y28" s="390"/>
      <c r="Z28" s="390"/>
      <c r="AA28" s="390"/>
      <c r="AB28" s="390"/>
      <c r="AC28" s="390"/>
      <c r="AD28" s="390"/>
      <c r="AE28" s="390"/>
    </row>
    <row r="29" spans="1:31" x14ac:dyDescent="0.25">
      <c r="A29" s="167">
        <f t="shared" si="3"/>
        <v>38442</v>
      </c>
      <c r="B29" s="168">
        <v>73186104</v>
      </c>
      <c r="C29" s="288">
        <v>0</v>
      </c>
      <c r="D29" s="171"/>
      <c r="E29" s="171">
        <f t="shared" si="4"/>
        <v>0</v>
      </c>
      <c r="F29" s="171">
        <f t="shared" si="5"/>
        <v>73186104</v>
      </c>
      <c r="G29" s="222">
        <f t="shared" si="9"/>
        <v>679.39</v>
      </c>
      <c r="H29" s="222">
        <f t="shared" si="9"/>
        <v>0</v>
      </c>
      <c r="I29" s="169">
        <v>1</v>
      </c>
      <c r="J29" s="169">
        <v>31</v>
      </c>
      <c r="K29" s="287">
        <v>27</v>
      </c>
      <c r="L29" s="288">
        <v>32283</v>
      </c>
      <c r="M29" s="289">
        <v>131.32553708212293</v>
      </c>
      <c r="N29" s="292">
        <v>351.91199999999998</v>
      </c>
      <c r="O29" s="169">
        <v>176.4</v>
      </c>
      <c r="P29" s="291">
        <v>14.8</v>
      </c>
      <c r="Q29" s="287">
        <f t="shared" si="6"/>
        <v>72012460.354244664</v>
      </c>
      <c r="R29" s="291">
        <f t="shared" si="7"/>
        <v>0</v>
      </c>
      <c r="S29" s="287">
        <f t="shared" si="8"/>
        <v>72012460.354244664</v>
      </c>
      <c r="T29" s="50">
        <f t="shared" si="0"/>
        <v>-1173643.6457553357</v>
      </c>
      <c r="U29" s="103">
        <f t="shared" si="1"/>
        <v>-1.6036427431023459E-2</v>
      </c>
      <c r="V29" s="13">
        <f t="shared" si="2"/>
        <v>1.6036427431023459E-2</v>
      </c>
      <c r="W29" s="338"/>
      <c r="X29" s="13"/>
      <c r="Y29" s="391" t="s">
        <v>24</v>
      </c>
      <c r="Z29" s="391"/>
      <c r="AA29" s="390"/>
      <c r="AB29" s="390"/>
      <c r="AC29" s="390"/>
      <c r="AD29" s="390"/>
      <c r="AE29" s="390"/>
    </row>
    <row r="30" spans="1:31" x14ac:dyDescent="0.25">
      <c r="A30" s="167">
        <f t="shared" si="3"/>
        <v>38472</v>
      </c>
      <c r="B30" s="168">
        <v>56446820</v>
      </c>
      <c r="C30" s="288">
        <v>0</v>
      </c>
      <c r="D30" s="171"/>
      <c r="E30" s="171">
        <f t="shared" si="4"/>
        <v>0</v>
      </c>
      <c r="F30" s="171">
        <f t="shared" si="5"/>
        <v>56446820</v>
      </c>
      <c r="G30" s="222">
        <f t="shared" si="9"/>
        <v>427.16999999999996</v>
      </c>
      <c r="H30" s="222">
        <f t="shared" si="9"/>
        <v>0.02</v>
      </c>
      <c r="I30" s="169">
        <v>1</v>
      </c>
      <c r="J30" s="169">
        <v>30</v>
      </c>
      <c r="K30" s="287">
        <v>28</v>
      </c>
      <c r="L30" s="288">
        <v>32297</v>
      </c>
      <c r="M30" s="289">
        <v>131.61742480528775</v>
      </c>
      <c r="N30" s="292">
        <v>336.24</v>
      </c>
      <c r="O30" s="169">
        <v>178.3</v>
      </c>
      <c r="P30" s="291">
        <v>14.5</v>
      </c>
      <c r="Q30" s="287">
        <f t="shared" si="6"/>
        <v>60409201.491874546</v>
      </c>
      <c r="R30" s="291">
        <f t="shared" si="7"/>
        <v>0</v>
      </c>
      <c r="S30" s="287">
        <f t="shared" si="8"/>
        <v>60409201.491874546</v>
      </c>
      <c r="T30" s="50">
        <f t="shared" si="0"/>
        <v>3962381.4918745458</v>
      </c>
      <c r="U30" s="103">
        <f t="shared" si="1"/>
        <v>7.0196717757963087E-2</v>
      </c>
      <c r="V30" s="13">
        <f t="shared" si="2"/>
        <v>7.0196717757963087E-2</v>
      </c>
      <c r="W30" s="338"/>
      <c r="X30" s="13"/>
      <c r="Y30" s="392" t="s">
        <v>25</v>
      </c>
      <c r="Z30" s="393">
        <v>0.97988170618314752</v>
      </c>
      <c r="AA30" s="390"/>
      <c r="AB30" s="390"/>
      <c r="AC30" s="390"/>
      <c r="AD30" s="390"/>
      <c r="AE30" s="390"/>
    </row>
    <row r="31" spans="1:31" x14ac:dyDescent="0.25">
      <c r="A31" s="167">
        <f t="shared" si="3"/>
        <v>38503</v>
      </c>
      <c r="B31" s="168">
        <v>53664344</v>
      </c>
      <c r="C31" s="288">
        <v>0</v>
      </c>
      <c r="D31" s="171"/>
      <c r="E31" s="171">
        <f t="shared" si="4"/>
        <v>0</v>
      </c>
      <c r="F31" s="171">
        <f t="shared" si="5"/>
        <v>53664344</v>
      </c>
      <c r="G31" s="222">
        <f t="shared" si="9"/>
        <v>232.2</v>
      </c>
      <c r="H31" s="222">
        <f t="shared" si="9"/>
        <v>3.9</v>
      </c>
      <c r="I31" s="169">
        <v>1</v>
      </c>
      <c r="J31" s="169">
        <v>31</v>
      </c>
      <c r="K31" s="287">
        <v>29</v>
      </c>
      <c r="L31" s="288">
        <v>32300</v>
      </c>
      <c r="M31" s="289">
        <v>131.90996128607298</v>
      </c>
      <c r="N31" s="292">
        <v>336.28800000000001</v>
      </c>
      <c r="O31" s="169">
        <v>178.7</v>
      </c>
      <c r="P31" s="291">
        <v>13.2</v>
      </c>
      <c r="Q31" s="287">
        <f t="shared" si="6"/>
        <v>54853803.130089492</v>
      </c>
      <c r="R31" s="291">
        <f t="shared" si="7"/>
        <v>0</v>
      </c>
      <c r="S31" s="287">
        <f t="shared" si="8"/>
        <v>54853803.130089492</v>
      </c>
      <c r="T31" s="50">
        <f t="shared" si="0"/>
        <v>1189459.1300894916</v>
      </c>
      <c r="U31" s="103">
        <f t="shared" si="1"/>
        <v>2.2164794003435347E-2</v>
      </c>
      <c r="V31" s="13">
        <f t="shared" si="2"/>
        <v>2.2164794003435347E-2</v>
      </c>
      <c r="W31" s="338"/>
      <c r="X31" s="13"/>
      <c r="Y31" s="392" t="s">
        <v>26</v>
      </c>
      <c r="Z31" s="393">
        <v>0.9601681581123962</v>
      </c>
      <c r="AA31" s="390"/>
      <c r="AB31" s="390"/>
      <c r="AC31" s="390"/>
      <c r="AD31" s="390"/>
      <c r="AE31" s="390"/>
    </row>
    <row r="32" spans="1:31" x14ac:dyDescent="0.25">
      <c r="A32" s="167">
        <f t="shared" si="3"/>
        <v>38533</v>
      </c>
      <c r="B32" s="168">
        <v>51111168</v>
      </c>
      <c r="C32" s="288">
        <v>0</v>
      </c>
      <c r="D32" s="171"/>
      <c r="E32" s="171">
        <f t="shared" si="4"/>
        <v>0</v>
      </c>
      <c r="F32" s="171">
        <f t="shared" si="5"/>
        <v>51111168</v>
      </c>
      <c r="G32" s="222">
        <f t="shared" si="9"/>
        <v>101.74</v>
      </c>
      <c r="H32" s="222">
        <f t="shared" si="9"/>
        <v>9.5400000000000009</v>
      </c>
      <c r="I32" s="169">
        <v>0</v>
      </c>
      <c r="J32" s="169">
        <v>30</v>
      </c>
      <c r="K32" s="287">
        <v>30</v>
      </c>
      <c r="L32" s="288">
        <v>32310</v>
      </c>
      <c r="M32" s="289">
        <v>132.20314796642501</v>
      </c>
      <c r="N32" s="292">
        <v>352.08</v>
      </c>
      <c r="O32" s="169">
        <v>178.3</v>
      </c>
      <c r="P32" s="291">
        <v>11.3</v>
      </c>
      <c r="Q32" s="287">
        <f t="shared" si="6"/>
        <v>51334470.636293024</v>
      </c>
      <c r="R32" s="291">
        <f t="shared" si="7"/>
        <v>0</v>
      </c>
      <c r="S32" s="287">
        <f t="shared" si="8"/>
        <v>51334470.636293024</v>
      </c>
      <c r="T32" s="50">
        <f t="shared" si="0"/>
        <v>223302.63629302382</v>
      </c>
      <c r="U32" s="103">
        <f t="shared" si="1"/>
        <v>4.3689597602822108E-3</v>
      </c>
      <c r="V32" s="13">
        <f t="shared" si="2"/>
        <v>4.3689597602822108E-3</v>
      </c>
      <c r="W32" s="338"/>
      <c r="X32" s="13"/>
      <c r="Y32" s="392" t="s">
        <v>27</v>
      </c>
      <c r="Z32" s="393">
        <v>0.95878670694866419</v>
      </c>
      <c r="AA32" s="390"/>
      <c r="AB32" s="390"/>
      <c r="AC32" s="390"/>
      <c r="AD32" s="390"/>
      <c r="AE32" s="390"/>
    </row>
    <row r="33" spans="1:50" x14ac:dyDescent="0.25">
      <c r="A33" s="167">
        <f t="shared" si="3"/>
        <v>38564</v>
      </c>
      <c r="B33" s="168">
        <v>53387012</v>
      </c>
      <c r="C33" s="288">
        <v>0</v>
      </c>
      <c r="D33" s="171"/>
      <c r="E33" s="171">
        <f t="shared" si="4"/>
        <v>0</v>
      </c>
      <c r="F33" s="171">
        <f t="shared" si="5"/>
        <v>53387012</v>
      </c>
      <c r="G33" s="222">
        <f t="shared" si="9"/>
        <v>40.76</v>
      </c>
      <c r="H33" s="222">
        <f t="shared" si="9"/>
        <v>36.08</v>
      </c>
      <c r="I33" s="169">
        <v>0</v>
      </c>
      <c r="J33" s="169">
        <v>31</v>
      </c>
      <c r="K33" s="287">
        <v>31</v>
      </c>
      <c r="L33" s="288">
        <v>32356</v>
      </c>
      <c r="M33" s="289">
        <v>132.49698629149512</v>
      </c>
      <c r="N33" s="292">
        <v>319.92</v>
      </c>
      <c r="O33" s="169">
        <v>176.6</v>
      </c>
      <c r="P33" s="291">
        <v>11.3</v>
      </c>
      <c r="Q33" s="287">
        <f t="shared" si="6"/>
        <v>53189518.739572376</v>
      </c>
      <c r="R33" s="291">
        <f t="shared" si="7"/>
        <v>0</v>
      </c>
      <c r="S33" s="287">
        <f t="shared" si="8"/>
        <v>53189518.739572376</v>
      </c>
      <c r="T33" s="50">
        <f t="shared" si="0"/>
        <v>-197493.26042762399</v>
      </c>
      <c r="U33" s="103">
        <f t="shared" si="1"/>
        <v>-3.6992754048048989E-3</v>
      </c>
      <c r="V33" s="13">
        <f t="shared" si="2"/>
        <v>3.6992754048048989E-3</v>
      </c>
      <c r="W33" s="338"/>
      <c r="X33" s="13"/>
      <c r="Y33" s="392" t="s">
        <v>28</v>
      </c>
      <c r="Z33" s="394">
        <v>2262185.2810427058</v>
      </c>
      <c r="AA33" s="390"/>
      <c r="AB33" s="390"/>
      <c r="AC33" s="390"/>
      <c r="AD33" s="390"/>
      <c r="AE33" s="390"/>
    </row>
    <row r="34" spans="1:50" ht="13.8" thickBot="1" x14ac:dyDescent="0.3">
      <c r="A34" s="167">
        <f t="shared" si="3"/>
        <v>38595</v>
      </c>
      <c r="B34" s="168">
        <v>52102684</v>
      </c>
      <c r="C34" s="288">
        <v>0</v>
      </c>
      <c r="D34" s="171"/>
      <c r="E34" s="171">
        <f t="shared" si="4"/>
        <v>0</v>
      </c>
      <c r="F34" s="171">
        <f t="shared" si="5"/>
        <v>52102684</v>
      </c>
      <c r="G34" s="222">
        <f t="shared" si="9"/>
        <v>42.03</v>
      </c>
      <c r="H34" s="222">
        <f t="shared" si="9"/>
        <v>33.799999999999997</v>
      </c>
      <c r="I34" s="169">
        <v>0</v>
      </c>
      <c r="J34" s="169">
        <v>31</v>
      </c>
      <c r="K34" s="287">
        <v>32</v>
      </c>
      <c r="L34" s="288">
        <v>32376</v>
      </c>
      <c r="M34" s="289">
        <v>132.79147770964664</v>
      </c>
      <c r="N34" s="292">
        <v>351.91199999999998</v>
      </c>
      <c r="O34" s="169">
        <v>175.5</v>
      </c>
      <c r="P34" s="291">
        <v>12.8</v>
      </c>
      <c r="Q34" s="287">
        <f t="shared" si="6"/>
        <v>53098017.104315698</v>
      </c>
      <c r="R34" s="291">
        <f t="shared" si="7"/>
        <v>0</v>
      </c>
      <c r="S34" s="287">
        <f t="shared" si="8"/>
        <v>53098017.104315698</v>
      </c>
      <c r="T34" s="50">
        <f t="shared" si="0"/>
        <v>995333.10431569815</v>
      </c>
      <c r="U34" s="103">
        <f t="shared" si="1"/>
        <v>1.9103298101028694E-2</v>
      </c>
      <c r="V34" s="13">
        <f t="shared" si="2"/>
        <v>1.9103298101028694E-2</v>
      </c>
      <c r="W34" s="338"/>
      <c r="X34" s="13"/>
      <c r="Y34" s="395" t="s">
        <v>29</v>
      </c>
      <c r="Z34" s="395">
        <v>180</v>
      </c>
      <c r="AA34" s="390"/>
      <c r="AB34" s="390"/>
      <c r="AC34" s="390"/>
      <c r="AD34" s="390"/>
      <c r="AE34" s="390"/>
    </row>
    <row r="35" spans="1:50" x14ac:dyDescent="0.25">
      <c r="A35" s="167">
        <f t="shared" si="3"/>
        <v>38625</v>
      </c>
      <c r="B35" s="168">
        <v>49504120</v>
      </c>
      <c r="C35" s="288">
        <v>0</v>
      </c>
      <c r="D35" s="171"/>
      <c r="E35" s="171">
        <f t="shared" si="4"/>
        <v>0</v>
      </c>
      <c r="F35" s="171">
        <f t="shared" si="5"/>
        <v>49504120</v>
      </c>
      <c r="G35" s="222">
        <f t="shared" si="9"/>
        <v>129.35999999999999</v>
      </c>
      <c r="H35" s="222">
        <f t="shared" si="9"/>
        <v>11.58</v>
      </c>
      <c r="I35" s="169">
        <v>1</v>
      </c>
      <c r="J35" s="169">
        <v>30</v>
      </c>
      <c r="K35" s="287">
        <v>33</v>
      </c>
      <c r="L35" s="288">
        <v>32360</v>
      </c>
      <c r="M35" s="289">
        <v>133.08662367246211</v>
      </c>
      <c r="N35" s="292">
        <v>336.24</v>
      </c>
      <c r="O35" s="169">
        <v>174.1</v>
      </c>
      <c r="P35" s="291">
        <v>11.7</v>
      </c>
      <c r="Q35" s="287">
        <f t="shared" si="6"/>
        <v>49795003.098981559</v>
      </c>
      <c r="R35" s="291">
        <f t="shared" si="7"/>
        <v>0</v>
      </c>
      <c r="S35" s="287">
        <f t="shared" si="8"/>
        <v>49795003.098981559</v>
      </c>
      <c r="T35" s="50">
        <f t="shared" ref="T35:T66" si="10">S35-B35</f>
        <v>290883.09898155928</v>
      </c>
      <c r="U35" s="103">
        <f t="shared" ref="U35:U66" si="11">T35/B35</f>
        <v>5.8759371741495311E-3</v>
      </c>
      <c r="V35" s="13">
        <f t="shared" si="2"/>
        <v>5.8759371741495311E-3</v>
      </c>
      <c r="W35" s="338"/>
      <c r="X35" s="13"/>
      <c r="Y35" s="390"/>
      <c r="Z35" s="390"/>
      <c r="AA35" s="390"/>
      <c r="AB35" s="390"/>
      <c r="AC35" s="390"/>
      <c r="AD35" s="390"/>
      <c r="AE35" s="390"/>
    </row>
    <row r="36" spans="1:50" ht="13.8" thickBot="1" x14ac:dyDescent="0.3">
      <c r="A36" s="167">
        <f t="shared" si="3"/>
        <v>38656</v>
      </c>
      <c r="B36" s="168">
        <v>55381484</v>
      </c>
      <c r="C36" s="288">
        <v>0</v>
      </c>
      <c r="D36" s="171"/>
      <c r="E36" s="171">
        <f t="shared" si="4"/>
        <v>0</v>
      </c>
      <c r="F36" s="171">
        <f t="shared" si="5"/>
        <v>55381484</v>
      </c>
      <c r="G36" s="222">
        <f t="shared" si="9"/>
        <v>306.13</v>
      </c>
      <c r="H36" s="222">
        <f t="shared" si="9"/>
        <v>0.47000000000000003</v>
      </c>
      <c r="I36" s="169">
        <v>1</v>
      </c>
      <c r="J36" s="169">
        <v>31</v>
      </c>
      <c r="K36" s="287">
        <v>34</v>
      </c>
      <c r="L36" s="288">
        <v>32400</v>
      </c>
      <c r="M36" s="289">
        <v>133.38242563475035</v>
      </c>
      <c r="N36" s="292">
        <v>319.92</v>
      </c>
      <c r="O36" s="169">
        <v>173.7</v>
      </c>
      <c r="P36" s="291">
        <v>11.2</v>
      </c>
      <c r="Q36" s="287">
        <f t="shared" si="6"/>
        <v>57706961.395323157</v>
      </c>
      <c r="R36" s="291">
        <f t="shared" si="7"/>
        <v>0</v>
      </c>
      <c r="S36" s="287">
        <f t="shared" ref="S36:S67" si="12">+$Z$43+G36*$Z$44+H36*$Z$45+I36*$Z$46+J36*$Z$47+K36*$Z$48+ L36*$Z$49</f>
        <v>57706961.395323157</v>
      </c>
      <c r="T36" s="50">
        <f t="shared" si="10"/>
        <v>2325477.3953231573</v>
      </c>
      <c r="U36" s="103">
        <f t="shared" si="11"/>
        <v>4.1990160381458128E-2</v>
      </c>
      <c r="V36" s="13">
        <f t="shared" si="2"/>
        <v>4.1990160381458128E-2</v>
      </c>
      <c r="W36" s="338"/>
      <c r="X36" s="13"/>
      <c r="Y36" s="390" t="s">
        <v>30</v>
      </c>
      <c r="Z36" s="390"/>
      <c r="AA36" s="390"/>
      <c r="AB36" s="390"/>
      <c r="AC36" s="390"/>
      <c r="AD36" s="390"/>
      <c r="AE36" s="390"/>
    </row>
    <row r="37" spans="1:50" x14ac:dyDescent="0.25">
      <c r="A37" s="167">
        <f t="shared" si="3"/>
        <v>38686</v>
      </c>
      <c r="B37" s="168">
        <v>65851664</v>
      </c>
      <c r="C37" s="288">
        <v>0</v>
      </c>
      <c r="D37" s="171"/>
      <c r="E37" s="171">
        <f t="shared" si="4"/>
        <v>0</v>
      </c>
      <c r="F37" s="171">
        <f t="shared" si="5"/>
        <v>65851664</v>
      </c>
      <c r="G37" s="222">
        <f t="shared" si="9"/>
        <v>480.06200000000001</v>
      </c>
      <c r="H37" s="222">
        <f t="shared" si="9"/>
        <v>0</v>
      </c>
      <c r="I37" s="169">
        <v>1</v>
      </c>
      <c r="J37" s="169">
        <v>30</v>
      </c>
      <c r="K37" s="287">
        <v>35</v>
      </c>
      <c r="L37" s="288">
        <v>32410</v>
      </c>
      <c r="M37" s="289">
        <v>133.67888505455369</v>
      </c>
      <c r="N37" s="292">
        <v>352.08</v>
      </c>
      <c r="O37" s="169">
        <v>173.7</v>
      </c>
      <c r="P37" s="291">
        <v>10.6</v>
      </c>
      <c r="Q37" s="287">
        <f t="shared" si="6"/>
        <v>62665639.144997329</v>
      </c>
      <c r="R37" s="291">
        <f t="shared" si="7"/>
        <v>0</v>
      </c>
      <c r="S37" s="287">
        <f t="shared" si="12"/>
        <v>62665639.144997329</v>
      </c>
      <c r="T37" s="50">
        <f t="shared" si="10"/>
        <v>-3186024.8550026715</v>
      </c>
      <c r="U37" s="103">
        <f t="shared" si="11"/>
        <v>-4.8381842788401998E-2</v>
      </c>
      <c r="V37" s="13">
        <f t="shared" si="2"/>
        <v>4.8381842788401998E-2</v>
      </c>
      <c r="W37" s="338"/>
      <c r="X37" s="13"/>
      <c r="Y37" s="396"/>
      <c r="Z37" s="396" t="s">
        <v>34</v>
      </c>
      <c r="AA37" s="396" t="s">
        <v>35</v>
      </c>
      <c r="AB37" s="396" t="s">
        <v>36</v>
      </c>
      <c r="AC37" s="396" t="s">
        <v>37</v>
      </c>
      <c r="AD37" s="396" t="s">
        <v>38</v>
      </c>
      <c r="AE37" s="390"/>
    </row>
    <row r="38" spans="1:50" x14ac:dyDescent="0.25">
      <c r="A38" s="167">
        <f t="shared" si="3"/>
        <v>38717</v>
      </c>
      <c r="B38" s="168">
        <v>79230244</v>
      </c>
      <c r="C38" s="288">
        <v>0</v>
      </c>
      <c r="D38" s="171"/>
      <c r="E38" s="171">
        <f t="shared" si="4"/>
        <v>0</v>
      </c>
      <c r="F38" s="171">
        <f t="shared" si="5"/>
        <v>79230244</v>
      </c>
      <c r="G38" s="222">
        <f t="shared" si="9"/>
        <v>702.73799999999994</v>
      </c>
      <c r="H38" s="222">
        <f t="shared" si="9"/>
        <v>0</v>
      </c>
      <c r="I38" s="169">
        <v>0</v>
      </c>
      <c r="J38" s="169">
        <v>31</v>
      </c>
      <c r="K38" s="287">
        <v>36</v>
      </c>
      <c r="L38" s="288">
        <v>32415</v>
      </c>
      <c r="M38" s="289">
        <v>133.97600339315525</v>
      </c>
      <c r="N38" s="292">
        <v>319.92</v>
      </c>
      <c r="O38" s="169">
        <v>174.6</v>
      </c>
      <c r="P38" s="291">
        <v>11.3</v>
      </c>
      <c r="Q38" s="287">
        <f t="shared" si="6"/>
        <v>75973577.446608469</v>
      </c>
      <c r="R38" s="291">
        <f t="shared" si="7"/>
        <v>0</v>
      </c>
      <c r="S38" s="287">
        <f t="shared" si="12"/>
        <v>75973577.446608469</v>
      </c>
      <c r="T38" s="50">
        <f t="shared" si="10"/>
        <v>-3256666.5533915311</v>
      </c>
      <c r="U38" s="103">
        <f t="shared" si="11"/>
        <v>-4.1103830923347039E-2</v>
      </c>
      <c r="V38" s="13">
        <f t="shared" si="2"/>
        <v>4.1103830923347039E-2</v>
      </c>
      <c r="W38" s="338"/>
      <c r="X38" s="13"/>
      <c r="Y38" s="392" t="s">
        <v>31</v>
      </c>
      <c r="Z38" s="392">
        <v>6</v>
      </c>
      <c r="AA38" s="392">
        <v>2.13412256520874E+16</v>
      </c>
      <c r="AB38" s="392">
        <v>3556870942014566.5</v>
      </c>
      <c r="AC38" s="392">
        <v>695.04314254479232</v>
      </c>
      <c r="AD38" s="392">
        <v>2.9713677502238217E-118</v>
      </c>
      <c r="AE38" s="390"/>
    </row>
    <row r="39" spans="1:50" x14ac:dyDescent="0.25">
      <c r="A39" s="167">
        <f>EOMONTH(A38,1)</f>
        <v>38748</v>
      </c>
      <c r="B39" s="170">
        <v>76234176</v>
      </c>
      <c r="C39" s="288">
        <f>'CDM Activity'!H21</f>
        <v>20147.711936101357</v>
      </c>
      <c r="D39" s="402">
        <f>'Rate Class Energy Model'!F15</f>
        <v>1.0443992487285263</v>
      </c>
      <c r="E39" s="171">
        <f t="shared" si="4"/>
        <v>21042.255209663021</v>
      </c>
      <c r="F39" s="171">
        <f t="shared" si="5"/>
        <v>76255218.255209669</v>
      </c>
      <c r="G39" s="222">
        <f t="shared" si="9"/>
        <v>824.21</v>
      </c>
      <c r="H39" s="222">
        <f t="shared" si="9"/>
        <v>0</v>
      </c>
      <c r="I39" s="169">
        <v>0</v>
      </c>
      <c r="J39" s="169">
        <v>31</v>
      </c>
      <c r="K39" s="287">
        <v>37</v>
      </c>
      <c r="L39" s="288">
        <v>32395</v>
      </c>
      <c r="M39" s="289">
        <v>134.25197202423305</v>
      </c>
      <c r="N39" s="292">
        <v>336.28800000000001</v>
      </c>
      <c r="O39" s="169">
        <v>174.1</v>
      </c>
      <c r="P39" s="291">
        <v>12.5</v>
      </c>
      <c r="Q39" s="287">
        <f t="shared" si="6"/>
        <v>80516928.562312379</v>
      </c>
      <c r="R39" s="291">
        <f t="shared" si="7"/>
        <v>21042.255209663021</v>
      </c>
      <c r="S39" s="287">
        <f t="shared" si="12"/>
        <v>80516928.562312379</v>
      </c>
      <c r="T39" s="50">
        <f t="shared" si="10"/>
        <v>4282752.5623123795</v>
      </c>
      <c r="U39" s="103">
        <f t="shared" si="11"/>
        <v>5.6178905407364532E-2</v>
      </c>
      <c r="V39" s="13">
        <f t="shared" si="2"/>
        <v>5.6178905407364532E-2</v>
      </c>
      <c r="W39" s="338"/>
      <c r="X39" s="13"/>
      <c r="Y39" s="392" t="s">
        <v>32</v>
      </c>
      <c r="Z39" s="392">
        <v>173</v>
      </c>
      <c r="AA39" s="392">
        <v>885324428517564</v>
      </c>
      <c r="AB39" s="392">
        <v>5117482245766.2656</v>
      </c>
      <c r="AC39" s="392"/>
      <c r="AD39" s="392"/>
      <c r="AE39" s="390"/>
    </row>
    <row r="40" spans="1:50" ht="13.8" thickBot="1" x14ac:dyDescent="0.3">
      <c r="A40" s="167">
        <f t="shared" si="3"/>
        <v>38776</v>
      </c>
      <c r="B40" s="170">
        <v>71202696</v>
      </c>
      <c r="C40" s="288">
        <f>'CDM Activity'!H22</f>
        <v>40295.423872202715</v>
      </c>
      <c r="D40" s="402">
        <f>D39</f>
        <v>1.0443992487285263</v>
      </c>
      <c r="E40" s="171">
        <f t="shared" si="4"/>
        <v>42084.510419326041</v>
      </c>
      <c r="F40" s="171">
        <f t="shared" si="5"/>
        <v>71244780.510419324</v>
      </c>
      <c r="G40" s="222">
        <f t="shared" si="9"/>
        <v>754.11000000000013</v>
      </c>
      <c r="H40" s="222">
        <f t="shared" si="9"/>
        <v>0</v>
      </c>
      <c r="I40" s="169">
        <v>0</v>
      </c>
      <c r="J40" s="169">
        <v>28</v>
      </c>
      <c r="K40" s="287">
        <v>38</v>
      </c>
      <c r="L40" s="288">
        <v>32399</v>
      </c>
      <c r="M40" s="289">
        <v>134.52850910550649</v>
      </c>
      <c r="N40" s="292">
        <v>319.87200000000001</v>
      </c>
      <c r="O40" s="169">
        <v>172.9</v>
      </c>
      <c r="P40" s="291">
        <v>12.6</v>
      </c>
      <c r="Q40" s="287">
        <f t="shared" si="6"/>
        <v>72400233.502972245</v>
      </c>
      <c r="R40" s="291">
        <f t="shared" si="7"/>
        <v>42084.510419326041</v>
      </c>
      <c r="S40" s="287">
        <f t="shared" si="12"/>
        <v>72400233.502972245</v>
      </c>
      <c r="T40" s="50">
        <f t="shared" si="10"/>
        <v>1197537.5029722452</v>
      </c>
      <c r="U40" s="103">
        <f t="shared" si="11"/>
        <v>1.6818710108564502E-2</v>
      </c>
      <c r="V40" s="13">
        <f t="shared" si="2"/>
        <v>1.6818710108564502E-2</v>
      </c>
      <c r="W40" s="338"/>
      <c r="X40" s="13"/>
      <c r="Y40" s="395" t="s">
        <v>12</v>
      </c>
      <c r="Z40" s="395">
        <v>179</v>
      </c>
      <c r="AA40" s="395">
        <v>2.2226550080604964E+16</v>
      </c>
      <c r="AB40" s="395"/>
      <c r="AC40" s="395"/>
      <c r="AD40" s="395"/>
      <c r="AE40" s="390"/>
    </row>
    <row r="41" spans="1:50" ht="13.8" thickBot="1" x14ac:dyDescent="0.3">
      <c r="A41" s="167">
        <f t="shared" si="3"/>
        <v>38807</v>
      </c>
      <c r="B41" s="170">
        <v>70367240</v>
      </c>
      <c r="C41" s="288">
        <f>'CDM Activity'!H23</f>
        <v>60443.135808304069</v>
      </c>
      <c r="D41" s="402">
        <f t="shared" ref="D41:D74" si="13">D40</f>
        <v>1.0443992487285263</v>
      </c>
      <c r="E41" s="171">
        <f t="shared" si="4"/>
        <v>63126.765628989058</v>
      </c>
      <c r="F41" s="171">
        <f t="shared" si="5"/>
        <v>70430366.765628994</v>
      </c>
      <c r="G41" s="222">
        <f t="shared" si="9"/>
        <v>679.39</v>
      </c>
      <c r="H41" s="222">
        <f t="shared" si="9"/>
        <v>0</v>
      </c>
      <c r="I41" s="169">
        <v>1</v>
      </c>
      <c r="J41" s="169">
        <v>31</v>
      </c>
      <c r="K41" s="287">
        <v>39</v>
      </c>
      <c r="L41" s="288">
        <v>32453</v>
      </c>
      <c r="M41" s="289">
        <v>134.80561580788986</v>
      </c>
      <c r="N41" s="292">
        <v>368.28</v>
      </c>
      <c r="O41" s="169">
        <v>172.6</v>
      </c>
      <c r="P41" s="291">
        <v>13.1</v>
      </c>
      <c r="Q41" s="287">
        <f t="shared" si="6"/>
        <v>72198495.773847878</v>
      </c>
      <c r="R41" s="291">
        <f t="shared" si="7"/>
        <v>63126.765628989058</v>
      </c>
      <c r="S41" s="287">
        <f t="shared" si="12"/>
        <v>72198495.773847878</v>
      </c>
      <c r="T41" s="50">
        <f t="shared" si="10"/>
        <v>1831255.773847878</v>
      </c>
      <c r="U41" s="103">
        <f t="shared" si="11"/>
        <v>2.6024266034135744E-2</v>
      </c>
      <c r="V41" s="13">
        <f t="shared" si="2"/>
        <v>2.6024266034135744E-2</v>
      </c>
      <c r="W41" s="338"/>
      <c r="X41" s="13"/>
      <c r="Y41" s="390"/>
      <c r="Z41" s="390"/>
      <c r="AA41" s="390"/>
      <c r="AB41" s="390"/>
      <c r="AC41" s="390"/>
      <c r="AD41" s="390"/>
      <c r="AE41" s="390"/>
    </row>
    <row r="42" spans="1:50" x14ac:dyDescent="0.25">
      <c r="A42" s="167">
        <f t="shared" si="3"/>
        <v>38837</v>
      </c>
      <c r="B42" s="170">
        <v>56652640</v>
      </c>
      <c r="C42" s="288">
        <f>'CDM Activity'!H24</f>
        <v>80590.84774440543</v>
      </c>
      <c r="D42" s="402">
        <f t="shared" si="13"/>
        <v>1.0443992487285263</v>
      </c>
      <c r="E42" s="171">
        <f t="shared" si="4"/>
        <v>84169.020838652083</v>
      </c>
      <c r="F42" s="171">
        <f t="shared" si="5"/>
        <v>56736809.020838656</v>
      </c>
      <c r="G42" s="222">
        <f t="shared" si="9"/>
        <v>427.16999999999996</v>
      </c>
      <c r="H42" s="222">
        <f t="shared" si="9"/>
        <v>0.02</v>
      </c>
      <c r="I42" s="169">
        <v>1</v>
      </c>
      <c r="J42" s="169">
        <v>30</v>
      </c>
      <c r="K42" s="287">
        <v>40</v>
      </c>
      <c r="L42" s="288">
        <v>32445</v>
      </c>
      <c r="M42" s="289">
        <v>135.08329330470943</v>
      </c>
      <c r="N42" s="292">
        <v>303.83999999999997</v>
      </c>
      <c r="O42" s="169">
        <v>173.6</v>
      </c>
      <c r="P42" s="291">
        <v>11.8</v>
      </c>
      <c r="Q42" s="287">
        <f t="shared" si="6"/>
        <v>60458788.577941149</v>
      </c>
      <c r="R42" s="291">
        <f t="shared" si="7"/>
        <v>84169.020838652083</v>
      </c>
      <c r="S42" s="287">
        <f t="shared" si="12"/>
        <v>60458788.577941149</v>
      </c>
      <c r="T42" s="50">
        <f t="shared" si="10"/>
        <v>3806148.5779411495</v>
      </c>
      <c r="U42" s="103">
        <f t="shared" si="11"/>
        <v>6.7183957851587317E-2</v>
      </c>
      <c r="V42" s="13">
        <f t="shared" si="2"/>
        <v>6.7183957851587317E-2</v>
      </c>
      <c r="W42" s="338"/>
      <c r="X42" s="13"/>
      <c r="Y42" s="396"/>
      <c r="Z42" s="396" t="s">
        <v>39</v>
      </c>
      <c r="AA42" s="396" t="s">
        <v>28</v>
      </c>
      <c r="AB42" s="396" t="s">
        <v>40</v>
      </c>
      <c r="AC42" s="396" t="s">
        <v>41</v>
      </c>
      <c r="AD42" s="396" t="s">
        <v>42</v>
      </c>
      <c r="AE42" s="396" t="s">
        <v>43</v>
      </c>
    </row>
    <row r="43" spans="1:50" x14ac:dyDescent="0.25">
      <c r="A43" s="167">
        <f t="shared" si="3"/>
        <v>38868</v>
      </c>
      <c r="B43" s="170">
        <v>52446572</v>
      </c>
      <c r="C43" s="288">
        <f>'CDM Activity'!H25</f>
        <v>100738.55968050679</v>
      </c>
      <c r="D43" s="402">
        <f t="shared" si="13"/>
        <v>1.0443992487285263</v>
      </c>
      <c r="E43" s="171">
        <f t="shared" si="4"/>
        <v>105211.27604831511</v>
      </c>
      <c r="F43" s="171">
        <f t="shared" si="5"/>
        <v>52551783.276048318</v>
      </c>
      <c r="G43" s="222">
        <f t="shared" si="9"/>
        <v>232.2</v>
      </c>
      <c r="H43" s="222">
        <f t="shared" si="9"/>
        <v>3.9</v>
      </c>
      <c r="I43" s="169">
        <v>1</v>
      </c>
      <c r="J43" s="169">
        <v>31</v>
      </c>
      <c r="K43" s="287">
        <v>41</v>
      </c>
      <c r="L43" s="288">
        <v>32425</v>
      </c>
      <c r="M43" s="289">
        <v>135.36154277170829</v>
      </c>
      <c r="N43" s="292">
        <v>351.91199999999998</v>
      </c>
      <c r="O43" s="169">
        <v>175.7</v>
      </c>
      <c r="P43" s="291">
        <v>11.5</v>
      </c>
      <c r="Q43" s="287">
        <f t="shared" si="6"/>
        <v>54760739.685640484</v>
      </c>
      <c r="R43" s="291">
        <f t="shared" si="7"/>
        <v>105211.27604831511</v>
      </c>
      <c r="S43" s="287">
        <f t="shared" si="12"/>
        <v>54760739.685640484</v>
      </c>
      <c r="T43" s="50">
        <f t="shared" si="10"/>
        <v>2314167.6856404841</v>
      </c>
      <c r="U43" s="103">
        <f t="shared" si="11"/>
        <v>4.4124288726448774E-2</v>
      </c>
      <c r="V43" s="13">
        <f t="shared" si="2"/>
        <v>4.4124288726448774E-2</v>
      </c>
      <c r="W43" s="338"/>
      <c r="X43" s="13"/>
      <c r="Y43" s="392" t="s">
        <v>33</v>
      </c>
      <c r="Z43" s="394">
        <v>-205002824.78360298</v>
      </c>
      <c r="AA43" s="394">
        <v>53408516.846013322</v>
      </c>
      <c r="AB43" s="394">
        <v>-3.8383920185363736</v>
      </c>
      <c r="AC43" s="394">
        <v>1.7344998214997899E-4</v>
      </c>
      <c r="AD43" s="394">
        <v>-310419024.47993857</v>
      </c>
      <c r="AE43" s="394">
        <v>-99586625.087267414</v>
      </c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</row>
    <row r="44" spans="1:50" x14ac:dyDescent="0.25">
      <c r="A44" s="167">
        <f t="shared" si="3"/>
        <v>38898</v>
      </c>
      <c r="B44" s="170">
        <v>49917449</v>
      </c>
      <c r="C44" s="288">
        <f>'CDM Activity'!H26</f>
        <v>120886.27161660815</v>
      </c>
      <c r="D44" s="402">
        <f t="shared" si="13"/>
        <v>1.0443992487285263</v>
      </c>
      <c r="E44" s="171">
        <f t="shared" si="4"/>
        <v>126253.53125797813</v>
      </c>
      <c r="F44" s="171">
        <f t="shared" si="5"/>
        <v>50043702.53125798</v>
      </c>
      <c r="G44" s="222">
        <f t="shared" si="9"/>
        <v>101.74</v>
      </c>
      <c r="H44" s="222">
        <f t="shared" si="9"/>
        <v>9.5400000000000009</v>
      </c>
      <c r="I44" s="169">
        <v>0</v>
      </c>
      <c r="J44" s="169">
        <v>30</v>
      </c>
      <c r="K44" s="287">
        <v>42</v>
      </c>
      <c r="L44" s="288">
        <v>32422</v>
      </c>
      <c r="M44" s="289">
        <v>135.64036538705133</v>
      </c>
      <c r="N44" s="292">
        <v>352.08</v>
      </c>
      <c r="O44" s="169">
        <v>178.6</v>
      </c>
      <c r="P44" s="291">
        <v>11.2</v>
      </c>
      <c r="Q44" s="287">
        <f t="shared" si="6"/>
        <v>51160778.631117791</v>
      </c>
      <c r="R44" s="291">
        <f t="shared" si="7"/>
        <v>126253.53125797813</v>
      </c>
      <c r="S44" s="287">
        <f t="shared" si="12"/>
        <v>51160778.631117791</v>
      </c>
      <c r="T44" s="50">
        <f t="shared" si="10"/>
        <v>1243329.6311177909</v>
      </c>
      <c r="U44" s="103">
        <f t="shared" si="11"/>
        <v>2.4907715759228621E-2</v>
      </c>
      <c r="V44" s="13">
        <f t="shared" si="2"/>
        <v>2.4907715759228621E-2</v>
      </c>
      <c r="W44" s="338"/>
      <c r="X44" s="13"/>
      <c r="Y44" s="392" t="s">
        <v>4</v>
      </c>
      <c r="Z44" s="394">
        <v>39019.334174548218</v>
      </c>
      <c r="AA44" s="394">
        <v>792.98327939107196</v>
      </c>
      <c r="AB44" s="394">
        <v>49.20574643706356</v>
      </c>
      <c r="AC44" s="394">
        <v>1.1931864478101449E-103</v>
      </c>
      <c r="AD44" s="394">
        <v>37454.166507055052</v>
      </c>
      <c r="AE44" s="394">
        <v>40584.501842041383</v>
      </c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</row>
    <row r="45" spans="1:50" x14ac:dyDescent="0.25">
      <c r="A45" s="167">
        <f t="shared" si="3"/>
        <v>38929</v>
      </c>
      <c r="B45" s="170">
        <v>53606640</v>
      </c>
      <c r="C45" s="288">
        <f>'CDM Activity'!H27</f>
        <v>141033.98355270951</v>
      </c>
      <c r="D45" s="402">
        <f t="shared" si="13"/>
        <v>1.0443992487285263</v>
      </c>
      <c r="E45" s="171">
        <f t="shared" si="4"/>
        <v>147295.78646764116</v>
      </c>
      <c r="F45" s="171">
        <f t="shared" si="5"/>
        <v>53753935.786467642</v>
      </c>
      <c r="G45" s="222">
        <f t="shared" si="9"/>
        <v>40.76</v>
      </c>
      <c r="H45" s="222">
        <f t="shared" si="9"/>
        <v>36.08</v>
      </c>
      <c r="I45" s="169">
        <v>0</v>
      </c>
      <c r="J45" s="169">
        <v>31</v>
      </c>
      <c r="K45" s="287">
        <v>43</v>
      </c>
      <c r="L45" s="288">
        <v>32399</v>
      </c>
      <c r="M45" s="289">
        <v>135.9197623313303</v>
      </c>
      <c r="N45" s="292">
        <v>319.92</v>
      </c>
      <c r="O45" s="169">
        <v>180.2</v>
      </c>
      <c r="P45" s="291">
        <v>12.6</v>
      </c>
      <c r="Q45" s="287">
        <f t="shared" si="6"/>
        <v>52587875.142850399</v>
      </c>
      <c r="R45" s="291">
        <f t="shared" si="7"/>
        <v>147295.78646764116</v>
      </c>
      <c r="S45" s="287">
        <f t="shared" si="12"/>
        <v>52587875.142850399</v>
      </c>
      <c r="T45" s="50">
        <f t="shared" si="10"/>
        <v>-1018764.857149601</v>
      </c>
      <c r="U45" s="103">
        <f t="shared" si="11"/>
        <v>-1.9004452753420116E-2</v>
      </c>
      <c r="V45" s="13">
        <f t="shared" si="2"/>
        <v>1.9004452753420116E-2</v>
      </c>
      <c r="W45" s="338"/>
      <c r="X45" s="13"/>
      <c r="Y45" s="392" t="s">
        <v>5</v>
      </c>
      <c r="Z45" s="394">
        <v>84534.484065417681</v>
      </c>
      <c r="AA45" s="394">
        <v>14731.730653024801</v>
      </c>
      <c r="AB45" s="394">
        <v>5.7382588683197646</v>
      </c>
      <c r="AC45" s="394">
        <v>4.1961677930249377E-8</v>
      </c>
      <c r="AD45" s="394">
        <v>55457.416359730007</v>
      </c>
      <c r="AE45" s="394">
        <v>113611.55177110535</v>
      </c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</row>
    <row r="46" spans="1:50" x14ac:dyDescent="0.25">
      <c r="A46" s="167">
        <f t="shared" si="3"/>
        <v>38960</v>
      </c>
      <c r="B46" s="170">
        <v>51038392</v>
      </c>
      <c r="C46" s="288">
        <f>'CDM Activity'!H28</f>
        <v>161181.69548881086</v>
      </c>
      <c r="D46" s="402">
        <f t="shared" si="13"/>
        <v>1.0443992487285263</v>
      </c>
      <c r="E46" s="171">
        <f t="shared" si="4"/>
        <v>168338.04167730417</v>
      </c>
      <c r="F46" s="171">
        <f t="shared" si="5"/>
        <v>51206730.041677304</v>
      </c>
      <c r="G46" s="222">
        <f t="shared" si="9"/>
        <v>42.03</v>
      </c>
      <c r="H46" s="222">
        <f t="shared" si="9"/>
        <v>33.799999999999997</v>
      </c>
      <c r="I46" s="169">
        <v>0</v>
      </c>
      <c r="J46" s="169">
        <v>31</v>
      </c>
      <c r="K46" s="287">
        <v>44</v>
      </c>
      <c r="L46" s="288">
        <v>32410</v>
      </c>
      <c r="M46" s="289">
        <v>136.19973478756879</v>
      </c>
      <c r="N46" s="292">
        <v>351.91199999999998</v>
      </c>
      <c r="O46" s="169">
        <v>180.4</v>
      </c>
      <c r="P46" s="291">
        <v>12.9</v>
      </c>
      <c r="Q46" s="287">
        <f t="shared" si="6"/>
        <v>52440553.734783232</v>
      </c>
      <c r="R46" s="291">
        <f t="shared" si="7"/>
        <v>168338.04167730417</v>
      </c>
      <c r="S46" s="287">
        <f t="shared" si="12"/>
        <v>52440553.734783232</v>
      </c>
      <c r="T46" s="50">
        <f t="shared" si="10"/>
        <v>1402161.7347832322</v>
      </c>
      <c r="U46" s="103">
        <f t="shared" si="11"/>
        <v>2.7472686341357154E-2</v>
      </c>
      <c r="V46" s="13">
        <f t="shared" si="2"/>
        <v>2.7472686341357154E-2</v>
      </c>
      <c r="W46" s="338"/>
      <c r="X46" s="13"/>
      <c r="Y46" s="392" t="s">
        <v>22</v>
      </c>
      <c r="Z46" s="394">
        <v>-2882657.2269487963</v>
      </c>
      <c r="AA46" s="394">
        <v>389102.46959981299</v>
      </c>
      <c r="AB46" s="394">
        <v>-7.4084783628168003</v>
      </c>
      <c r="AC46" s="394">
        <v>5.4001097014281127E-12</v>
      </c>
      <c r="AD46" s="394">
        <v>-3650656.5285570566</v>
      </c>
      <c r="AE46" s="394">
        <v>-2114657.9253405361</v>
      </c>
      <c r="AH46" s="117"/>
      <c r="AI46" s="117"/>
      <c r="AJ46" s="117"/>
      <c r="AK46" s="117"/>
      <c r="AL46" s="117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</row>
    <row r="47" spans="1:50" x14ac:dyDescent="0.25">
      <c r="A47" s="167">
        <f t="shared" si="3"/>
        <v>38990</v>
      </c>
      <c r="B47" s="170">
        <v>49455772</v>
      </c>
      <c r="C47" s="288">
        <f>'CDM Activity'!H29</f>
        <v>181329.40742491221</v>
      </c>
      <c r="D47" s="402">
        <f t="shared" si="13"/>
        <v>1.0443992487285263</v>
      </c>
      <c r="E47" s="171">
        <f t="shared" si="4"/>
        <v>189380.29688696717</v>
      </c>
      <c r="F47" s="171">
        <f t="shared" si="5"/>
        <v>49645152.296886966</v>
      </c>
      <c r="G47" s="222">
        <f t="shared" si="9"/>
        <v>129.35999999999999</v>
      </c>
      <c r="H47" s="222">
        <f t="shared" si="9"/>
        <v>11.58</v>
      </c>
      <c r="I47" s="169">
        <v>1</v>
      </c>
      <c r="J47" s="169">
        <v>30</v>
      </c>
      <c r="K47" s="287">
        <v>45</v>
      </c>
      <c r="L47" s="288">
        <v>32415</v>
      </c>
      <c r="M47" s="289">
        <v>136.48028394122719</v>
      </c>
      <c r="N47" s="292">
        <v>319.68</v>
      </c>
      <c r="O47" s="169">
        <v>176.2</v>
      </c>
      <c r="P47" s="291">
        <v>13.7</v>
      </c>
      <c r="Q47" s="287">
        <f t="shared" si="6"/>
        <v>49267785.866006821</v>
      </c>
      <c r="R47" s="291">
        <f t="shared" si="7"/>
        <v>189380.29688696717</v>
      </c>
      <c r="S47" s="287">
        <f t="shared" si="12"/>
        <v>49267785.866006821</v>
      </c>
      <c r="T47" s="50">
        <f t="shared" si="10"/>
        <v>-187986.13399317861</v>
      </c>
      <c r="U47" s="103">
        <f t="shared" si="11"/>
        <v>-3.8010959366518151E-3</v>
      </c>
      <c r="V47" s="13">
        <f t="shared" si="2"/>
        <v>3.8010959366518151E-3</v>
      </c>
      <c r="W47" s="338"/>
      <c r="X47" s="13"/>
      <c r="Y47" s="392" t="s">
        <v>6</v>
      </c>
      <c r="Z47" s="394">
        <v>1777962.3386840052</v>
      </c>
      <c r="AA47" s="394">
        <v>215143.60194962117</v>
      </c>
      <c r="AB47" s="394">
        <v>8.2640725662868633</v>
      </c>
      <c r="AC47" s="394">
        <v>3.5552274440327123E-14</v>
      </c>
      <c r="AD47" s="394">
        <v>1353318.063841104</v>
      </c>
      <c r="AE47" s="394">
        <v>2202606.6135269064</v>
      </c>
      <c r="AH47" s="33"/>
      <c r="AI47" s="33"/>
      <c r="AJ47" s="33"/>
      <c r="AK47" s="33"/>
      <c r="AL47" s="33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</row>
    <row r="48" spans="1:50" x14ac:dyDescent="0.25">
      <c r="A48" s="167">
        <f t="shared" si="3"/>
        <v>39021</v>
      </c>
      <c r="B48" s="170">
        <v>58920568</v>
      </c>
      <c r="C48" s="288">
        <f>'CDM Activity'!H30</f>
        <v>201477.11936101355</v>
      </c>
      <c r="D48" s="402">
        <f t="shared" si="13"/>
        <v>1.0443992487285263</v>
      </c>
      <c r="E48" s="171">
        <f t="shared" si="4"/>
        <v>210422.55209663018</v>
      </c>
      <c r="F48" s="171">
        <f t="shared" si="5"/>
        <v>59130990.552096628</v>
      </c>
      <c r="G48" s="222">
        <f t="shared" si="9"/>
        <v>306.13</v>
      </c>
      <c r="H48" s="222">
        <f t="shared" si="9"/>
        <v>0.47000000000000003</v>
      </c>
      <c r="I48" s="169">
        <v>1</v>
      </c>
      <c r="J48" s="169">
        <v>31</v>
      </c>
      <c r="K48" s="287">
        <v>46</v>
      </c>
      <c r="L48" s="288">
        <v>32423</v>
      </c>
      <c r="M48" s="289">
        <v>136.76141098020776</v>
      </c>
      <c r="N48" s="292">
        <v>336.28800000000001</v>
      </c>
      <c r="O48" s="169">
        <v>174.8</v>
      </c>
      <c r="P48" s="291">
        <v>12.5</v>
      </c>
      <c r="Q48" s="287">
        <f t="shared" si="6"/>
        <v>56981273.859022379</v>
      </c>
      <c r="R48" s="291">
        <f t="shared" si="7"/>
        <v>210422.55209663018</v>
      </c>
      <c r="S48" s="287">
        <f t="shared" si="12"/>
        <v>56981273.859022379</v>
      </c>
      <c r="T48" s="50">
        <f t="shared" si="10"/>
        <v>-1939294.1409776211</v>
      </c>
      <c r="U48" s="103">
        <f t="shared" si="11"/>
        <v>-3.2913704107156959E-2</v>
      </c>
      <c r="V48" s="13">
        <f t="shared" si="2"/>
        <v>3.2913704107156959E-2</v>
      </c>
      <c r="W48" s="338"/>
      <c r="X48" s="13"/>
      <c r="Y48" s="392" t="s">
        <v>325</v>
      </c>
      <c r="Z48" s="394">
        <v>-72361.505568031294</v>
      </c>
      <c r="AA48" s="394">
        <v>15187.741370185611</v>
      </c>
      <c r="AB48" s="394">
        <v>-4.7644678562989613</v>
      </c>
      <c r="AC48" s="394">
        <v>3.9921681185855152E-6</v>
      </c>
      <c r="AD48" s="394">
        <v>-102338.63415656451</v>
      </c>
      <c r="AE48" s="394">
        <v>-42384.376979498084</v>
      </c>
      <c r="AH48" s="102"/>
      <c r="AI48" s="102"/>
      <c r="AJ48" s="102"/>
      <c r="AK48" s="102"/>
      <c r="AL48" s="102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</row>
    <row r="49" spans="1:50" ht="13.8" thickBot="1" x14ac:dyDescent="0.3">
      <c r="A49" s="167">
        <f t="shared" si="3"/>
        <v>39051</v>
      </c>
      <c r="B49" s="170">
        <v>63979576</v>
      </c>
      <c r="C49" s="288">
        <f>'CDM Activity'!H31</f>
        <v>221624.8312971149</v>
      </c>
      <c r="D49" s="402">
        <f t="shared" si="13"/>
        <v>1.0443992487285263</v>
      </c>
      <c r="E49" s="171">
        <f t="shared" si="4"/>
        <v>231464.80730629319</v>
      </c>
      <c r="F49" s="171">
        <f t="shared" si="5"/>
        <v>64211040.80730629</v>
      </c>
      <c r="G49" s="222">
        <f t="shared" si="9"/>
        <v>480.06200000000001</v>
      </c>
      <c r="H49" s="222">
        <f t="shared" si="9"/>
        <v>0</v>
      </c>
      <c r="I49" s="169">
        <v>1</v>
      </c>
      <c r="J49" s="169">
        <v>30</v>
      </c>
      <c r="K49" s="287">
        <v>47</v>
      </c>
      <c r="L49" s="288">
        <v>32436</v>
      </c>
      <c r="M49" s="289">
        <v>137.04311709485967</v>
      </c>
      <c r="N49" s="292">
        <v>352.08</v>
      </c>
      <c r="O49" s="169">
        <v>173</v>
      </c>
      <c r="P49" s="291">
        <v>12.4</v>
      </c>
      <c r="Q49" s="287">
        <f t="shared" si="6"/>
        <v>61958558.19963333</v>
      </c>
      <c r="R49" s="291">
        <f t="shared" si="7"/>
        <v>231464.80730629319</v>
      </c>
      <c r="S49" s="287">
        <f t="shared" si="12"/>
        <v>61958558.19963333</v>
      </c>
      <c r="T49" s="50">
        <f t="shared" si="10"/>
        <v>-2021017.8003666699</v>
      </c>
      <c r="U49" s="103">
        <f t="shared" si="11"/>
        <v>-3.1588483805623686E-2</v>
      </c>
      <c r="V49" s="13">
        <f t="shared" si="2"/>
        <v>3.1588483805623686E-2</v>
      </c>
      <c r="W49" s="338"/>
      <c r="X49" s="13"/>
      <c r="Y49" s="395" t="s">
        <v>102</v>
      </c>
      <c r="Z49" s="397">
        <v>6202.1969789388477</v>
      </c>
      <c r="AA49" s="397">
        <v>1655.3725725871955</v>
      </c>
      <c r="AB49" s="397">
        <v>3.7467075881566547</v>
      </c>
      <c r="AC49" s="397">
        <v>2.4388199386463257E-4</v>
      </c>
      <c r="AD49" s="397">
        <v>2934.8700432964788</v>
      </c>
      <c r="AE49" s="397">
        <v>9469.5239145812156</v>
      </c>
      <c r="AH49" s="102"/>
      <c r="AI49" s="102"/>
      <c r="AJ49" s="102"/>
      <c r="AK49" s="102"/>
      <c r="AL49" s="102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</row>
    <row r="50" spans="1:50" x14ac:dyDescent="0.25">
      <c r="A50" s="167">
        <f t="shared" si="3"/>
        <v>39082</v>
      </c>
      <c r="B50" s="170">
        <v>74271612</v>
      </c>
      <c r="C50" s="288">
        <f>'CDM Activity'!H32</f>
        <v>241772.54323321625</v>
      </c>
      <c r="D50" s="402">
        <f t="shared" si="13"/>
        <v>1.0443992487285263</v>
      </c>
      <c r="E50" s="171">
        <f t="shared" si="4"/>
        <v>252507.0625159562</v>
      </c>
      <c r="F50" s="171">
        <f t="shared" si="5"/>
        <v>74524119.062515959</v>
      </c>
      <c r="G50" s="222">
        <f t="shared" si="9"/>
        <v>702.73799999999994</v>
      </c>
      <c r="H50" s="222">
        <f t="shared" si="9"/>
        <v>0</v>
      </c>
      <c r="I50" s="169">
        <v>0</v>
      </c>
      <c r="J50" s="169">
        <v>31</v>
      </c>
      <c r="K50" s="287">
        <v>48</v>
      </c>
      <c r="L50" s="288">
        <v>32453</v>
      </c>
      <c r="M50" s="289">
        <v>137.32540347798411</v>
      </c>
      <c r="N50" s="292">
        <v>304.29599999999999</v>
      </c>
      <c r="O50" s="169">
        <v>174.8</v>
      </c>
      <c r="P50" s="291">
        <v>11.3</v>
      </c>
      <c r="Q50" s="287">
        <f t="shared" si="6"/>
        <v>75340922.864991754</v>
      </c>
      <c r="R50" s="291">
        <f t="shared" si="7"/>
        <v>252507.0625159562</v>
      </c>
      <c r="S50" s="287">
        <f t="shared" si="12"/>
        <v>75340922.864991754</v>
      </c>
      <c r="T50" s="50">
        <f t="shared" si="10"/>
        <v>1069310.8649917543</v>
      </c>
      <c r="U50" s="103">
        <f t="shared" si="11"/>
        <v>1.4397302498184021E-2</v>
      </c>
      <c r="V50" s="13">
        <f t="shared" si="2"/>
        <v>1.4397302498184021E-2</v>
      </c>
      <c r="W50" s="338"/>
      <c r="X50" s="13"/>
      <c r="AH50" s="102"/>
      <c r="AI50" s="102"/>
      <c r="AJ50" s="102"/>
      <c r="AK50" s="102"/>
      <c r="AL50" s="102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</row>
    <row r="51" spans="1:50" x14ac:dyDescent="0.25">
      <c r="A51" s="167">
        <f>EOMONTH(A50,1)</f>
        <v>39113</v>
      </c>
      <c r="B51" s="170">
        <v>78292016</v>
      </c>
      <c r="C51" s="288">
        <f>'CDM Activity'!H33</f>
        <v>262929.37637663796</v>
      </c>
      <c r="D51" s="402">
        <f>'Rate Class Energy Model'!F16</f>
        <v>1.0517138274108369</v>
      </c>
      <c r="E51" s="171">
        <f t="shared" si="4"/>
        <v>276526.46076781838</v>
      </c>
      <c r="F51" s="171">
        <f t="shared" si="5"/>
        <v>78568542.46076782</v>
      </c>
      <c r="G51" s="222">
        <f t="shared" si="9"/>
        <v>824.21</v>
      </c>
      <c r="H51" s="222">
        <f t="shared" si="9"/>
        <v>0</v>
      </c>
      <c r="I51" s="169">
        <v>0</v>
      </c>
      <c r="J51" s="169">
        <v>31</v>
      </c>
      <c r="K51" s="287">
        <v>49</v>
      </c>
      <c r="L51" s="288">
        <v>32399</v>
      </c>
      <c r="M51" s="289">
        <v>137.552207546647</v>
      </c>
      <c r="N51" s="292">
        <v>351.91199999999998</v>
      </c>
      <c r="O51" s="169">
        <v>174.6</v>
      </c>
      <c r="P51" s="291">
        <v>12</v>
      </c>
      <c r="Q51" s="287">
        <f t="shared" si="6"/>
        <v>79673399.283411771</v>
      </c>
      <c r="R51" s="291">
        <f t="shared" si="7"/>
        <v>276526.46076781838</v>
      </c>
      <c r="S51" s="287">
        <f t="shared" si="12"/>
        <v>79673399.283411771</v>
      </c>
      <c r="T51" s="50">
        <f t="shared" si="10"/>
        <v>1381383.2834117711</v>
      </c>
      <c r="U51" s="103">
        <f t="shared" si="11"/>
        <v>1.7643986628365416E-2</v>
      </c>
      <c r="V51" s="13">
        <f t="shared" si="2"/>
        <v>1.7643986628365416E-2</v>
      </c>
      <c r="W51" s="338"/>
      <c r="X51" s="13"/>
      <c r="AH51" s="102"/>
      <c r="AI51" s="102"/>
      <c r="AJ51" s="102"/>
      <c r="AK51" s="102"/>
      <c r="AL51" s="102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</row>
    <row r="52" spans="1:50" x14ac:dyDescent="0.25">
      <c r="A52" s="167">
        <f t="shared" si="3"/>
        <v>39141</v>
      </c>
      <c r="B52" s="170">
        <v>75583244</v>
      </c>
      <c r="C52" s="288">
        <f>'CDM Activity'!H34</f>
        <v>284086.2095200597</v>
      </c>
      <c r="D52" s="402">
        <f t="shared" si="13"/>
        <v>1.0517138274108369</v>
      </c>
      <c r="E52" s="171">
        <f t="shared" si="4"/>
        <v>298777.39472897892</v>
      </c>
      <c r="F52" s="171">
        <f t="shared" si="5"/>
        <v>75882021.394728974</v>
      </c>
      <c r="G52" s="222">
        <f t="shared" si="9"/>
        <v>754.11000000000013</v>
      </c>
      <c r="H52" s="222">
        <f t="shared" si="9"/>
        <v>0</v>
      </c>
      <c r="I52" s="169">
        <v>0</v>
      </c>
      <c r="J52" s="169">
        <v>28</v>
      </c>
      <c r="K52" s="287">
        <v>50</v>
      </c>
      <c r="L52" s="288">
        <v>32404</v>
      </c>
      <c r="M52" s="289">
        <v>137.77938620066888</v>
      </c>
      <c r="N52" s="292">
        <v>319.87200000000001</v>
      </c>
      <c r="O52" s="169">
        <v>174.3</v>
      </c>
      <c r="P52" s="291">
        <v>12</v>
      </c>
      <c r="Q52" s="287">
        <f t="shared" si="6"/>
        <v>71562906.421050563</v>
      </c>
      <c r="R52" s="291">
        <f t="shared" si="7"/>
        <v>298777.39472897892</v>
      </c>
      <c r="S52" s="287">
        <f t="shared" si="12"/>
        <v>71562906.421050563</v>
      </c>
      <c r="T52" s="50">
        <f t="shared" si="10"/>
        <v>-4020337.5789494365</v>
      </c>
      <c r="U52" s="103">
        <f t="shared" si="11"/>
        <v>-5.3190857737588457E-2</v>
      </c>
      <c r="V52" s="13">
        <f t="shared" si="2"/>
        <v>5.3190857737588457E-2</v>
      </c>
      <c r="W52" s="338"/>
      <c r="X52" s="13"/>
      <c r="Y52" t="s">
        <v>326</v>
      </c>
      <c r="AK52" s="102"/>
      <c r="AL52" s="102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</row>
    <row r="53" spans="1:50" ht="13.8" thickBot="1" x14ac:dyDescent="0.3">
      <c r="A53" s="167">
        <f t="shared" si="3"/>
        <v>39172</v>
      </c>
      <c r="B53" s="170">
        <v>71668468</v>
      </c>
      <c r="C53" s="288">
        <f>'CDM Activity'!H35</f>
        <v>305243.04266348144</v>
      </c>
      <c r="D53" s="402">
        <f t="shared" si="13"/>
        <v>1.0517138274108369</v>
      </c>
      <c r="E53" s="171">
        <f t="shared" si="4"/>
        <v>321028.3286901394</v>
      </c>
      <c r="F53" s="171">
        <f t="shared" si="5"/>
        <v>71989496.328690141</v>
      </c>
      <c r="G53" s="222">
        <f t="shared" si="9"/>
        <v>679.39</v>
      </c>
      <c r="H53" s="222">
        <f t="shared" si="9"/>
        <v>0</v>
      </c>
      <c r="I53" s="169">
        <v>1</v>
      </c>
      <c r="J53" s="169">
        <v>31</v>
      </c>
      <c r="K53" s="287">
        <v>51</v>
      </c>
      <c r="L53" s="288">
        <v>32410</v>
      </c>
      <c r="M53" s="289">
        <v>138.00694005870795</v>
      </c>
      <c r="N53" s="292">
        <v>351.91199999999998</v>
      </c>
      <c r="O53" s="169">
        <v>174.9</v>
      </c>
      <c r="P53" s="291">
        <v>12.4</v>
      </c>
      <c r="Q53" s="287">
        <f t="shared" si="6"/>
        <v>71063463.23693715</v>
      </c>
      <c r="R53" s="291">
        <f t="shared" si="7"/>
        <v>321028.3286901394</v>
      </c>
      <c r="S53" s="287">
        <f t="shared" si="12"/>
        <v>71063463.23693715</v>
      </c>
      <c r="T53" s="50">
        <f t="shared" si="10"/>
        <v>-605004.76306284964</v>
      </c>
      <c r="U53" s="103">
        <f t="shared" si="11"/>
        <v>-8.4417147449398471E-3</v>
      </c>
      <c r="V53" s="13">
        <f t="shared" si="2"/>
        <v>8.4417147449398471E-3</v>
      </c>
      <c r="W53" s="338"/>
      <c r="X53" s="13"/>
      <c r="AK53" s="102"/>
      <c r="AL53" s="102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</row>
    <row r="54" spans="1:50" x14ac:dyDescent="0.25">
      <c r="A54" s="167">
        <f t="shared" si="3"/>
        <v>39202</v>
      </c>
      <c r="B54" s="170">
        <v>60506916</v>
      </c>
      <c r="C54" s="288">
        <f>'CDM Activity'!H36</f>
        <v>326399.87580690318</v>
      </c>
      <c r="D54" s="402">
        <f t="shared" si="13"/>
        <v>1.0517138274108369</v>
      </c>
      <c r="E54" s="171">
        <f t="shared" si="4"/>
        <v>343279.26265129994</v>
      </c>
      <c r="F54" s="171">
        <f t="shared" si="5"/>
        <v>60850195.262651302</v>
      </c>
      <c r="G54" s="222">
        <f t="shared" si="9"/>
        <v>427.16999999999996</v>
      </c>
      <c r="H54" s="222">
        <f t="shared" si="9"/>
        <v>0.02</v>
      </c>
      <c r="I54" s="169">
        <v>1</v>
      </c>
      <c r="J54" s="169">
        <v>30</v>
      </c>
      <c r="K54" s="287">
        <v>52</v>
      </c>
      <c r="L54" s="288">
        <v>32393</v>
      </c>
      <c r="M54" s="289">
        <v>138.23486974044414</v>
      </c>
      <c r="N54" s="292">
        <v>319.68</v>
      </c>
      <c r="O54" s="169">
        <v>176.5</v>
      </c>
      <c r="P54" s="291">
        <v>12</v>
      </c>
      <c r="Q54" s="287">
        <f t="shared" si="6"/>
        <v>59267936.268219948</v>
      </c>
      <c r="R54" s="291">
        <f t="shared" si="7"/>
        <v>343279.26265129994</v>
      </c>
      <c r="S54" s="287">
        <f t="shared" si="12"/>
        <v>59267936.268219948</v>
      </c>
      <c r="T54" s="50">
        <f t="shared" si="10"/>
        <v>-1238979.7317800522</v>
      </c>
      <c r="U54" s="103">
        <f t="shared" si="11"/>
        <v>-2.047666306079874E-2</v>
      </c>
      <c r="V54" s="13">
        <f t="shared" si="2"/>
        <v>2.047666306079874E-2</v>
      </c>
      <c r="W54" s="338"/>
      <c r="X54" s="13"/>
      <c r="Y54" s="36" t="s">
        <v>327</v>
      </c>
      <c r="Z54" s="36"/>
      <c r="AK54" s="102"/>
      <c r="AL54" s="102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</row>
    <row r="55" spans="1:50" x14ac:dyDescent="0.25">
      <c r="A55" s="167">
        <f t="shared" si="3"/>
        <v>39233</v>
      </c>
      <c r="B55" s="170">
        <v>51273936</v>
      </c>
      <c r="C55" s="288">
        <f>'CDM Activity'!H37</f>
        <v>347556.70895032492</v>
      </c>
      <c r="D55" s="402">
        <f t="shared" si="13"/>
        <v>1.0517138274108369</v>
      </c>
      <c r="E55" s="171">
        <f t="shared" si="4"/>
        <v>365530.19661246048</v>
      </c>
      <c r="F55" s="171">
        <f t="shared" si="5"/>
        <v>51639466.196612462</v>
      </c>
      <c r="G55" s="222">
        <f t="shared" si="9"/>
        <v>232.2</v>
      </c>
      <c r="H55" s="222">
        <f t="shared" si="9"/>
        <v>3.9</v>
      </c>
      <c r="I55" s="169">
        <v>1</v>
      </c>
      <c r="J55" s="169">
        <v>31</v>
      </c>
      <c r="K55" s="287">
        <v>53</v>
      </c>
      <c r="L55" s="288">
        <v>32375</v>
      </c>
      <c r="M55" s="289">
        <v>138.46317586658083</v>
      </c>
      <c r="N55" s="292">
        <v>351.91199999999998</v>
      </c>
      <c r="O55" s="169">
        <v>180.9</v>
      </c>
      <c r="P55" s="291">
        <v>11.1</v>
      </c>
      <c r="Q55" s="287">
        <f t="shared" si="6"/>
        <v>53582291.769877136</v>
      </c>
      <c r="R55" s="291">
        <f t="shared" si="7"/>
        <v>365530.19661246048</v>
      </c>
      <c r="S55" s="287">
        <f t="shared" si="12"/>
        <v>53582291.769877136</v>
      </c>
      <c r="T55" s="50">
        <f t="shared" si="10"/>
        <v>2308355.7698771358</v>
      </c>
      <c r="U55" s="103">
        <f t="shared" si="11"/>
        <v>4.502006184735137E-2</v>
      </c>
      <c r="V55" s="13">
        <f t="shared" si="2"/>
        <v>4.502006184735137E-2</v>
      </c>
      <c r="W55" s="338"/>
      <c r="X55" s="13"/>
      <c r="Y55" s="33" t="s">
        <v>328</v>
      </c>
      <c r="Z55" s="33">
        <v>0.97988170618314752</v>
      </c>
      <c r="AK55" s="102"/>
      <c r="AL55" s="102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</row>
    <row r="56" spans="1:50" x14ac:dyDescent="0.25">
      <c r="A56" s="167">
        <f t="shared" si="3"/>
        <v>39263</v>
      </c>
      <c r="B56" s="170">
        <v>50644216</v>
      </c>
      <c r="C56" s="288">
        <f>'CDM Activity'!H38</f>
        <v>368713.54209374666</v>
      </c>
      <c r="D56" s="402">
        <f t="shared" si="13"/>
        <v>1.0517138274108369</v>
      </c>
      <c r="E56" s="171">
        <f t="shared" si="4"/>
        <v>387781.13057362102</v>
      </c>
      <c r="F56" s="171">
        <f t="shared" si="5"/>
        <v>51031997.130573623</v>
      </c>
      <c r="G56" s="222">
        <f t="shared" si="9"/>
        <v>101.74</v>
      </c>
      <c r="H56" s="222">
        <f t="shared" si="9"/>
        <v>9.5400000000000009</v>
      </c>
      <c r="I56" s="169">
        <v>0</v>
      </c>
      <c r="J56" s="169">
        <v>30</v>
      </c>
      <c r="K56" s="287">
        <v>54</v>
      </c>
      <c r="L56" s="288">
        <v>32366</v>
      </c>
      <c r="M56" s="289">
        <v>138.69185905884657</v>
      </c>
      <c r="N56" s="292">
        <v>336.24</v>
      </c>
      <c r="O56" s="169">
        <v>182.1</v>
      </c>
      <c r="P56" s="291">
        <v>10.9</v>
      </c>
      <c r="Q56" s="287">
        <f t="shared" si="6"/>
        <v>49945117.533480853</v>
      </c>
      <c r="R56" s="291">
        <f t="shared" si="7"/>
        <v>387781.13057362102</v>
      </c>
      <c r="S56" s="287">
        <f t="shared" si="12"/>
        <v>49945117.533480853</v>
      </c>
      <c r="T56" s="50">
        <f t="shared" si="10"/>
        <v>-699098.46651914716</v>
      </c>
      <c r="U56" s="103">
        <f t="shared" si="11"/>
        <v>-1.3804112724721559E-2</v>
      </c>
      <c r="V56" s="13">
        <f t="shared" si="2"/>
        <v>1.3804112724721559E-2</v>
      </c>
      <c r="W56" s="338"/>
      <c r="X56" s="13"/>
      <c r="Y56" s="33" t="s">
        <v>329</v>
      </c>
      <c r="Z56" s="33">
        <v>0.9601681581123962</v>
      </c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</row>
    <row r="57" spans="1:50" x14ac:dyDescent="0.25">
      <c r="A57" s="167">
        <f t="shared" si="3"/>
        <v>39294</v>
      </c>
      <c r="B57" s="170">
        <v>51622068</v>
      </c>
      <c r="C57" s="288">
        <f>'CDM Activity'!H39</f>
        <v>389870.37523716839</v>
      </c>
      <c r="D57" s="402">
        <f t="shared" si="13"/>
        <v>1.0517138274108369</v>
      </c>
      <c r="E57" s="171">
        <f t="shared" si="4"/>
        <v>410032.0645347815</v>
      </c>
      <c r="F57" s="171">
        <f t="shared" si="5"/>
        <v>52032100.064534783</v>
      </c>
      <c r="G57" s="222">
        <f t="shared" si="9"/>
        <v>40.76</v>
      </c>
      <c r="H57" s="222">
        <f t="shared" si="9"/>
        <v>36.08</v>
      </c>
      <c r="I57" s="169">
        <v>0</v>
      </c>
      <c r="J57" s="169">
        <v>31</v>
      </c>
      <c r="K57" s="287">
        <v>55</v>
      </c>
      <c r="L57" s="288">
        <v>32389</v>
      </c>
      <c r="M57" s="289">
        <v>138.92091993999671</v>
      </c>
      <c r="N57" s="292">
        <v>336.28800000000001</v>
      </c>
      <c r="O57" s="169">
        <v>182.7</v>
      </c>
      <c r="P57" s="291">
        <v>11.7</v>
      </c>
      <c r="Q57" s="287">
        <f t="shared" si="6"/>
        <v>51657515.106244624</v>
      </c>
      <c r="R57" s="291">
        <f t="shared" si="7"/>
        <v>410032.0645347815</v>
      </c>
      <c r="S57" s="287">
        <f t="shared" si="12"/>
        <v>51657515.106244624</v>
      </c>
      <c r="T57" s="50">
        <f t="shared" si="10"/>
        <v>35447.106244623661</v>
      </c>
      <c r="U57" s="103">
        <f t="shared" si="11"/>
        <v>6.8666575396831566E-4</v>
      </c>
      <c r="V57" s="13">
        <f t="shared" si="2"/>
        <v>6.8666575396831566E-4</v>
      </c>
      <c r="W57" s="338"/>
      <c r="X57" s="13"/>
      <c r="Y57" s="33" t="s">
        <v>329</v>
      </c>
      <c r="Z57" s="33">
        <v>0.95878670694866419</v>
      </c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</row>
    <row r="58" spans="1:50" x14ac:dyDescent="0.25">
      <c r="A58" s="167">
        <f t="shared" si="3"/>
        <v>39325</v>
      </c>
      <c r="B58" s="170">
        <v>51764316</v>
      </c>
      <c r="C58" s="288">
        <f>'CDM Activity'!H40</f>
        <v>411027.20838059013</v>
      </c>
      <c r="D58" s="402">
        <f t="shared" si="13"/>
        <v>1.0517138274108369</v>
      </c>
      <c r="E58" s="171">
        <f t="shared" si="4"/>
        <v>432282.99849594204</v>
      </c>
      <c r="F58" s="171">
        <f t="shared" si="5"/>
        <v>52196598.998495944</v>
      </c>
      <c r="G58" s="222">
        <f t="shared" si="9"/>
        <v>42.03</v>
      </c>
      <c r="H58" s="222">
        <f t="shared" si="9"/>
        <v>33.799999999999997</v>
      </c>
      <c r="I58" s="169">
        <v>0</v>
      </c>
      <c r="J58" s="169">
        <v>31</v>
      </c>
      <c r="K58" s="287">
        <v>56</v>
      </c>
      <c r="L58" s="288">
        <v>32395</v>
      </c>
      <c r="M58" s="289">
        <v>139.15035913381516</v>
      </c>
      <c r="N58" s="292">
        <v>351.91199999999998</v>
      </c>
      <c r="O58" s="169">
        <v>180.2</v>
      </c>
      <c r="P58" s="291">
        <v>13.3</v>
      </c>
      <c r="Q58" s="287">
        <f t="shared" si="6"/>
        <v>51479182.713282764</v>
      </c>
      <c r="R58" s="291">
        <f t="shared" si="7"/>
        <v>432282.99849594204</v>
      </c>
      <c r="S58" s="287">
        <f t="shared" si="12"/>
        <v>51479182.713282764</v>
      </c>
      <c r="T58" s="50">
        <f t="shared" si="10"/>
        <v>-285133.28671723604</v>
      </c>
      <c r="U58" s="103">
        <f t="shared" si="11"/>
        <v>-5.5082981627195852E-3</v>
      </c>
      <c r="V58" s="13">
        <f t="shared" si="2"/>
        <v>5.5082981627195852E-3</v>
      </c>
      <c r="W58" s="338"/>
      <c r="X58" s="13"/>
      <c r="Y58" s="33" t="s">
        <v>330</v>
      </c>
      <c r="Z58" s="33">
        <v>2262185.2810427058</v>
      </c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</row>
    <row r="59" spans="1:50" ht="13.8" thickBot="1" x14ac:dyDescent="0.3">
      <c r="A59" s="167">
        <f t="shared" si="3"/>
        <v>39355</v>
      </c>
      <c r="B59" s="170">
        <v>48836864</v>
      </c>
      <c r="C59" s="288">
        <f>'CDM Activity'!H41</f>
        <v>432184.04152401187</v>
      </c>
      <c r="D59" s="402">
        <f t="shared" si="13"/>
        <v>1.0517138274108369</v>
      </c>
      <c r="E59" s="171">
        <f t="shared" si="4"/>
        <v>454533.93245710258</v>
      </c>
      <c r="F59" s="171">
        <f t="shared" si="5"/>
        <v>49291397.932457104</v>
      </c>
      <c r="G59" s="222">
        <f t="shared" si="9"/>
        <v>129.35999999999999</v>
      </c>
      <c r="H59" s="222">
        <f t="shared" si="9"/>
        <v>11.58</v>
      </c>
      <c r="I59" s="169">
        <v>1</v>
      </c>
      <c r="J59" s="169">
        <v>30</v>
      </c>
      <c r="K59" s="287">
        <v>57</v>
      </c>
      <c r="L59" s="288">
        <v>32450</v>
      </c>
      <c r="M59" s="289">
        <v>139.38017726511606</v>
      </c>
      <c r="N59" s="292">
        <v>303.83999999999997</v>
      </c>
      <c r="O59" s="169">
        <v>179</v>
      </c>
      <c r="P59" s="291">
        <v>13.5</v>
      </c>
      <c r="Q59" s="287">
        <f t="shared" si="6"/>
        <v>48616524.693453312</v>
      </c>
      <c r="R59" s="291">
        <f t="shared" si="7"/>
        <v>454533.93245710258</v>
      </c>
      <c r="S59" s="287">
        <f t="shared" si="12"/>
        <v>48616524.693453312</v>
      </c>
      <c r="T59" s="50">
        <f t="shared" si="10"/>
        <v>-220339.30654668808</v>
      </c>
      <c r="U59" s="103">
        <f t="shared" si="11"/>
        <v>-4.5117415104026348E-3</v>
      </c>
      <c r="V59" s="13">
        <f t="shared" si="2"/>
        <v>4.5117415104026348E-3</v>
      </c>
      <c r="W59" s="338"/>
      <c r="X59" s="13"/>
      <c r="Y59" s="34" t="s">
        <v>29</v>
      </c>
      <c r="Z59" s="34">
        <v>180</v>
      </c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</row>
    <row r="60" spans="1:50" x14ac:dyDescent="0.25">
      <c r="A60" s="167">
        <f t="shared" si="3"/>
        <v>39386</v>
      </c>
      <c r="B60" s="170">
        <v>54192940</v>
      </c>
      <c r="C60" s="288">
        <f>'CDM Activity'!H42</f>
        <v>453340.87466743361</v>
      </c>
      <c r="D60" s="402">
        <f t="shared" si="13"/>
        <v>1.0517138274108369</v>
      </c>
      <c r="E60" s="171">
        <f t="shared" si="4"/>
        <v>476784.86641826312</v>
      </c>
      <c r="F60" s="171">
        <f t="shared" si="5"/>
        <v>54669724.866418265</v>
      </c>
      <c r="G60" s="222">
        <f t="shared" si="9"/>
        <v>306.13</v>
      </c>
      <c r="H60" s="222">
        <f t="shared" si="9"/>
        <v>0.47000000000000003</v>
      </c>
      <c r="I60" s="169">
        <v>1</v>
      </c>
      <c r="J60" s="169">
        <v>31</v>
      </c>
      <c r="K60" s="287">
        <v>58</v>
      </c>
      <c r="L60" s="288">
        <v>32485</v>
      </c>
      <c r="M60" s="289">
        <v>139.61037495974546</v>
      </c>
      <c r="N60" s="292">
        <v>351.91199999999998</v>
      </c>
      <c r="O60" s="169">
        <v>179.1</v>
      </c>
      <c r="P60" s="291">
        <v>12.3</v>
      </c>
      <c r="Q60" s="287">
        <f t="shared" si="6"/>
        <v>56497472.004900217</v>
      </c>
      <c r="R60" s="291">
        <f t="shared" si="7"/>
        <v>476784.86641826312</v>
      </c>
      <c r="S60" s="287">
        <f t="shared" si="12"/>
        <v>56497472.004900217</v>
      </c>
      <c r="T60" s="50">
        <f t="shared" si="10"/>
        <v>2304532.0049002171</v>
      </c>
      <c r="U60" s="103">
        <f t="shared" si="11"/>
        <v>4.2524579860406489E-2</v>
      </c>
      <c r="V60" s="13">
        <f t="shared" si="2"/>
        <v>4.2524579860406489E-2</v>
      </c>
      <c r="W60" s="338"/>
      <c r="X60" s="13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</row>
    <row r="61" spans="1:50" ht="13.8" thickBot="1" x14ac:dyDescent="0.3">
      <c r="A61" s="167">
        <f t="shared" si="3"/>
        <v>39416</v>
      </c>
      <c r="B61" s="170">
        <v>65729492</v>
      </c>
      <c r="C61" s="288">
        <f>'CDM Activity'!H43</f>
        <v>474497.70781085535</v>
      </c>
      <c r="D61" s="402">
        <f t="shared" si="13"/>
        <v>1.0517138274108369</v>
      </c>
      <c r="E61" s="171">
        <f t="shared" si="4"/>
        <v>499035.8003794236</v>
      </c>
      <c r="F61" s="171">
        <f t="shared" si="5"/>
        <v>66228527.800379425</v>
      </c>
      <c r="G61" s="222">
        <f t="shared" si="9"/>
        <v>480.06200000000001</v>
      </c>
      <c r="H61" s="222">
        <f t="shared" si="9"/>
        <v>0</v>
      </c>
      <c r="I61" s="169">
        <v>1</v>
      </c>
      <c r="J61" s="169">
        <v>30</v>
      </c>
      <c r="K61" s="287">
        <v>59</v>
      </c>
      <c r="L61" s="288">
        <v>32507</v>
      </c>
      <c r="M61" s="289">
        <v>139.84095284458306</v>
      </c>
      <c r="N61" s="292">
        <v>352.08</v>
      </c>
      <c r="O61" s="169">
        <v>180.5</v>
      </c>
      <c r="P61" s="291">
        <v>10.3</v>
      </c>
      <c r="Q61" s="287">
        <f t="shared" si="6"/>
        <v>61530576.118321598</v>
      </c>
      <c r="R61" s="291">
        <f t="shared" si="7"/>
        <v>499035.8003794236</v>
      </c>
      <c r="S61" s="287">
        <f t="shared" si="12"/>
        <v>61530576.118321598</v>
      </c>
      <c r="T61" s="50">
        <f t="shared" si="10"/>
        <v>-4198915.8816784024</v>
      </c>
      <c r="U61" s="103">
        <f t="shared" si="11"/>
        <v>-6.3881763785400961E-2</v>
      </c>
      <c r="V61" s="13">
        <f t="shared" si="2"/>
        <v>6.3881763785400961E-2</v>
      </c>
      <c r="W61" s="338"/>
      <c r="X61" s="13"/>
      <c r="Y61" t="s">
        <v>331</v>
      </c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</row>
    <row r="62" spans="1:50" x14ac:dyDescent="0.25">
      <c r="A62" s="167">
        <f t="shared" si="3"/>
        <v>39447</v>
      </c>
      <c r="B62" s="170">
        <v>77979100</v>
      </c>
      <c r="C62" s="288">
        <f>'CDM Activity'!H44</f>
        <v>495654.54095427709</v>
      </c>
      <c r="D62" s="402">
        <f t="shared" si="13"/>
        <v>1.0517138274108369</v>
      </c>
      <c r="E62" s="171">
        <f t="shared" si="4"/>
        <v>521286.73434058414</v>
      </c>
      <c r="F62" s="171">
        <f t="shared" si="5"/>
        <v>78500386.734340578</v>
      </c>
      <c r="G62" s="222">
        <f t="shared" si="9"/>
        <v>702.73799999999994</v>
      </c>
      <c r="H62" s="222">
        <f t="shared" si="9"/>
        <v>0</v>
      </c>
      <c r="I62" s="169">
        <v>0</v>
      </c>
      <c r="J62" s="169">
        <v>31</v>
      </c>
      <c r="K62" s="287">
        <v>60</v>
      </c>
      <c r="L62" s="288">
        <v>32536</v>
      </c>
      <c r="M62" s="289">
        <v>140.07191154754381</v>
      </c>
      <c r="N62" s="292">
        <v>304.29599999999999</v>
      </c>
      <c r="O62" s="169">
        <v>181.7</v>
      </c>
      <c r="P62" s="291">
        <v>10.6</v>
      </c>
      <c r="Q62" s="287">
        <f t="shared" si="6"/>
        <v>74987367.147427306</v>
      </c>
      <c r="R62" s="291">
        <f t="shared" si="7"/>
        <v>521286.73434058414</v>
      </c>
      <c r="S62" s="287">
        <f t="shared" si="12"/>
        <v>74987367.147427306</v>
      </c>
      <c r="T62" s="50">
        <f t="shared" si="10"/>
        <v>-2991732.8525726944</v>
      </c>
      <c r="U62" s="103">
        <f t="shared" si="11"/>
        <v>-3.8365829466776281E-2</v>
      </c>
      <c r="V62" s="13">
        <f t="shared" si="2"/>
        <v>3.8365829466776281E-2</v>
      </c>
      <c r="W62" s="338"/>
      <c r="X62" s="13"/>
      <c r="Y62" s="35"/>
      <c r="Z62" s="35" t="s">
        <v>335</v>
      </c>
      <c r="AA62" s="35" t="s">
        <v>336</v>
      </c>
      <c r="AB62" s="35" t="s">
        <v>337</v>
      </c>
      <c r="AC62" s="35" t="s">
        <v>37</v>
      </c>
      <c r="AD62" s="35" t="s">
        <v>338</v>
      </c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</row>
    <row r="63" spans="1:50" x14ac:dyDescent="0.25">
      <c r="A63" s="167">
        <f t="shared" si="3"/>
        <v>39478</v>
      </c>
      <c r="B63" s="171">
        <v>79006867</v>
      </c>
      <c r="C63" s="288">
        <f>'CDM Activity'!H45</f>
        <v>504346.77588558081</v>
      </c>
      <c r="D63" s="402">
        <f>'Rate Class Energy Model'!F17</f>
        <v>1.0425888821121767</v>
      </c>
      <c r="E63" s="171">
        <f t="shared" si="4"/>
        <v>525826.34126742824</v>
      </c>
      <c r="F63" s="171">
        <f t="shared" si="5"/>
        <v>79532693.341267422</v>
      </c>
      <c r="G63" s="222">
        <f t="shared" si="9"/>
        <v>824.21</v>
      </c>
      <c r="H63" s="222">
        <f t="shared" si="9"/>
        <v>0</v>
      </c>
      <c r="I63" s="169">
        <v>0</v>
      </c>
      <c r="J63" s="169">
        <v>31</v>
      </c>
      <c r="K63" s="287">
        <v>61</v>
      </c>
      <c r="L63" s="288">
        <v>32538</v>
      </c>
      <c r="M63" s="289">
        <v>139.96642175819056</v>
      </c>
      <c r="N63" s="292">
        <v>352</v>
      </c>
      <c r="O63" s="169">
        <v>181</v>
      </c>
      <c r="P63" s="291">
        <v>10.8</v>
      </c>
      <c r="Q63" s="287">
        <f t="shared" si="6"/>
        <v>79667166.596667886</v>
      </c>
      <c r="R63" s="291">
        <f t="shared" si="7"/>
        <v>525826.34126742824</v>
      </c>
      <c r="S63" s="287">
        <f t="shared" si="12"/>
        <v>79667166.596667886</v>
      </c>
      <c r="T63" s="50">
        <f t="shared" si="10"/>
        <v>660299.59666788578</v>
      </c>
      <c r="U63" s="103">
        <f t="shared" si="11"/>
        <v>8.3574962752020754E-3</v>
      </c>
      <c r="V63" s="13">
        <f t="shared" si="2"/>
        <v>8.3574962752020754E-3</v>
      </c>
      <c r="W63" s="338"/>
      <c r="X63" s="13"/>
      <c r="Y63" s="33" t="s">
        <v>332</v>
      </c>
      <c r="Z63" s="33">
        <v>6</v>
      </c>
      <c r="AA63" s="33">
        <v>2.13412256520874E+16</v>
      </c>
      <c r="AB63" s="33">
        <v>3556870942014566.5</v>
      </c>
      <c r="AC63" s="33">
        <v>695.04314254479232</v>
      </c>
      <c r="AD63" s="33">
        <v>2.9713677502238217E-118</v>
      </c>
    </row>
    <row r="64" spans="1:50" x14ac:dyDescent="0.25">
      <c r="A64" s="167">
        <f t="shared" si="3"/>
        <v>39507</v>
      </c>
      <c r="B64" s="171">
        <v>75126905</v>
      </c>
      <c r="C64" s="288">
        <f>'CDM Activity'!H46</f>
        <v>513039.01081688452</v>
      </c>
      <c r="D64" s="402">
        <f t="shared" si="13"/>
        <v>1.0425888821121767</v>
      </c>
      <c r="E64" s="171">
        <f t="shared" si="4"/>
        <v>534888.76876751252</v>
      </c>
      <c r="F64" s="171">
        <f t="shared" si="5"/>
        <v>75661793.768767506</v>
      </c>
      <c r="G64" s="222">
        <f t="shared" si="9"/>
        <v>754.11000000000013</v>
      </c>
      <c r="H64" s="222">
        <f t="shared" si="9"/>
        <v>0</v>
      </c>
      <c r="I64" s="169">
        <v>0</v>
      </c>
      <c r="J64" s="169">
        <v>29</v>
      </c>
      <c r="K64" s="287">
        <v>62</v>
      </c>
      <c r="L64" s="288">
        <v>32549</v>
      </c>
      <c r="M64" s="289">
        <v>139.86101141442734</v>
      </c>
      <c r="N64" s="292">
        <v>320</v>
      </c>
      <c r="O64" s="169">
        <v>180.7</v>
      </c>
      <c r="P64" s="291">
        <v>12.3</v>
      </c>
      <c r="Q64" s="287">
        <f t="shared" si="6"/>
        <v>73371849.254864305</v>
      </c>
      <c r="R64" s="291">
        <f t="shared" si="7"/>
        <v>534888.76876751252</v>
      </c>
      <c r="S64" s="287">
        <f t="shared" si="12"/>
        <v>73371849.254864305</v>
      </c>
      <c r="T64" s="50">
        <f t="shared" si="10"/>
        <v>-1755055.7451356947</v>
      </c>
      <c r="U64" s="103">
        <f t="shared" si="11"/>
        <v>-2.3361214536066603E-2</v>
      </c>
      <c r="V64" s="13">
        <f t="shared" si="2"/>
        <v>2.3361214536066603E-2</v>
      </c>
      <c r="W64" s="338"/>
      <c r="X64" s="13"/>
      <c r="Y64" s="33" t="s">
        <v>333</v>
      </c>
      <c r="Z64" s="33">
        <v>173</v>
      </c>
      <c r="AA64" s="33">
        <v>885324428517564</v>
      </c>
      <c r="AB64" s="33">
        <v>5117482245766.2656</v>
      </c>
      <c r="AC64" s="33"/>
      <c r="AD64" s="33"/>
    </row>
    <row r="65" spans="1:56" ht="13.8" thickBot="1" x14ac:dyDescent="0.3">
      <c r="A65" s="167">
        <f t="shared" si="3"/>
        <v>39538</v>
      </c>
      <c r="B65" s="171">
        <v>74573962</v>
      </c>
      <c r="C65" s="288">
        <f>'CDM Activity'!H47</f>
        <v>521731.24574818823</v>
      </c>
      <c r="D65" s="402">
        <f t="shared" si="13"/>
        <v>1.0425888821121767</v>
      </c>
      <c r="E65" s="171">
        <f t="shared" si="4"/>
        <v>543951.19626759691</v>
      </c>
      <c r="F65" s="171">
        <f t="shared" si="5"/>
        <v>75117913.19626759</v>
      </c>
      <c r="G65" s="222">
        <f t="shared" si="9"/>
        <v>679.39</v>
      </c>
      <c r="H65" s="222">
        <f t="shared" si="9"/>
        <v>0</v>
      </c>
      <c r="I65" s="169">
        <v>1</v>
      </c>
      <c r="J65" s="169">
        <v>31</v>
      </c>
      <c r="K65" s="287">
        <v>63</v>
      </c>
      <c r="L65" s="288">
        <v>32544</v>
      </c>
      <c r="M65" s="289">
        <v>139.75568045642274</v>
      </c>
      <c r="N65" s="292">
        <v>304</v>
      </c>
      <c r="O65" s="169">
        <v>179.4</v>
      </c>
      <c r="P65" s="291">
        <v>13.5</v>
      </c>
      <c r="Q65" s="287">
        <f t="shared" si="6"/>
        <v>71026219.565298557</v>
      </c>
      <c r="R65" s="291">
        <f t="shared" si="7"/>
        <v>543951.19626759691</v>
      </c>
      <c r="S65" s="287">
        <f t="shared" si="12"/>
        <v>71026219.565298557</v>
      </c>
      <c r="T65" s="50">
        <f t="shared" si="10"/>
        <v>-3547742.4347014427</v>
      </c>
      <c r="U65" s="103">
        <f t="shared" si="11"/>
        <v>-4.7573473898321811E-2</v>
      </c>
      <c r="V65" s="13">
        <f t="shared" si="2"/>
        <v>4.7573473898321811E-2</v>
      </c>
      <c r="W65" s="338"/>
      <c r="X65" s="13"/>
      <c r="Y65" s="34" t="s">
        <v>12</v>
      </c>
      <c r="Z65" s="34">
        <v>179</v>
      </c>
      <c r="AA65" s="34">
        <v>2.2226550080604964E+16</v>
      </c>
      <c r="AB65" s="34"/>
      <c r="AC65" s="34"/>
      <c r="AD65" s="34"/>
    </row>
    <row r="66" spans="1:56" ht="13.8" thickBot="1" x14ac:dyDescent="0.3">
      <c r="A66" s="167">
        <f t="shared" si="3"/>
        <v>39568</v>
      </c>
      <c r="B66" s="171">
        <v>58751936</v>
      </c>
      <c r="C66" s="288">
        <f>'CDM Activity'!H48</f>
        <v>530423.48067949188</v>
      </c>
      <c r="D66" s="402">
        <f t="shared" si="13"/>
        <v>1.0425888821121767</v>
      </c>
      <c r="E66" s="171">
        <f t="shared" si="4"/>
        <v>553013.62376768119</v>
      </c>
      <c r="F66" s="171">
        <f t="shared" si="5"/>
        <v>59304949.623767681</v>
      </c>
      <c r="G66" s="222">
        <f t="shared" si="9"/>
        <v>427.16999999999996</v>
      </c>
      <c r="H66" s="222">
        <f t="shared" si="9"/>
        <v>0.02</v>
      </c>
      <c r="I66" s="169">
        <v>1</v>
      </c>
      <c r="J66" s="169">
        <v>30</v>
      </c>
      <c r="K66" s="287">
        <v>64</v>
      </c>
      <c r="L66" s="288">
        <v>32526</v>
      </c>
      <c r="M66" s="289">
        <v>139.65042882439042</v>
      </c>
      <c r="N66" s="292">
        <v>352</v>
      </c>
      <c r="O66" s="169">
        <v>178.9</v>
      </c>
      <c r="P66" s="291">
        <v>15.5</v>
      </c>
      <c r="Q66" s="287">
        <f t="shared" si="6"/>
        <v>59224490.399602443</v>
      </c>
      <c r="R66" s="291">
        <f t="shared" si="7"/>
        <v>553013.62376768119</v>
      </c>
      <c r="S66" s="287">
        <f t="shared" si="12"/>
        <v>59224490.399602443</v>
      </c>
      <c r="T66" s="50">
        <f t="shared" si="10"/>
        <v>472554.39960244298</v>
      </c>
      <c r="U66" s="103">
        <f t="shared" si="11"/>
        <v>8.0432140925950583E-3</v>
      </c>
      <c r="V66" s="13">
        <f t="shared" si="2"/>
        <v>8.0432140925950583E-3</v>
      </c>
      <c r="W66" s="338"/>
      <c r="X66" s="13"/>
    </row>
    <row r="67" spans="1:56" x14ac:dyDescent="0.25">
      <c r="A67" s="167">
        <f t="shared" si="3"/>
        <v>39599</v>
      </c>
      <c r="B67" s="171">
        <v>53931566</v>
      </c>
      <c r="C67" s="288">
        <f>'CDM Activity'!H49</f>
        <v>539115.71561079554</v>
      </c>
      <c r="D67" s="402">
        <f t="shared" si="13"/>
        <v>1.0425888821121767</v>
      </c>
      <c r="E67" s="171">
        <f t="shared" si="4"/>
        <v>562076.05126776546</v>
      </c>
      <c r="F67" s="171">
        <f t="shared" si="5"/>
        <v>54493642.051267765</v>
      </c>
      <c r="G67" s="222">
        <f t="shared" si="9"/>
        <v>232.2</v>
      </c>
      <c r="H67" s="222">
        <f t="shared" si="9"/>
        <v>3.9</v>
      </c>
      <c r="I67" s="169">
        <v>1</v>
      </c>
      <c r="J67" s="169">
        <v>31</v>
      </c>
      <c r="K67" s="287">
        <v>65</v>
      </c>
      <c r="L67" s="288">
        <v>32565</v>
      </c>
      <c r="M67" s="289">
        <v>139.54525645858905</v>
      </c>
      <c r="N67" s="292">
        <v>336</v>
      </c>
      <c r="O67" s="169">
        <v>181.6</v>
      </c>
      <c r="P67" s="291">
        <v>15.5</v>
      </c>
      <c r="Q67" s="287">
        <f t="shared" si="6"/>
        <v>53892371.129059166</v>
      </c>
      <c r="R67" s="291">
        <f t="shared" si="7"/>
        <v>562076.05126776546</v>
      </c>
      <c r="S67" s="287">
        <f t="shared" si="12"/>
        <v>53892371.129059166</v>
      </c>
      <c r="T67" s="50">
        <f t="shared" ref="T67:T98" si="14">S67-B67</f>
        <v>-39194.870940834284</v>
      </c>
      <c r="U67" s="103">
        <f t="shared" ref="U67:U98" si="15">T67/B67</f>
        <v>-7.267519534076627E-4</v>
      </c>
      <c r="V67" s="13">
        <f t="shared" ref="V67:V130" si="16">ABS(U67)</f>
        <v>7.267519534076627E-4</v>
      </c>
      <c r="W67" s="338"/>
      <c r="X67" s="13"/>
      <c r="Y67" s="35"/>
      <c r="Z67" s="35" t="s">
        <v>39</v>
      </c>
      <c r="AA67" s="35" t="s">
        <v>330</v>
      </c>
      <c r="AB67" s="35" t="s">
        <v>339</v>
      </c>
      <c r="AC67" s="35" t="s">
        <v>340</v>
      </c>
      <c r="AD67" s="35" t="s">
        <v>341</v>
      </c>
      <c r="AE67" s="35" t="s">
        <v>342</v>
      </c>
      <c r="AF67" s="35" t="s">
        <v>343</v>
      </c>
      <c r="AG67" s="35" t="s">
        <v>344</v>
      </c>
    </row>
    <row r="68" spans="1:56" x14ac:dyDescent="0.25">
      <c r="A68" s="167">
        <f t="shared" ref="A68:A131" si="17">EOMONTH(A67,1)</f>
        <v>39629</v>
      </c>
      <c r="B68" s="171">
        <v>48466638</v>
      </c>
      <c r="C68" s="288">
        <f>'CDM Activity'!H50</f>
        <v>547807.95054209919</v>
      </c>
      <c r="D68" s="402">
        <f t="shared" si="13"/>
        <v>1.0425888821121767</v>
      </c>
      <c r="E68" s="171">
        <f t="shared" ref="E68:E131" si="18">C68*D68</f>
        <v>571138.47876784974</v>
      </c>
      <c r="F68" s="171">
        <f t="shared" ref="F68:F131" si="19">B68+E68</f>
        <v>49037776.47876785</v>
      </c>
      <c r="G68" s="222">
        <f t="shared" si="9"/>
        <v>101.74</v>
      </c>
      <c r="H68" s="222">
        <f t="shared" si="9"/>
        <v>9.5400000000000009</v>
      </c>
      <c r="I68" s="169">
        <v>0</v>
      </c>
      <c r="J68" s="169">
        <v>30</v>
      </c>
      <c r="K68" s="287">
        <v>66</v>
      </c>
      <c r="L68" s="288">
        <v>32555</v>
      </c>
      <c r="M68" s="289">
        <v>139.44016329932234</v>
      </c>
      <c r="N68" s="292">
        <v>336</v>
      </c>
      <c r="O68" s="169">
        <v>186.6</v>
      </c>
      <c r="P68" s="291">
        <v>13.8</v>
      </c>
      <c r="Q68" s="287">
        <f t="shared" ref="Q68:Q131" si="20">+$Z$43+G68*$Z$44+H68*$Z$45+I68*$Z$46+J68*$Z$47+K68*$Z$48+ L68*$Z$49</f>
        <v>50248994.695683926</v>
      </c>
      <c r="R68" s="291">
        <f t="shared" ref="R68:R131" si="21">E68</f>
        <v>571138.47876784974</v>
      </c>
      <c r="S68" s="287">
        <f t="shared" ref="S68:S99" si="22">+$Z$43+G68*$Z$44+H68*$Z$45+I68*$Z$46+J68*$Z$47+K68*$Z$48+ L68*$Z$49</f>
        <v>50248994.695683926</v>
      </c>
      <c r="T68" s="50">
        <f t="shared" si="14"/>
        <v>1782356.6956839263</v>
      </c>
      <c r="U68" s="103">
        <f t="shared" si="15"/>
        <v>3.677491918634683E-2</v>
      </c>
      <c r="V68" s="13">
        <f t="shared" si="16"/>
        <v>3.677491918634683E-2</v>
      </c>
      <c r="W68" s="338"/>
      <c r="X68" s="13"/>
      <c r="Y68" s="33" t="s">
        <v>334</v>
      </c>
      <c r="Z68" s="33">
        <v>-205002824.78360298</v>
      </c>
      <c r="AA68" s="33">
        <v>53408516.846013322</v>
      </c>
      <c r="AB68" s="33">
        <v>-3.8383920185363736</v>
      </c>
      <c r="AC68" s="33">
        <v>1.7344998214997899E-4</v>
      </c>
      <c r="AD68" s="33">
        <v>-310419024.47993857</v>
      </c>
      <c r="AE68" s="33">
        <v>-99586625.087267414</v>
      </c>
      <c r="AF68" s="33">
        <v>-310419024.47993857</v>
      </c>
      <c r="AG68" s="33">
        <v>-99586625.087267414</v>
      </c>
    </row>
    <row r="69" spans="1:56" x14ac:dyDescent="0.25">
      <c r="A69" s="167">
        <f t="shared" si="17"/>
        <v>39660</v>
      </c>
      <c r="B69" s="171">
        <v>50725082</v>
      </c>
      <c r="C69" s="288">
        <f>'CDM Activity'!H51</f>
        <v>556500.18547340285</v>
      </c>
      <c r="D69" s="402">
        <f t="shared" si="13"/>
        <v>1.0425888821121767</v>
      </c>
      <c r="E69" s="171">
        <f t="shared" si="18"/>
        <v>580200.90626793413</v>
      </c>
      <c r="F69" s="171">
        <f t="shared" si="19"/>
        <v>51305282.906267934</v>
      </c>
      <c r="G69" s="222">
        <f t="shared" si="9"/>
        <v>40.76</v>
      </c>
      <c r="H69" s="222">
        <f t="shared" si="9"/>
        <v>36.08</v>
      </c>
      <c r="I69" s="169">
        <v>0</v>
      </c>
      <c r="J69" s="169">
        <v>31</v>
      </c>
      <c r="K69" s="287">
        <v>67</v>
      </c>
      <c r="L69" s="288">
        <v>32552</v>
      </c>
      <c r="M69" s="289">
        <v>139.3351492869389</v>
      </c>
      <c r="N69" s="292">
        <v>352</v>
      </c>
      <c r="O69" s="169">
        <v>189.4</v>
      </c>
      <c r="P69" s="291">
        <v>12.7</v>
      </c>
      <c r="Q69" s="287">
        <f t="shared" si="20"/>
        <v>51800135.146995276</v>
      </c>
      <c r="R69" s="291">
        <f t="shared" si="21"/>
        <v>580200.90626793413</v>
      </c>
      <c r="S69" s="287">
        <f t="shared" si="22"/>
        <v>51800135.146995276</v>
      </c>
      <c r="T69" s="50">
        <f t="shared" si="14"/>
        <v>1075053.1469952762</v>
      </c>
      <c r="U69" s="103">
        <f t="shared" si="15"/>
        <v>2.1193719253036914E-2</v>
      </c>
      <c r="V69" s="13">
        <f t="shared" si="16"/>
        <v>2.1193719253036914E-2</v>
      </c>
      <c r="W69" s="338"/>
      <c r="X69" s="13"/>
      <c r="Y69" s="33" t="s">
        <v>4</v>
      </c>
      <c r="Z69" s="33">
        <v>39019.334174548218</v>
      </c>
      <c r="AA69" s="33">
        <v>792.98327939107196</v>
      </c>
      <c r="AB69" s="33">
        <v>49.20574643706356</v>
      </c>
      <c r="AC69" s="33">
        <v>1.1931864478101449E-103</v>
      </c>
      <c r="AD69" s="33">
        <v>37454.166507055052</v>
      </c>
      <c r="AE69" s="33">
        <v>40584.501842041383</v>
      </c>
      <c r="AF69" s="33">
        <v>37454.166507055052</v>
      </c>
      <c r="AG69" s="33">
        <v>40584.501842041383</v>
      </c>
    </row>
    <row r="70" spans="1:56" x14ac:dyDescent="0.25">
      <c r="A70" s="167">
        <f t="shared" si="17"/>
        <v>39691</v>
      </c>
      <c r="B70" s="171">
        <v>50225177</v>
      </c>
      <c r="C70" s="288">
        <f>'CDM Activity'!H52</f>
        <v>565192.4204047065</v>
      </c>
      <c r="D70" s="402">
        <f t="shared" si="13"/>
        <v>1.0425888821121767</v>
      </c>
      <c r="E70" s="171">
        <f t="shared" si="18"/>
        <v>589263.3337680184</v>
      </c>
      <c r="F70" s="171">
        <f t="shared" si="19"/>
        <v>50814440.333768018</v>
      </c>
      <c r="G70" s="222">
        <f t="shared" si="9"/>
        <v>42.03</v>
      </c>
      <c r="H70" s="222">
        <f t="shared" si="9"/>
        <v>33.799999999999997</v>
      </c>
      <c r="I70" s="169">
        <v>0</v>
      </c>
      <c r="J70" s="169">
        <v>31</v>
      </c>
      <c r="K70" s="287">
        <v>68</v>
      </c>
      <c r="L70" s="288">
        <v>32581</v>
      </c>
      <c r="M70" s="289">
        <v>139.23021436183228</v>
      </c>
      <c r="N70" s="292">
        <v>320</v>
      </c>
      <c r="O70" s="169">
        <v>189.1</v>
      </c>
      <c r="P70" s="291">
        <v>12.9</v>
      </c>
      <c r="Q70" s="287">
        <f t="shared" si="20"/>
        <v>51764453.284549028</v>
      </c>
      <c r="R70" s="291">
        <f t="shared" si="21"/>
        <v>589263.3337680184</v>
      </c>
      <c r="S70" s="287">
        <f t="shared" si="22"/>
        <v>51764453.284549028</v>
      </c>
      <c r="T70" s="50">
        <f t="shared" si="14"/>
        <v>1539276.2845490277</v>
      </c>
      <c r="U70" s="103">
        <f t="shared" si="15"/>
        <v>3.0647503433368244E-2</v>
      </c>
      <c r="V70" s="13">
        <f t="shared" si="16"/>
        <v>3.0647503433368244E-2</v>
      </c>
      <c r="W70" s="338"/>
      <c r="X70" s="13"/>
      <c r="Y70" s="33" t="s">
        <v>5</v>
      </c>
      <c r="Z70" s="33">
        <v>84534.484065417681</v>
      </c>
      <c r="AA70" s="33">
        <v>14731.730653024801</v>
      </c>
      <c r="AB70" s="33">
        <v>5.7382588683197646</v>
      </c>
      <c r="AC70" s="33">
        <v>4.1961677930249377E-8</v>
      </c>
      <c r="AD70" s="33">
        <v>55457.416359730007</v>
      </c>
      <c r="AE70" s="33">
        <v>113611.55177110535</v>
      </c>
      <c r="AF70" s="33">
        <v>55457.416359730007</v>
      </c>
      <c r="AG70" s="33">
        <v>113611.55177110535</v>
      </c>
    </row>
    <row r="71" spans="1:56" x14ac:dyDescent="0.25">
      <c r="A71" s="167">
        <f t="shared" si="17"/>
        <v>39721</v>
      </c>
      <c r="B71" s="171">
        <v>48690797</v>
      </c>
      <c r="C71" s="288">
        <f>'CDM Activity'!H53</f>
        <v>573884.65533601015</v>
      </c>
      <c r="D71" s="402">
        <f t="shared" si="13"/>
        <v>1.0425888821121767</v>
      </c>
      <c r="E71" s="171">
        <f t="shared" si="18"/>
        <v>598325.76126810268</v>
      </c>
      <c r="F71" s="171">
        <f t="shared" si="19"/>
        <v>49289122.761268102</v>
      </c>
      <c r="G71" s="222">
        <f t="shared" si="9"/>
        <v>129.35999999999999</v>
      </c>
      <c r="H71" s="222">
        <f t="shared" si="9"/>
        <v>11.58</v>
      </c>
      <c r="I71" s="169">
        <v>1</v>
      </c>
      <c r="J71" s="169">
        <v>30</v>
      </c>
      <c r="K71" s="287">
        <v>69</v>
      </c>
      <c r="L71" s="288">
        <v>32677</v>
      </c>
      <c r="M71" s="289">
        <v>139.12535846444095</v>
      </c>
      <c r="N71" s="292">
        <v>336</v>
      </c>
      <c r="O71" s="169">
        <v>186.4</v>
      </c>
      <c r="P71" s="291">
        <v>14.8</v>
      </c>
      <c r="Q71" s="287">
        <f t="shared" si="20"/>
        <v>49156085.340856045</v>
      </c>
      <c r="R71" s="291">
        <f t="shared" si="21"/>
        <v>598325.76126810268</v>
      </c>
      <c r="S71" s="287">
        <f t="shared" si="22"/>
        <v>49156085.340856045</v>
      </c>
      <c r="T71" s="50">
        <f t="shared" si="14"/>
        <v>465288.34085604548</v>
      </c>
      <c r="U71" s="103">
        <f t="shared" si="15"/>
        <v>9.5559812022802896E-3</v>
      </c>
      <c r="V71" s="13">
        <f t="shared" si="16"/>
        <v>9.5559812022802896E-3</v>
      </c>
      <c r="W71" s="338"/>
      <c r="X71" s="13"/>
      <c r="Y71" s="33" t="s">
        <v>22</v>
      </c>
      <c r="Z71" s="33">
        <v>-2882657.2269487963</v>
      </c>
      <c r="AA71" s="33">
        <v>389102.46959981299</v>
      </c>
      <c r="AB71" s="33">
        <v>-7.4084783628168003</v>
      </c>
      <c r="AC71" s="33">
        <v>5.4001097014281127E-12</v>
      </c>
      <c r="AD71" s="33">
        <v>-3650656.5285570566</v>
      </c>
      <c r="AE71" s="33">
        <v>-2114657.9253405361</v>
      </c>
      <c r="AF71" s="33">
        <v>-3650656.5285570566</v>
      </c>
      <c r="AG71" s="33">
        <v>-2114657.9253405361</v>
      </c>
    </row>
    <row r="72" spans="1:56" x14ac:dyDescent="0.25">
      <c r="A72" s="167">
        <f t="shared" si="17"/>
        <v>39752</v>
      </c>
      <c r="B72" s="171">
        <v>56073867</v>
      </c>
      <c r="C72" s="288">
        <f>'CDM Activity'!H54</f>
        <v>582576.89026731381</v>
      </c>
      <c r="D72" s="402">
        <f t="shared" si="13"/>
        <v>1.0425888821121767</v>
      </c>
      <c r="E72" s="171">
        <f t="shared" si="18"/>
        <v>607388.18876818696</v>
      </c>
      <c r="F72" s="171">
        <f t="shared" si="19"/>
        <v>56681255.188768186</v>
      </c>
      <c r="G72" s="222">
        <f t="shared" si="9"/>
        <v>306.13</v>
      </c>
      <c r="H72" s="222">
        <f t="shared" si="9"/>
        <v>0.47000000000000003</v>
      </c>
      <c r="I72" s="169">
        <v>1</v>
      </c>
      <c r="J72" s="169">
        <v>31</v>
      </c>
      <c r="K72" s="287">
        <v>70</v>
      </c>
      <c r="L72" s="288">
        <v>32716</v>
      </c>
      <c r="M72" s="289">
        <v>139.02058153524823</v>
      </c>
      <c r="N72" s="292">
        <v>352</v>
      </c>
      <c r="O72" s="169">
        <v>187.3</v>
      </c>
      <c r="P72" s="291">
        <v>15.2</v>
      </c>
      <c r="Q72" s="287">
        <f t="shared" si="20"/>
        <v>57061841.440218717</v>
      </c>
      <c r="R72" s="291">
        <f t="shared" si="21"/>
        <v>607388.18876818696</v>
      </c>
      <c r="S72" s="287">
        <f t="shared" si="22"/>
        <v>57061841.440218717</v>
      </c>
      <c r="T72" s="50">
        <f t="shared" si="14"/>
        <v>987974.44021871686</v>
      </c>
      <c r="U72" s="103">
        <f t="shared" si="15"/>
        <v>1.7619160102133082E-2</v>
      </c>
      <c r="V72" s="13">
        <f t="shared" si="16"/>
        <v>1.7619160102133082E-2</v>
      </c>
      <c r="W72" s="338"/>
      <c r="X72" s="13"/>
      <c r="Y72" s="33" t="s">
        <v>6</v>
      </c>
      <c r="Z72" s="33">
        <v>1777962.3386840052</v>
      </c>
      <c r="AA72" s="33">
        <v>215143.60194962117</v>
      </c>
      <c r="AB72" s="33">
        <v>8.2640725662868633</v>
      </c>
      <c r="AC72" s="33">
        <v>3.5552274440327123E-14</v>
      </c>
      <c r="AD72" s="33">
        <v>1353318.063841104</v>
      </c>
      <c r="AE72" s="33">
        <v>2202606.6135269064</v>
      </c>
      <c r="AF72" s="33">
        <v>1353318.063841104</v>
      </c>
      <c r="AG72" s="33">
        <v>2202606.6135269064</v>
      </c>
    </row>
    <row r="73" spans="1:56" x14ac:dyDescent="0.25">
      <c r="A73" s="167">
        <f t="shared" si="17"/>
        <v>39782</v>
      </c>
      <c r="B73" s="171">
        <v>63785625</v>
      </c>
      <c r="C73" s="288">
        <f>'CDM Activity'!H55</f>
        <v>591269.12519861746</v>
      </c>
      <c r="D73" s="402">
        <f t="shared" si="13"/>
        <v>1.0425888821121767</v>
      </c>
      <c r="E73" s="171">
        <f t="shared" si="18"/>
        <v>616450.61626827123</v>
      </c>
      <c r="F73" s="171">
        <f t="shared" si="19"/>
        <v>64402075.61626827</v>
      </c>
      <c r="G73" s="222">
        <f t="shared" si="9"/>
        <v>480.06200000000001</v>
      </c>
      <c r="H73" s="222">
        <f t="shared" si="9"/>
        <v>0</v>
      </c>
      <c r="I73" s="169">
        <v>1</v>
      </c>
      <c r="J73" s="169">
        <v>30</v>
      </c>
      <c r="K73" s="287">
        <v>71</v>
      </c>
      <c r="L73" s="288">
        <v>32770</v>
      </c>
      <c r="M73" s="289">
        <v>138.91588351478222</v>
      </c>
      <c r="N73" s="292">
        <v>304</v>
      </c>
      <c r="O73" s="169">
        <v>185.3</v>
      </c>
      <c r="P73" s="291">
        <v>15.8</v>
      </c>
      <c r="Q73" s="287">
        <f t="shared" si="20"/>
        <v>62293415.856966168</v>
      </c>
      <c r="R73" s="291">
        <f t="shared" si="21"/>
        <v>616450.61626827123</v>
      </c>
      <c r="S73" s="287">
        <f t="shared" si="22"/>
        <v>62293415.856966168</v>
      </c>
      <c r="T73" s="50">
        <f t="shared" si="14"/>
        <v>-1492209.1430338323</v>
      </c>
      <c r="U73" s="103">
        <f t="shared" si="15"/>
        <v>-2.3394129053902542E-2</v>
      </c>
      <c r="V73" s="13">
        <f t="shared" si="16"/>
        <v>2.3394129053902542E-2</v>
      </c>
      <c r="W73" s="338"/>
      <c r="X73" s="13"/>
      <c r="Y73" s="33" t="s">
        <v>325</v>
      </c>
      <c r="Z73" s="33">
        <v>-72361.505568031294</v>
      </c>
      <c r="AA73" s="33">
        <v>15187.741370185611</v>
      </c>
      <c r="AB73" s="33">
        <v>-4.7644678562989613</v>
      </c>
      <c r="AC73" s="33">
        <v>3.9921681185855152E-6</v>
      </c>
      <c r="AD73" s="33">
        <v>-102338.63415656451</v>
      </c>
      <c r="AE73" s="33">
        <v>-42384.376979498084</v>
      </c>
      <c r="AF73" s="33">
        <v>-102338.63415656451</v>
      </c>
      <c r="AG73" s="33">
        <v>-42384.376979498084</v>
      </c>
    </row>
    <row r="74" spans="1:56" ht="13.8" thickBot="1" x14ac:dyDescent="0.3">
      <c r="A74" s="167">
        <f t="shared" si="17"/>
        <v>39813</v>
      </c>
      <c r="B74" s="171">
        <v>81608064</v>
      </c>
      <c r="C74" s="288">
        <f>'CDM Activity'!H56</f>
        <v>599961.36012992112</v>
      </c>
      <c r="D74" s="402">
        <f t="shared" si="13"/>
        <v>1.0425888821121767</v>
      </c>
      <c r="E74" s="171">
        <f t="shared" si="18"/>
        <v>625513.04376835551</v>
      </c>
      <c r="F74" s="171">
        <f t="shared" si="19"/>
        <v>82233577.043768361</v>
      </c>
      <c r="G74" s="222">
        <f t="shared" si="9"/>
        <v>702.73799999999994</v>
      </c>
      <c r="H74" s="222">
        <f t="shared" si="9"/>
        <v>0</v>
      </c>
      <c r="I74" s="169">
        <v>0</v>
      </c>
      <c r="J74" s="169">
        <v>31</v>
      </c>
      <c r="K74" s="287">
        <v>72</v>
      </c>
      <c r="L74" s="288">
        <v>32782</v>
      </c>
      <c r="M74" s="289">
        <v>138.8112643436159</v>
      </c>
      <c r="N74" s="292">
        <v>336</v>
      </c>
      <c r="O74" s="169">
        <v>184.3</v>
      </c>
      <c r="P74" s="291">
        <v>14.7</v>
      </c>
      <c r="Q74" s="287">
        <f t="shared" si="20"/>
        <v>75644769.537429899</v>
      </c>
      <c r="R74" s="291">
        <f t="shared" si="21"/>
        <v>625513.04376835551</v>
      </c>
      <c r="S74" s="287">
        <f t="shared" si="22"/>
        <v>75644769.537429899</v>
      </c>
      <c r="T74" s="50">
        <f t="shared" si="14"/>
        <v>-5963294.462570101</v>
      </c>
      <c r="U74" s="103">
        <f t="shared" si="15"/>
        <v>-7.3072367732802748E-2</v>
      </c>
      <c r="V74" s="13">
        <f t="shared" si="16"/>
        <v>7.3072367732802748E-2</v>
      </c>
      <c r="W74" s="338"/>
      <c r="X74" s="13"/>
      <c r="Y74" s="34" t="s">
        <v>102</v>
      </c>
      <c r="Z74" s="34">
        <v>6202.1969789388477</v>
      </c>
      <c r="AA74" s="34">
        <v>1655.3725725871955</v>
      </c>
      <c r="AB74" s="34">
        <v>3.7467075881566547</v>
      </c>
      <c r="AC74" s="34">
        <v>2.4388199386463257E-4</v>
      </c>
      <c r="AD74" s="34">
        <v>2934.8700432964788</v>
      </c>
      <c r="AE74" s="34">
        <v>9469.5239145812156</v>
      </c>
      <c r="AF74" s="34">
        <v>2934.8700432964788</v>
      </c>
      <c r="AG74" s="34">
        <v>9469.5239145812156</v>
      </c>
    </row>
    <row r="75" spans="1:56" s="14" customFormat="1" x14ac:dyDescent="0.25">
      <c r="A75" s="167">
        <f t="shared" si="17"/>
        <v>39844</v>
      </c>
      <c r="B75" s="170">
        <v>85774977</v>
      </c>
      <c r="C75" s="288">
        <f>'CDM Activity'!H57</f>
        <v>613781.96710080863</v>
      </c>
      <c r="D75" s="402">
        <f>'Rate Class Energy Model'!F18</f>
        <v>1.0354829336126383</v>
      </c>
      <c r="E75" s="171">
        <f t="shared" si="18"/>
        <v>635560.75189208123</v>
      </c>
      <c r="F75" s="171">
        <f t="shared" si="19"/>
        <v>86410537.751892075</v>
      </c>
      <c r="G75" s="222">
        <f t="shared" si="9"/>
        <v>824.21</v>
      </c>
      <c r="H75" s="222">
        <f t="shared" si="9"/>
        <v>0</v>
      </c>
      <c r="I75" s="169">
        <v>0</v>
      </c>
      <c r="J75" s="169">
        <v>31</v>
      </c>
      <c r="K75" s="287">
        <v>73</v>
      </c>
      <c r="L75" s="288">
        <v>32783</v>
      </c>
      <c r="M75" s="289">
        <v>138.43555825854429</v>
      </c>
      <c r="N75" s="292">
        <v>336</v>
      </c>
      <c r="O75" s="169">
        <v>179.9</v>
      </c>
      <c r="P75" s="291">
        <v>15.6</v>
      </c>
      <c r="Q75" s="287">
        <f t="shared" si="20"/>
        <v>80318366.789691523</v>
      </c>
      <c r="R75" s="291">
        <f t="shared" si="21"/>
        <v>635560.75189208123</v>
      </c>
      <c r="S75" s="287">
        <f t="shared" si="22"/>
        <v>80318366.789691523</v>
      </c>
      <c r="T75" s="50">
        <f t="shared" si="14"/>
        <v>-5456610.2103084773</v>
      </c>
      <c r="U75" s="103">
        <f t="shared" si="15"/>
        <v>-6.3615408609301954E-2</v>
      </c>
      <c r="V75" s="13">
        <f t="shared" si="16"/>
        <v>6.3615408609301954E-2</v>
      </c>
      <c r="W75" s="338"/>
      <c r="X75" s="13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</row>
    <row r="76" spans="1:56" x14ac:dyDescent="0.25">
      <c r="A76" s="167">
        <f t="shared" si="17"/>
        <v>39872</v>
      </c>
      <c r="B76" s="170">
        <v>71566146</v>
      </c>
      <c r="C76" s="288">
        <f>'CDM Activity'!H58</f>
        <v>627602.57407169614</v>
      </c>
      <c r="D76" s="402">
        <f>D75</f>
        <v>1.0354829336126383</v>
      </c>
      <c r="E76" s="171">
        <f t="shared" si="18"/>
        <v>649871.75454260304</v>
      </c>
      <c r="F76" s="171">
        <f t="shared" si="19"/>
        <v>72216017.754542604</v>
      </c>
      <c r="G76" s="222">
        <f t="shared" si="9"/>
        <v>754.11000000000013</v>
      </c>
      <c r="H76" s="222">
        <f t="shared" si="9"/>
        <v>0</v>
      </c>
      <c r="I76" s="169">
        <v>0</v>
      </c>
      <c r="J76" s="169">
        <v>28</v>
      </c>
      <c r="K76" s="287">
        <v>74</v>
      </c>
      <c r="L76" s="288">
        <v>32787</v>
      </c>
      <c r="M76" s="289">
        <v>138.06086905825526</v>
      </c>
      <c r="N76" s="292">
        <v>304</v>
      </c>
      <c r="O76" s="169">
        <v>176.6</v>
      </c>
      <c r="P76" s="291">
        <v>16</v>
      </c>
      <c r="Q76" s="287">
        <f t="shared" si="20"/>
        <v>72201671.730351403</v>
      </c>
      <c r="R76" s="291">
        <f t="shared" si="21"/>
        <v>649871.75454260304</v>
      </c>
      <c r="S76" s="287">
        <f t="shared" si="22"/>
        <v>72201671.730351403</v>
      </c>
      <c r="T76" s="50">
        <f t="shared" si="14"/>
        <v>635525.73035140336</v>
      </c>
      <c r="U76" s="103">
        <f t="shared" si="15"/>
        <v>8.8802564602459295E-3</v>
      </c>
      <c r="V76" s="13">
        <f t="shared" si="16"/>
        <v>8.8802564602459295E-3</v>
      </c>
      <c r="W76" s="338"/>
      <c r="X76" s="13"/>
    </row>
    <row r="77" spans="1:56" x14ac:dyDescent="0.25">
      <c r="A77" s="167">
        <f t="shared" si="17"/>
        <v>39903</v>
      </c>
      <c r="B77" s="170">
        <v>72767317</v>
      </c>
      <c r="C77" s="288">
        <f>'CDM Activity'!H59</f>
        <v>641423.18104258366</v>
      </c>
      <c r="D77" s="402">
        <f t="shared" ref="D77:D86" si="23">D76</f>
        <v>1.0354829336126383</v>
      </c>
      <c r="E77" s="171">
        <f t="shared" si="18"/>
        <v>664182.75719312497</v>
      </c>
      <c r="F77" s="171">
        <f t="shared" si="19"/>
        <v>73431499.757193118</v>
      </c>
      <c r="G77" s="222">
        <f t="shared" si="9"/>
        <v>679.39</v>
      </c>
      <c r="H77" s="222">
        <f t="shared" si="9"/>
        <v>0</v>
      </c>
      <c r="I77" s="169">
        <v>1</v>
      </c>
      <c r="J77" s="169">
        <v>31</v>
      </c>
      <c r="K77" s="287">
        <v>75</v>
      </c>
      <c r="L77" s="288">
        <v>32784</v>
      </c>
      <c r="M77" s="289">
        <v>137.68719399045199</v>
      </c>
      <c r="N77" s="292">
        <v>352</v>
      </c>
      <c r="O77" s="169">
        <v>174.1</v>
      </c>
      <c r="P77" s="291">
        <v>16.899999999999999</v>
      </c>
      <c r="Q77" s="287">
        <f t="shared" si="20"/>
        <v>71646408.773427531</v>
      </c>
      <c r="R77" s="291">
        <f t="shared" si="21"/>
        <v>664182.75719312497</v>
      </c>
      <c r="S77" s="287">
        <f t="shared" si="22"/>
        <v>71646408.773427531</v>
      </c>
      <c r="T77" s="50">
        <f t="shared" si="14"/>
        <v>-1120908.2265724689</v>
      </c>
      <c r="U77" s="103">
        <f t="shared" si="15"/>
        <v>-1.5404006534588446E-2</v>
      </c>
      <c r="V77" s="13">
        <f t="shared" si="16"/>
        <v>1.5404006534588446E-2</v>
      </c>
      <c r="W77" s="338"/>
      <c r="X77" s="13"/>
    </row>
    <row r="78" spans="1:56" x14ac:dyDescent="0.25">
      <c r="A78" s="167">
        <f t="shared" si="17"/>
        <v>39933</v>
      </c>
      <c r="B78" s="170">
        <v>59966273</v>
      </c>
      <c r="C78" s="288">
        <f>'CDM Activity'!H60</f>
        <v>655243.78801347117</v>
      </c>
      <c r="D78" s="402">
        <f t="shared" si="23"/>
        <v>1.0354829336126383</v>
      </c>
      <c r="E78" s="171">
        <f t="shared" si="18"/>
        <v>678493.75984364678</v>
      </c>
      <c r="F78" s="171">
        <f t="shared" si="19"/>
        <v>60644766.759843647</v>
      </c>
      <c r="G78" s="222">
        <f t="shared" si="9"/>
        <v>427.16999999999996</v>
      </c>
      <c r="H78" s="222">
        <f t="shared" si="9"/>
        <v>0.02</v>
      </c>
      <c r="I78" s="169">
        <v>1</v>
      </c>
      <c r="J78" s="169">
        <v>30</v>
      </c>
      <c r="K78" s="287">
        <v>76</v>
      </c>
      <c r="L78" s="288">
        <v>32749</v>
      </c>
      <c r="M78" s="289">
        <v>137.31453031028698</v>
      </c>
      <c r="N78" s="292">
        <v>320</v>
      </c>
      <c r="O78" s="169">
        <v>174.4</v>
      </c>
      <c r="P78" s="291">
        <v>15</v>
      </c>
      <c r="Q78" s="287">
        <f t="shared" si="20"/>
        <v>59739242.25908941</v>
      </c>
      <c r="R78" s="291">
        <f t="shared" si="21"/>
        <v>678493.75984364678</v>
      </c>
      <c r="S78" s="287">
        <f t="shared" si="22"/>
        <v>59739242.25908941</v>
      </c>
      <c r="T78" s="50">
        <f t="shared" si="14"/>
        <v>-227030.74091058969</v>
      </c>
      <c r="U78" s="103">
        <f t="shared" si="15"/>
        <v>-3.7859738408386611E-3</v>
      </c>
      <c r="V78" s="13">
        <f t="shared" si="16"/>
        <v>3.7859738408386611E-3</v>
      </c>
      <c r="W78" s="338"/>
      <c r="X78" s="13"/>
    </row>
    <row r="79" spans="1:56" x14ac:dyDescent="0.25">
      <c r="A79" s="167">
        <f t="shared" si="17"/>
        <v>39964</v>
      </c>
      <c r="B79" s="170">
        <v>52676063</v>
      </c>
      <c r="C79" s="288">
        <f>'CDM Activity'!H61</f>
        <v>669064.39498435869</v>
      </c>
      <c r="D79" s="402">
        <f t="shared" si="23"/>
        <v>1.0354829336126383</v>
      </c>
      <c r="E79" s="171">
        <f t="shared" si="18"/>
        <v>692804.76249416871</v>
      </c>
      <c r="F79" s="171">
        <f t="shared" si="19"/>
        <v>53368867.762494169</v>
      </c>
      <c r="G79" s="222">
        <f t="shared" si="9"/>
        <v>232.2</v>
      </c>
      <c r="H79" s="222">
        <f t="shared" si="9"/>
        <v>3.9</v>
      </c>
      <c r="I79" s="169">
        <v>1</v>
      </c>
      <c r="J79" s="169">
        <v>31</v>
      </c>
      <c r="K79" s="287">
        <v>77</v>
      </c>
      <c r="L79" s="288">
        <v>32756</v>
      </c>
      <c r="M79" s="289">
        <v>136.94287528034204</v>
      </c>
      <c r="N79" s="292">
        <v>320</v>
      </c>
      <c r="O79" s="169">
        <v>176.9</v>
      </c>
      <c r="P79" s="291">
        <v>15.1</v>
      </c>
      <c r="Q79" s="287">
        <f t="shared" si="20"/>
        <v>54208652.685220093</v>
      </c>
      <c r="R79" s="291">
        <f t="shared" si="21"/>
        <v>692804.76249416871</v>
      </c>
      <c r="S79" s="287">
        <f t="shared" si="22"/>
        <v>54208652.685220093</v>
      </c>
      <c r="T79" s="50">
        <f t="shared" si="14"/>
        <v>1532589.6852200925</v>
      </c>
      <c r="U79" s="103">
        <f t="shared" si="15"/>
        <v>2.9094613339271245E-2</v>
      </c>
      <c r="V79" s="13">
        <f t="shared" si="16"/>
        <v>2.9094613339271245E-2</v>
      </c>
      <c r="W79" s="338"/>
      <c r="X79" s="13"/>
    </row>
    <row r="80" spans="1:56" x14ac:dyDescent="0.25">
      <c r="A80" s="167">
        <f t="shared" si="17"/>
        <v>39994</v>
      </c>
      <c r="B80" s="170">
        <v>49196438</v>
      </c>
      <c r="C80" s="288">
        <f>'CDM Activity'!H62</f>
        <v>682885.0019552462</v>
      </c>
      <c r="D80" s="402">
        <f t="shared" si="23"/>
        <v>1.0354829336126383</v>
      </c>
      <c r="E80" s="171">
        <f t="shared" si="18"/>
        <v>707115.76514469064</v>
      </c>
      <c r="F80" s="171">
        <f t="shared" si="19"/>
        <v>49903553.765144691</v>
      </c>
      <c r="G80" s="222">
        <f t="shared" ref="G80:H143" si="24">G68</f>
        <v>101.74</v>
      </c>
      <c r="H80" s="222">
        <f t="shared" si="24"/>
        <v>9.5400000000000009</v>
      </c>
      <c r="I80" s="169">
        <v>0</v>
      </c>
      <c r="J80" s="169">
        <v>30</v>
      </c>
      <c r="K80" s="287">
        <v>78</v>
      </c>
      <c r="L80" s="288">
        <v>32739</v>
      </c>
      <c r="M80" s="289">
        <v>136.57222617060793</v>
      </c>
      <c r="N80" s="292">
        <v>352</v>
      </c>
      <c r="O80" s="169">
        <v>178.9</v>
      </c>
      <c r="P80" s="291">
        <v>16</v>
      </c>
      <c r="Q80" s="287">
        <f t="shared" si="20"/>
        <v>50521860.872992277</v>
      </c>
      <c r="R80" s="291">
        <f t="shared" si="21"/>
        <v>707115.76514469064</v>
      </c>
      <c r="S80" s="287">
        <f t="shared" si="22"/>
        <v>50521860.872992277</v>
      </c>
      <c r="T80" s="50">
        <f t="shared" si="14"/>
        <v>1325422.8729922771</v>
      </c>
      <c r="U80" s="103">
        <f t="shared" si="15"/>
        <v>2.6941439804895571E-2</v>
      </c>
      <c r="V80" s="13">
        <f t="shared" si="16"/>
        <v>2.6941439804895571E-2</v>
      </c>
      <c r="W80" s="338"/>
      <c r="X80" s="13"/>
    </row>
    <row r="81" spans="1:42" x14ac:dyDescent="0.25">
      <c r="A81" s="167">
        <f t="shared" si="17"/>
        <v>40025</v>
      </c>
      <c r="B81" s="170">
        <v>48238905</v>
      </c>
      <c r="C81" s="288">
        <f>'CDM Activity'!H63</f>
        <v>696705.60892613372</v>
      </c>
      <c r="D81" s="402">
        <f t="shared" si="23"/>
        <v>1.0354829336126383</v>
      </c>
      <c r="E81" s="171">
        <f t="shared" si="18"/>
        <v>721426.76779521245</v>
      </c>
      <c r="F81" s="171">
        <f t="shared" si="19"/>
        <v>48960331.767795213</v>
      </c>
      <c r="G81" s="222">
        <f t="shared" si="24"/>
        <v>40.76</v>
      </c>
      <c r="H81" s="222">
        <f t="shared" si="24"/>
        <v>36.08</v>
      </c>
      <c r="I81" s="169">
        <v>0</v>
      </c>
      <c r="J81" s="169">
        <v>31</v>
      </c>
      <c r="K81" s="287">
        <v>79</v>
      </c>
      <c r="L81" s="288">
        <v>32752</v>
      </c>
      <c r="M81" s="289">
        <v>136.20258025846454</v>
      </c>
      <c r="N81" s="292">
        <v>352</v>
      </c>
      <c r="O81" s="169">
        <v>180.2</v>
      </c>
      <c r="P81" s="291">
        <v>19</v>
      </c>
      <c r="Q81" s="287">
        <f t="shared" si="20"/>
        <v>52172236.475966662</v>
      </c>
      <c r="R81" s="291">
        <f t="shared" si="21"/>
        <v>721426.76779521245</v>
      </c>
      <c r="S81" s="287">
        <f t="shared" si="22"/>
        <v>52172236.475966662</v>
      </c>
      <c r="T81" s="50">
        <f t="shared" si="14"/>
        <v>3933331.4759666622</v>
      </c>
      <c r="U81" s="103">
        <f t="shared" si="15"/>
        <v>8.1538572983086213E-2</v>
      </c>
      <c r="V81" s="13">
        <f t="shared" si="16"/>
        <v>8.1538572983086213E-2</v>
      </c>
      <c r="W81" s="338"/>
      <c r="X81" s="13"/>
    </row>
    <row r="82" spans="1:42" x14ac:dyDescent="0.25">
      <c r="A82" s="167">
        <f t="shared" si="17"/>
        <v>40056</v>
      </c>
      <c r="B82" s="170">
        <v>49652791</v>
      </c>
      <c r="C82" s="288">
        <f>'CDM Activity'!H64</f>
        <v>710526.21589702123</v>
      </c>
      <c r="D82" s="402">
        <f t="shared" si="23"/>
        <v>1.0354829336126383</v>
      </c>
      <c r="E82" s="171">
        <f t="shared" si="18"/>
        <v>735737.77044573438</v>
      </c>
      <c r="F82" s="171">
        <f t="shared" si="19"/>
        <v>50388528.770445734</v>
      </c>
      <c r="G82" s="222">
        <f t="shared" si="24"/>
        <v>42.03</v>
      </c>
      <c r="H82" s="222">
        <f t="shared" si="24"/>
        <v>33.799999999999997</v>
      </c>
      <c r="I82" s="169">
        <v>0</v>
      </c>
      <c r="J82" s="169">
        <v>31</v>
      </c>
      <c r="K82" s="287">
        <v>80</v>
      </c>
      <c r="L82" s="288">
        <v>32766</v>
      </c>
      <c r="M82" s="289">
        <v>135.83393482866074</v>
      </c>
      <c r="N82" s="292">
        <v>320</v>
      </c>
      <c r="O82" s="169">
        <v>181.6</v>
      </c>
      <c r="P82" s="291">
        <v>20.2</v>
      </c>
      <c r="Q82" s="287">
        <f t="shared" si="20"/>
        <v>52043521.658836335</v>
      </c>
      <c r="R82" s="291">
        <f t="shared" si="21"/>
        <v>735737.77044573438</v>
      </c>
      <c r="S82" s="287">
        <f t="shared" si="22"/>
        <v>52043521.658836335</v>
      </c>
      <c r="T82" s="50">
        <f t="shared" si="14"/>
        <v>2390730.6588363349</v>
      </c>
      <c r="U82" s="103">
        <f t="shared" si="15"/>
        <v>4.8148968279272258E-2</v>
      </c>
      <c r="V82" s="13">
        <f t="shared" si="16"/>
        <v>4.8148968279272258E-2</v>
      </c>
      <c r="W82" s="338"/>
      <c r="X82" s="13"/>
    </row>
    <row r="83" spans="1:42" x14ac:dyDescent="0.25">
      <c r="A83" s="167">
        <f t="shared" si="17"/>
        <v>40086</v>
      </c>
      <c r="B83" s="170">
        <v>48812970</v>
      </c>
      <c r="C83" s="288">
        <f>'CDM Activity'!H65</f>
        <v>724346.82286790875</v>
      </c>
      <c r="D83" s="402">
        <f t="shared" si="23"/>
        <v>1.0354829336126383</v>
      </c>
      <c r="E83" s="171">
        <f t="shared" si="18"/>
        <v>750048.77309625619</v>
      </c>
      <c r="F83" s="171">
        <f t="shared" si="19"/>
        <v>49563018.773096256</v>
      </c>
      <c r="G83" s="222">
        <f t="shared" si="24"/>
        <v>129.35999999999999</v>
      </c>
      <c r="H83" s="222">
        <f t="shared" si="24"/>
        <v>11.58</v>
      </c>
      <c r="I83" s="169">
        <v>1</v>
      </c>
      <c r="J83" s="169">
        <v>30</v>
      </c>
      <c r="K83" s="287">
        <v>81</v>
      </c>
      <c r="L83" s="288">
        <v>32815</v>
      </c>
      <c r="M83" s="289">
        <v>135.46628717329455</v>
      </c>
      <c r="N83" s="292">
        <v>336</v>
      </c>
      <c r="O83" s="169">
        <v>182.3</v>
      </c>
      <c r="P83" s="291">
        <v>19.399999999999999</v>
      </c>
      <c r="Q83" s="287">
        <f t="shared" si="20"/>
        <v>49143650.457133234</v>
      </c>
      <c r="R83" s="291">
        <f t="shared" si="21"/>
        <v>750048.77309625619</v>
      </c>
      <c r="S83" s="287">
        <f t="shared" si="22"/>
        <v>49143650.457133234</v>
      </c>
      <c r="T83" s="50">
        <f t="shared" si="14"/>
        <v>330680.45713323355</v>
      </c>
      <c r="U83" s="103">
        <f t="shared" si="15"/>
        <v>6.774438374334394E-3</v>
      </c>
      <c r="V83" s="13">
        <f t="shared" si="16"/>
        <v>6.774438374334394E-3</v>
      </c>
      <c r="W83" s="338"/>
      <c r="X83" s="13"/>
    </row>
    <row r="84" spans="1:42" x14ac:dyDescent="0.25">
      <c r="A84" s="167">
        <f t="shared" si="17"/>
        <v>40117</v>
      </c>
      <c r="B84" s="170">
        <v>57724020</v>
      </c>
      <c r="C84" s="288">
        <f>'CDM Activity'!H66</f>
        <v>738167.42983879626</v>
      </c>
      <c r="D84" s="402">
        <f t="shared" si="23"/>
        <v>1.0354829336126383</v>
      </c>
      <c r="E84" s="171">
        <f t="shared" si="18"/>
        <v>764359.77574677812</v>
      </c>
      <c r="F84" s="171">
        <f t="shared" si="19"/>
        <v>58488379.775746778</v>
      </c>
      <c r="G84" s="222">
        <f t="shared" si="24"/>
        <v>306.13</v>
      </c>
      <c r="H84" s="222">
        <f t="shared" si="24"/>
        <v>0.47000000000000003</v>
      </c>
      <c r="I84" s="169">
        <v>1</v>
      </c>
      <c r="J84" s="169">
        <v>31</v>
      </c>
      <c r="K84" s="287">
        <v>82</v>
      </c>
      <c r="L84" s="288">
        <v>32815</v>
      </c>
      <c r="M84" s="289">
        <v>135.09963459179312</v>
      </c>
      <c r="N84" s="292">
        <v>336</v>
      </c>
      <c r="O84" s="169">
        <v>181.1</v>
      </c>
      <c r="P84" s="291">
        <v>18.5</v>
      </c>
      <c r="Q84" s="287">
        <f t="shared" si="20"/>
        <v>56807520.874317288</v>
      </c>
      <c r="R84" s="291">
        <f t="shared" si="21"/>
        <v>764359.77574677812</v>
      </c>
      <c r="S84" s="287">
        <f t="shared" si="22"/>
        <v>56807520.874317288</v>
      </c>
      <c r="T84" s="50">
        <f t="shared" si="14"/>
        <v>-916499.1256827116</v>
      </c>
      <c r="U84" s="103">
        <f t="shared" si="15"/>
        <v>-1.5877257434300514E-2</v>
      </c>
      <c r="V84" s="13">
        <f t="shared" si="16"/>
        <v>1.5877257434300514E-2</v>
      </c>
      <c r="W84" s="338"/>
      <c r="X84" s="13"/>
    </row>
    <row r="85" spans="1:42" x14ac:dyDescent="0.25">
      <c r="A85" s="167">
        <f t="shared" si="17"/>
        <v>40147</v>
      </c>
      <c r="B85" s="170">
        <v>59532749</v>
      </c>
      <c r="C85" s="288">
        <f>'CDM Activity'!H67</f>
        <v>751988.03680968378</v>
      </c>
      <c r="D85" s="402">
        <f t="shared" si="23"/>
        <v>1.0354829336126383</v>
      </c>
      <c r="E85" s="171">
        <f t="shared" si="18"/>
        <v>778670.77839730005</v>
      </c>
      <c r="F85" s="171">
        <f t="shared" si="19"/>
        <v>60311419.778397299</v>
      </c>
      <c r="G85" s="222">
        <f t="shared" si="24"/>
        <v>480.06200000000001</v>
      </c>
      <c r="H85" s="222">
        <f t="shared" si="24"/>
        <v>0</v>
      </c>
      <c r="I85" s="169">
        <v>1</v>
      </c>
      <c r="J85" s="169">
        <v>30</v>
      </c>
      <c r="K85" s="287">
        <v>83</v>
      </c>
      <c r="L85" s="288">
        <v>32883</v>
      </c>
      <c r="M85" s="289">
        <v>134.733974390893</v>
      </c>
      <c r="N85" s="292">
        <v>320</v>
      </c>
      <c r="O85" s="169">
        <v>178.1</v>
      </c>
      <c r="P85" s="291">
        <v>17.899999999999999</v>
      </c>
      <c r="Q85" s="287">
        <f t="shared" si="20"/>
        <v>62125926.048769861</v>
      </c>
      <c r="R85" s="291">
        <f t="shared" si="21"/>
        <v>778670.77839730005</v>
      </c>
      <c r="S85" s="287">
        <f t="shared" si="22"/>
        <v>62125926.048769861</v>
      </c>
      <c r="T85" s="50">
        <f t="shared" si="14"/>
        <v>2593177.0487698615</v>
      </c>
      <c r="U85" s="103">
        <f t="shared" si="15"/>
        <v>4.3558832614463368E-2</v>
      </c>
      <c r="V85" s="13">
        <f t="shared" si="16"/>
        <v>4.3558832614463368E-2</v>
      </c>
      <c r="W85" s="338"/>
      <c r="X85" s="13"/>
    </row>
    <row r="86" spans="1:42" s="32" customFormat="1" x14ac:dyDescent="0.25">
      <c r="A86" s="167">
        <f t="shared" si="17"/>
        <v>40178</v>
      </c>
      <c r="B86" s="170">
        <v>76961335</v>
      </c>
      <c r="C86" s="288">
        <f>'CDM Activity'!H68</f>
        <v>765808.64378057129</v>
      </c>
      <c r="D86" s="402">
        <f t="shared" si="23"/>
        <v>1.0354829336126383</v>
      </c>
      <c r="E86" s="171">
        <f t="shared" si="18"/>
        <v>792981.78104782186</v>
      </c>
      <c r="F86" s="171">
        <f t="shared" si="19"/>
        <v>77754316.781047821</v>
      </c>
      <c r="G86" s="222">
        <f t="shared" si="24"/>
        <v>702.73799999999994</v>
      </c>
      <c r="H86" s="222">
        <f t="shared" si="24"/>
        <v>0</v>
      </c>
      <c r="I86" s="169">
        <v>0</v>
      </c>
      <c r="J86" s="169">
        <v>31</v>
      </c>
      <c r="K86" s="287">
        <v>84</v>
      </c>
      <c r="L86" s="288">
        <v>32923</v>
      </c>
      <c r="M86" s="289">
        <v>134.36930388462019</v>
      </c>
      <c r="N86" s="292">
        <v>352</v>
      </c>
      <c r="O86" s="169">
        <v>176.9</v>
      </c>
      <c r="P86" s="291">
        <v>18.2</v>
      </c>
      <c r="Q86" s="287">
        <f t="shared" si="20"/>
        <v>75650941.244643882</v>
      </c>
      <c r="R86" s="291">
        <f t="shared" si="21"/>
        <v>792981.78104782186</v>
      </c>
      <c r="S86" s="287">
        <f t="shared" si="22"/>
        <v>75650941.244643882</v>
      </c>
      <c r="T86" s="50">
        <f t="shared" si="14"/>
        <v>-1310393.7553561181</v>
      </c>
      <c r="U86" s="103">
        <f t="shared" si="15"/>
        <v>-1.7026650529855258E-2</v>
      </c>
      <c r="V86" s="13">
        <f t="shared" si="16"/>
        <v>1.7026650529855258E-2</v>
      </c>
      <c r="W86" s="338"/>
      <c r="X86" s="13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</row>
    <row r="87" spans="1:42" x14ac:dyDescent="0.25">
      <c r="A87" s="167">
        <f>EOMONTH(A86,1)</f>
        <v>40209</v>
      </c>
      <c r="B87" s="170">
        <v>79854695</v>
      </c>
      <c r="C87" s="288">
        <f>'CDM Activity'!H69</f>
        <v>738136.30876040738</v>
      </c>
      <c r="D87" s="402">
        <f>'Rate Class Energy Model'!F19</f>
        <v>1.0445204387280596</v>
      </c>
      <c r="E87" s="171">
        <f t="shared" si="18"/>
        <v>770998.46106753114</v>
      </c>
      <c r="F87" s="171">
        <f t="shared" si="19"/>
        <v>80625693.461067528</v>
      </c>
      <c r="G87" s="222">
        <f t="shared" si="24"/>
        <v>824.21</v>
      </c>
      <c r="H87" s="222">
        <f t="shared" si="24"/>
        <v>0</v>
      </c>
      <c r="I87" s="169">
        <v>0</v>
      </c>
      <c r="J87" s="169">
        <v>31</v>
      </c>
      <c r="K87" s="287">
        <v>85</v>
      </c>
      <c r="L87" s="288">
        <v>32936</v>
      </c>
      <c r="M87" s="289">
        <v>134.73334561620703</v>
      </c>
      <c r="N87" s="292">
        <v>320</v>
      </c>
      <c r="O87" s="169">
        <v>176.5</v>
      </c>
      <c r="P87" s="291">
        <v>20</v>
      </c>
      <c r="Q87" s="287">
        <f t="shared" si="20"/>
        <v>80398964.860652804</v>
      </c>
      <c r="R87" s="291">
        <f t="shared" si="21"/>
        <v>770998.46106753114</v>
      </c>
      <c r="S87" s="287">
        <f t="shared" si="22"/>
        <v>80398964.860652804</v>
      </c>
      <c r="T87" s="50">
        <f t="shared" si="14"/>
        <v>544269.86065280437</v>
      </c>
      <c r="U87" s="103">
        <f t="shared" si="15"/>
        <v>6.8157527951588116E-3</v>
      </c>
      <c r="V87" s="13">
        <f t="shared" si="16"/>
        <v>6.8157527951588116E-3</v>
      </c>
      <c r="W87" s="338"/>
      <c r="X87" s="13"/>
    </row>
    <row r="88" spans="1:42" x14ac:dyDescent="0.25">
      <c r="A88" s="167">
        <f t="shared" si="17"/>
        <v>40237</v>
      </c>
      <c r="B88" s="170">
        <v>68437902</v>
      </c>
      <c r="C88" s="288">
        <f>'CDM Activity'!H70</f>
        <v>710463.97374024347</v>
      </c>
      <c r="D88" s="402">
        <f>D87</f>
        <v>1.0445204387280596</v>
      </c>
      <c r="E88" s="171">
        <f t="shared" si="18"/>
        <v>742094.14155163965</v>
      </c>
      <c r="F88" s="171">
        <f t="shared" si="19"/>
        <v>69179996.141551644</v>
      </c>
      <c r="G88" s="222">
        <f t="shared" si="24"/>
        <v>754.11000000000013</v>
      </c>
      <c r="H88" s="222">
        <f t="shared" si="24"/>
        <v>0</v>
      </c>
      <c r="I88" s="169">
        <v>0</v>
      </c>
      <c r="J88" s="169">
        <v>28</v>
      </c>
      <c r="K88" s="287">
        <v>86</v>
      </c>
      <c r="L88" s="288">
        <v>32950</v>
      </c>
      <c r="M88" s="289">
        <v>135.09837363244745</v>
      </c>
      <c r="N88" s="292">
        <v>304</v>
      </c>
      <c r="O88" s="169">
        <v>178.7</v>
      </c>
      <c r="P88" s="291">
        <v>20.6</v>
      </c>
      <c r="Q88" s="287">
        <f t="shared" si="20"/>
        <v>72344291.771102041</v>
      </c>
      <c r="R88" s="291">
        <f t="shared" si="21"/>
        <v>742094.14155163965</v>
      </c>
      <c r="S88" s="287">
        <f t="shared" si="22"/>
        <v>72344291.771102041</v>
      </c>
      <c r="T88" s="50">
        <f t="shared" si="14"/>
        <v>3906389.771102041</v>
      </c>
      <c r="U88" s="103">
        <f t="shared" si="15"/>
        <v>5.7079332605813091E-2</v>
      </c>
      <c r="V88" s="13">
        <f t="shared" si="16"/>
        <v>5.7079332605813091E-2</v>
      </c>
      <c r="W88" s="338"/>
      <c r="X88" s="13"/>
    </row>
    <row r="89" spans="1:42" x14ac:dyDescent="0.25">
      <c r="A89" s="167">
        <f t="shared" si="17"/>
        <v>40268</v>
      </c>
      <c r="B89" s="170">
        <v>63113132</v>
      </c>
      <c r="C89" s="288">
        <f>'CDM Activity'!H71</f>
        <v>682791.63872007956</v>
      </c>
      <c r="D89" s="402">
        <f t="shared" ref="D89:D98" si="25">D88</f>
        <v>1.0445204387280596</v>
      </c>
      <c r="E89" s="171">
        <f t="shared" si="18"/>
        <v>713189.82203574828</v>
      </c>
      <c r="F89" s="171">
        <f t="shared" si="19"/>
        <v>63826321.822035745</v>
      </c>
      <c r="G89" s="222">
        <f t="shared" si="24"/>
        <v>679.39</v>
      </c>
      <c r="H89" s="222">
        <f t="shared" si="24"/>
        <v>0</v>
      </c>
      <c r="I89" s="169">
        <v>1</v>
      </c>
      <c r="J89" s="169">
        <v>31</v>
      </c>
      <c r="K89" s="287">
        <v>87</v>
      </c>
      <c r="L89" s="288">
        <v>32936</v>
      </c>
      <c r="M89" s="289">
        <v>135.46439060544563</v>
      </c>
      <c r="N89" s="292">
        <v>368</v>
      </c>
      <c r="O89" s="169">
        <v>179.9</v>
      </c>
      <c r="P89" s="291">
        <v>21.6</v>
      </c>
      <c r="Q89" s="287">
        <f t="shared" si="20"/>
        <v>71720804.647409856</v>
      </c>
      <c r="R89" s="291">
        <f t="shared" si="21"/>
        <v>713189.82203574828</v>
      </c>
      <c r="S89" s="287">
        <f t="shared" si="22"/>
        <v>71720804.647409856</v>
      </c>
      <c r="T89" s="50">
        <f t="shared" si="14"/>
        <v>8607672.6474098563</v>
      </c>
      <c r="U89" s="103">
        <f t="shared" si="15"/>
        <v>0.13638481207698355</v>
      </c>
      <c r="V89" s="13">
        <f t="shared" si="16"/>
        <v>0.13638481207698355</v>
      </c>
      <c r="W89" s="338"/>
      <c r="X89" s="13"/>
    </row>
    <row r="90" spans="1:42" x14ac:dyDescent="0.25">
      <c r="A90" s="167">
        <f t="shared" si="17"/>
        <v>40298</v>
      </c>
      <c r="B90" s="170">
        <v>53091250</v>
      </c>
      <c r="C90" s="288">
        <f>'CDM Activity'!H72</f>
        <v>655119.30369991565</v>
      </c>
      <c r="D90" s="402">
        <f t="shared" si="25"/>
        <v>1.0445204387280596</v>
      </c>
      <c r="E90" s="171">
        <f t="shared" si="18"/>
        <v>684285.50251985679</v>
      </c>
      <c r="F90" s="171">
        <f t="shared" si="19"/>
        <v>53775535.502519853</v>
      </c>
      <c r="G90" s="222">
        <f t="shared" si="24"/>
        <v>427.16999999999996</v>
      </c>
      <c r="H90" s="222">
        <f t="shared" si="24"/>
        <v>0.02</v>
      </c>
      <c r="I90" s="169">
        <v>1</v>
      </c>
      <c r="J90" s="169">
        <v>30</v>
      </c>
      <c r="K90" s="287">
        <v>88</v>
      </c>
      <c r="L90" s="288">
        <v>32921</v>
      </c>
      <c r="M90" s="289">
        <v>135.83139921454512</v>
      </c>
      <c r="N90" s="292">
        <v>320</v>
      </c>
      <c r="O90" s="169">
        <v>183.3</v>
      </c>
      <c r="P90" s="291">
        <v>19.8</v>
      </c>
      <c r="Q90" s="287">
        <f t="shared" si="20"/>
        <v>59937682.072650552</v>
      </c>
      <c r="R90" s="291">
        <f t="shared" si="21"/>
        <v>684285.50251985679</v>
      </c>
      <c r="S90" s="287">
        <f t="shared" si="22"/>
        <v>59937682.072650552</v>
      </c>
      <c r="T90" s="50">
        <f t="shared" si="14"/>
        <v>6846432.0726505518</v>
      </c>
      <c r="U90" s="103">
        <f t="shared" si="15"/>
        <v>0.12895594043558123</v>
      </c>
      <c r="V90" s="13">
        <f t="shared" si="16"/>
        <v>0.12895594043558123</v>
      </c>
      <c r="W90" s="338"/>
      <c r="X90" s="13"/>
    </row>
    <row r="91" spans="1:42" x14ac:dyDescent="0.25">
      <c r="A91" s="167">
        <f t="shared" si="17"/>
        <v>40329</v>
      </c>
      <c r="B91" s="170">
        <v>51133107</v>
      </c>
      <c r="C91" s="288">
        <f>'CDM Activity'!H73</f>
        <v>627446.96867975174</v>
      </c>
      <c r="D91" s="402">
        <f t="shared" si="25"/>
        <v>1.0445204387280596</v>
      </c>
      <c r="E91" s="171">
        <f t="shared" si="18"/>
        <v>655381.1830039653</v>
      </c>
      <c r="F91" s="171">
        <f t="shared" si="19"/>
        <v>51788488.183003962</v>
      </c>
      <c r="G91" s="222">
        <f t="shared" si="24"/>
        <v>232.2</v>
      </c>
      <c r="H91" s="222">
        <f t="shared" si="24"/>
        <v>3.9</v>
      </c>
      <c r="I91" s="169">
        <v>1</v>
      </c>
      <c r="J91" s="169">
        <v>31</v>
      </c>
      <c r="K91" s="287">
        <v>89</v>
      </c>
      <c r="L91" s="288">
        <v>32906</v>
      </c>
      <c r="M91" s="289">
        <v>136.19940214634852</v>
      </c>
      <c r="N91" s="292">
        <v>320</v>
      </c>
      <c r="O91" s="169">
        <v>186.1</v>
      </c>
      <c r="P91" s="291">
        <v>19.8</v>
      </c>
      <c r="Q91" s="287">
        <f t="shared" si="20"/>
        <v>54270644.16524455</v>
      </c>
      <c r="R91" s="291">
        <f t="shared" si="21"/>
        <v>655381.1830039653</v>
      </c>
      <c r="S91" s="287">
        <f t="shared" si="22"/>
        <v>54270644.16524455</v>
      </c>
      <c r="T91" s="50">
        <f t="shared" si="14"/>
        <v>3137537.1652445495</v>
      </c>
      <c r="U91" s="103">
        <f t="shared" si="15"/>
        <v>6.1360190086719148E-2</v>
      </c>
      <c r="V91" s="13">
        <f t="shared" si="16"/>
        <v>6.1360190086719148E-2</v>
      </c>
      <c r="W91" s="338"/>
      <c r="X91" s="13"/>
    </row>
    <row r="92" spans="1:42" x14ac:dyDescent="0.25">
      <c r="A92" s="167">
        <f t="shared" si="17"/>
        <v>40359</v>
      </c>
      <c r="B92" s="170">
        <v>47900766</v>
      </c>
      <c r="C92" s="288">
        <f>'CDM Activity'!H74</f>
        <v>599774.63365958782</v>
      </c>
      <c r="D92" s="402">
        <f t="shared" si="25"/>
        <v>1.0445204387280596</v>
      </c>
      <c r="E92" s="171">
        <f t="shared" si="18"/>
        <v>626476.86348807381</v>
      </c>
      <c r="F92" s="171">
        <f t="shared" si="19"/>
        <v>48527242.863488071</v>
      </c>
      <c r="G92" s="222">
        <f t="shared" si="24"/>
        <v>101.74</v>
      </c>
      <c r="H92" s="222">
        <f t="shared" si="24"/>
        <v>9.5400000000000009</v>
      </c>
      <c r="I92" s="169">
        <v>0</v>
      </c>
      <c r="J92" s="169">
        <v>30</v>
      </c>
      <c r="K92" s="287">
        <v>90</v>
      </c>
      <c r="L92" s="288">
        <v>32935</v>
      </c>
      <c r="M92" s="289">
        <v>136.56840209473719</v>
      </c>
      <c r="N92" s="292">
        <v>352</v>
      </c>
      <c r="O92" s="169">
        <v>189.4</v>
      </c>
      <c r="P92" s="291">
        <v>20</v>
      </c>
      <c r="Q92" s="287">
        <f t="shared" si="20"/>
        <v>50869153.414047927</v>
      </c>
      <c r="R92" s="291">
        <f t="shared" si="21"/>
        <v>626476.86348807381</v>
      </c>
      <c r="S92" s="287">
        <f t="shared" si="22"/>
        <v>50869153.414047927</v>
      </c>
      <c r="T92" s="50">
        <f t="shared" si="14"/>
        <v>2968387.4140479267</v>
      </c>
      <c r="U92" s="103">
        <f t="shared" si="15"/>
        <v>6.1969518693039828E-2</v>
      </c>
      <c r="V92" s="13">
        <f t="shared" si="16"/>
        <v>6.1969518693039828E-2</v>
      </c>
      <c r="W92" s="338"/>
      <c r="X92" s="13"/>
    </row>
    <row r="93" spans="1:42" x14ac:dyDescent="0.25">
      <c r="A93" s="167">
        <f t="shared" si="17"/>
        <v>40390</v>
      </c>
      <c r="B93" s="170">
        <v>53067071</v>
      </c>
      <c r="C93" s="288">
        <f>'CDM Activity'!H75</f>
        <v>572102.29863942391</v>
      </c>
      <c r="D93" s="402">
        <f t="shared" si="25"/>
        <v>1.0445204387280596</v>
      </c>
      <c r="E93" s="171">
        <f t="shared" si="18"/>
        <v>597572.54397218244</v>
      </c>
      <c r="F93" s="171">
        <f t="shared" si="19"/>
        <v>53664643.543972179</v>
      </c>
      <c r="G93" s="222">
        <f t="shared" si="24"/>
        <v>40.76</v>
      </c>
      <c r="H93" s="222">
        <f t="shared" si="24"/>
        <v>36.08</v>
      </c>
      <c r="I93" s="169">
        <v>0</v>
      </c>
      <c r="J93" s="169">
        <v>31</v>
      </c>
      <c r="K93" s="287">
        <v>91</v>
      </c>
      <c r="L93" s="288">
        <v>32948</v>
      </c>
      <c r="M93" s="289">
        <v>136.93840176089088</v>
      </c>
      <c r="N93" s="292">
        <v>336</v>
      </c>
      <c r="O93" s="169">
        <v>191.6</v>
      </c>
      <c r="P93" s="291">
        <v>22.1</v>
      </c>
      <c r="Q93" s="287">
        <f t="shared" si="20"/>
        <v>52519529.017022312</v>
      </c>
      <c r="R93" s="291">
        <f t="shared" si="21"/>
        <v>597572.54397218244</v>
      </c>
      <c r="S93" s="287">
        <f t="shared" si="22"/>
        <v>52519529.017022312</v>
      </c>
      <c r="T93" s="50">
        <f t="shared" si="14"/>
        <v>-547541.98297768831</v>
      </c>
      <c r="U93" s="103">
        <f t="shared" si="15"/>
        <v>-1.0317923575953312E-2</v>
      </c>
      <c r="V93" s="13">
        <f t="shared" si="16"/>
        <v>1.0317923575953312E-2</v>
      </c>
      <c r="W93" s="338"/>
      <c r="X93" s="13"/>
    </row>
    <row r="94" spans="1:42" x14ac:dyDescent="0.25">
      <c r="A94" s="167">
        <f t="shared" si="17"/>
        <v>40421</v>
      </c>
      <c r="B94" s="170">
        <v>53169361</v>
      </c>
      <c r="C94" s="288">
        <f>'CDM Activity'!H76</f>
        <v>544429.96361926</v>
      </c>
      <c r="D94" s="402">
        <f t="shared" si="25"/>
        <v>1.0445204387280596</v>
      </c>
      <c r="E94" s="171">
        <f t="shared" si="18"/>
        <v>568668.22445629095</v>
      </c>
      <c r="F94" s="171">
        <f t="shared" si="19"/>
        <v>53738029.224456288</v>
      </c>
      <c r="G94" s="222">
        <f t="shared" si="24"/>
        <v>42.03</v>
      </c>
      <c r="H94" s="222">
        <f t="shared" si="24"/>
        <v>33.799999999999997</v>
      </c>
      <c r="I94" s="169">
        <v>0</v>
      </c>
      <c r="J94" s="169">
        <v>31</v>
      </c>
      <c r="K94" s="287">
        <v>92</v>
      </c>
      <c r="L94" s="288">
        <v>32962</v>
      </c>
      <c r="M94" s="289">
        <v>137.30940385330757</v>
      </c>
      <c r="N94" s="292">
        <v>336</v>
      </c>
      <c r="O94" s="169">
        <v>192.4</v>
      </c>
      <c r="P94" s="291">
        <v>23.1</v>
      </c>
      <c r="Q94" s="287">
        <f t="shared" si="20"/>
        <v>52390814.199891955</v>
      </c>
      <c r="R94" s="291">
        <f t="shared" si="21"/>
        <v>568668.22445629095</v>
      </c>
      <c r="S94" s="287">
        <f t="shared" si="22"/>
        <v>52390814.199891955</v>
      </c>
      <c r="T94" s="50">
        <f t="shared" si="14"/>
        <v>-778546.80010804534</v>
      </c>
      <c r="U94" s="103">
        <f t="shared" si="15"/>
        <v>-1.4642771428229978E-2</v>
      </c>
      <c r="V94" s="13">
        <f t="shared" si="16"/>
        <v>1.4642771428229978E-2</v>
      </c>
      <c r="W94" s="338"/>
      <c r="X94" s="13"/>
    </row>
    <row r="95" spans="1:42" x14ac:dyDescent="0.25">
      <c r="A95" s="167">
        <f t="shared" si="17"/>
        <v>40451</v>
      </c>
      <c r="B95" s="170">
        <v>48479950</v>
      </c>
      <c r="C95" s="288">
        <f>'CDM Activity'!H77</f>
        <v>516757.62859909603</v>
      </c>
      <c r="D95" s="402">
        <f t="shared" si="25"/>
        <v>1.0445204387280596</v>
      </c>
      <c r="E95" s="171">
        <f t="shared" si="18"/>
        <v>539763.90494039946</v>
      </c>
      <c r="F95" s="171">
        <f t="shared" si="19"/>
        <v>49019713.904940397</v>
      </c>
      <c r="G95" s="222">
        <f t="shared" si="24"/>
        <v>129.35999999999999</v>
      </c>
      <c r="H95" s="222">
        <f t="shared" si="24"/>
        <v>11.58</v>
      </c>
      <c r="I95" s="169">
        <v>1</v>
      </c>
      <c r="J95" s="169">
        <v>30</v>
      </c>
      <c r="K95" s="287">
        <v>93</v>
      </c>
      <c r="L95" s="288">
        <v>32989</v>
      </c>
      <c r="M95" s="289">
        <v>137.68141108782325</v>
      </c>
      <c r="N95" s="292">
        <v>336</v>
      </c>
      <c r="O95" s="169">
        <v>192.5</v>
      </c>
      <c r="P95" s="291">
        <v>23.5</v>
      </c>
      <c r="Q95" s="287">
        <f t="shared" si="20"/>
        <v>49354494.664652199</v>
      </c>
      <c r="R95" s="291">
        <f t="shared" si="21"/>
        <v>539763.90494039946</v>
      </c>
      <c r="S95" s="287">
        <f t="shared" si="22"/>
        <v>49354494.664652199</v>
      </c>
      <c r="T95" s="50">
        <f t="shared" si="14"/>
        <v>874544.66465219855</v>
      </c>
      <c r="U95" s="103">
        <f t="shared" si="15"/>
        <v>1.8039306242110368E-2</v>
      </c>
      <c r="V95" s="13">
        <f t="shared" si="16"/>
        <v>1.8039306242110368E-2</v>
      </c>
      <c r="W95" s="338"/>
      <c r="X95" s="13"/>
    </row>
    <row r="96" spans="1:42" x14ac:dyDescent="0.25">
      <c r="A96" s="167">
        <f t="shared" si="17"/>
        <v>40482</v>
      </c>
      <c r="B96" s="170">
        <v>54414298</v>
      </c>
      <c r="C96" s="288">
        <f>'CDM Activity'!H78</f>
        <v>489085.29357893206</v>
      </c>
      <c r="D96" s="402">
        <f t="shared" si="25"/>
        <v>1.0445204387280596</v>
      </c>
      <c r="E96" s="171">
        <f t="shared" si="18"/>
        <v>510859.58542450791</v>
      </c>
      <c r="F96" s="171">
        <f t="shared" si="19"/>
        <v>54925157.585424505</v>
      </c>
      <c r="G96" s="222">
        <f t="shared" si="24"/>
        <v>306.13</v>
      </c>
      <c r="H96" s="222">
        <f t="shared" si="24"/>
        <v>0.47000000000000003</v>
      </c>
      <c r="I96" s="169">
        <v>1</v>
      </c>
      <c r="J96" s="169">
        <v>31</v>
      </c>
      <c r="K96" s="287">
        <v>94</v>
      </c>
      <c r="L96" s="288">
        <v>33019</v>
      </c>
      <c r="M96" s="289">
        <v>138.0544261876318</v>
      </c>
      <c r="N96" s="292">
        <v>320</v>
      </c>
      <c r="O96" s="169">
        <v>192.2</v>
      </c>
      <c r="P96" s="291">
        <v>22.1</v>
      </c>
      <c r="Q96" s="287">
        <f t="shared" si="20"/>
        <v>57204430.991204441</v>
      </c>
      <c r="R96" s="291">
        <f t="shared" si="21"/>
        <v>510859.58542450791</v>
      </c>
      <c r="S96" s="287">
        <f t="shared" si="22"/>
        <v>57204430.991204441</v>
      </c>
      <c r="T96" s="50">
        <f t="shared" si="14"/>
        <v>2790132.9912044406</v>
      </c>
      <c r="U96" s="103">
        <f t="shared" si="15"/>
        <v>5.1275732551110752E-2</v>
      </c>
      <c r="V96" s="13">
        <f t="shared" si="16"/>
        <v>5.1275732551110752E-2</v>
      </c>
      <c r="W96" s="338"/>
      <c r="X96" s="13"/>
      <c r="AF96" s="59"/>
    </row>
    <row r="97" spans="1:32" x14ac:dyDescent="0.25">
      <c r="A97" s="167">
        <f t="shared" si="17"/>
        <v>40512</v>
      </c>
      <c r="B97" s="170">
        <v>63109939</v>
      </c>
      <c r="C97" s="288">
        <f>'CDM Activity'!H79</f>
        <v>461412.95855876809</v>
      </c>
      <c r="D97" s="402">
        <f t="shared" si="25"/>
        <v>1.0445204387280596</v>
      </c>
      <c r="E97" s="171">
        <f t="shared" si="18"/>
        <v>481955.26590861642</v>
      </c>
      <c r="F97" s="171">
        <f t="shared" si="19"/>
        <v>63591894.265908614</v>
      </c>
      <c r="G97" s="222">
        <f t="shared" si="24"/>
        <v>480.06200000000001</v>
      </c>
      <c r="H97" s="222">
        <f t="shared" si="24"/>
        <v>0</v>
      </c>
      <c r="I97" s="169">
        <v>1</v>
      </c>
      <c r="J97" s="169">
        <v>30</v>
      </c>
      <c r="K97" s="287">
        <v>95</v>
      </c>
      <c r="L97" s="288">
        <v>33077</v>
      </c>
      <c r="M97" s="289">
        <v>138.42845188330503</v>
      </c>
      <c r="N97" s="292">
        <v>336</v>
      </c>
      <c r="O97" s="169">
        <v>192.2</v>
      </c>
      <c r="P97" s="291">
        <v>20.399999999999999</v>
      </c>
      <c r="Q97" s="287">
        <f t="shared" si="20"/>
        <v>62460814.195867628</v>
      </c>
      <c r="R97" s="291">
        <f t="shared" si="21"/>
        <v>481955.26590861642</v>
      </c>
      <c r="S97" s="287">
        <f t="shared" si="22"/>
        <v>62460814.195867628</v>
      </c>
      <c r="T97" s="50">
        <f t="shared" si="14"/>
        <v>-649124.80413237214</v>
      </c>
      <c r="U97" s="103">
        <f t="shared" si="15"/>
        <v>-1.0285619260896007E-2</v>
      </c>
      <c r="V97" s="13">
        <f t="shared" si="16"/>
        <v>1.0285619260896007E-2</v>
      </c>
      <c r="W97" s="338"/>
      <c r="X97" s="13"/>
      <c r="AF97" s="59"/>
    </row>
    <row r="98" spans="1:32" x14ac:dyDescent="0.25">
      <c r="A98" s="167">
        <f t="shared" si="17"/>
        <v>40543</v>
      </c>
      <c r="B98" s="170">
        <v>78427591</v>
      </c>
      <c r="C98" s="288">
        <f>'CDM Activity'!H80</f>
        <v>433740.62353860412</v>
      </c>
      <c r="D98" s="402">
        <f t="shared" si="25"/>
        <v>1.0445204387280596</v>
      </c>
      <c r="E98" s="171">
        <f t="shared" si="18"/>
        <v>453050.94639272487</v>
      </c>
      <c r="F98" s="171">
        <f t="shared" si="19"/>
        <v>78880641.94639273</v>
      </c>
      <c r="G98" s="222">
        <f t="shared" si="24"/>
        <v>702.73799999999994</v>
      </c>
      <c r="H98" s="222">
        <f t="shared" si="24"/>
        <v>0</v>
      </c>
      <c r="I98" s="169">
        <v>0</v>
      </c>
      <c r="J98" s="169">
        <v>31</v>
      </c>
      <c r="K98" s="287">
        <v>96</v>
      </c>
      <c r="L98" s="288">
        <v>33118</v>
      </c>
      <c r="M98" s="289">
        <v>138.80349091281266</v>
      </c>
      <c r="N98" s="292">
        <v>368</v>
      </c>
      <c r="O98" s="169">
        <v>191</v>
      </c>
      <c r="P98" s="291">
        <v>18.3</v>
      </c>
      <c r="Q98" s="287">
        <f t="shared" si="20"/>
        <v>75992031.58872059</v>
      </c>
      <c r="R98" s="291">
        <f t="shared" si="21"/>
        <v>453050.94639272487</v>
      </c>
      <c r="S98" s="287">
        <f t="shared" si="22"/>
        <v>75992031.58872059</v>
      </c>
      <c r="T98" s="50">
        <f t="shared" si="14"/>
        <v>-2435559.4112794101</v>
      </c>
      <c r="U98" s="103">
        <f t="shared" si="15"/>
        <v>-3.1054879797078175E-2</v>
      </c>
      <c r="V98" s="13">
        <f t="shared" si="16"/>
        <v>3.1054879797078175E-2</v>
      </c>
      <c r="W98" s="338"/>
      <c r="X98" s="13"/>
      <c r="AF98" s="59"/>
    </row>
    <row r="99" spans="1:32" x14ac:dyDescent="0.25">
      <c r="A99" s="167">
        <f>EOMONTH(A98,1)</f>
        <v>40574</v>
      </c>
      <c r="B99" s="170">
        <v>83643833</v>
      </c>
      <c r="C99" s="288">
        <f>'CDM Activity'!H81</f>
        <v>481551.78829860594</v>
      </c>
      <c r="D99" s="402">
        <f>'Rate Class Energy Model'!F20</f>
        <v>1.0465217405234657</v>
      </c>
      <c r="E99" s="171">
        <f t="shared" si="18"/>
        <v>503954.41564244457</v>
      </c>
      <c r="F99" s="171">
        <f t="shared" si="19"/>
        <v>84147787.41564244</v>
      </c>
      <c r="G99" s="222">
        <f t="shared" si="24"/>
        <v>824.21</v>
      </c>
      <c r="H99" s="222">
        <f t="shared" si="24"/>
        <v>0</v>
      </c>
      <c r="I99" s="169">
        <v>0</v>
      </c>
      <c r="J99" s="169">
        <v>31</v>
      </c>
      <c r="K99" s="287">
        <v>97</v>
      </c>
      <c r="L99" s="288">
        <v>33040</v>
      </c>
      <c r="M99" s="289">
        <v>139.10070640604135</v>
      </c>
      <c r="N99" s="292">
        <v>336</v>
      </c>
      <c r="O99" s="169">
        <v>189.3</v>
      </c>
      <c r="P99" s="291">
        <v>17.399999999999999</v>
      </c>
      <c r="Q99" s="287">
        <f t="shared" si="20"/>
        <v>80175655.279646054</v>
      </c>
      <c r="R99" s="291">
        <f t="shared" si="21"/>
        <v>503954.41564244457</v>
      </c>
      <c r="S99" s="287">
        <f t="shared" si="22"/>
        <v>80175655.279646054</v>
      </c>
      <c r="T99" s="50">
        <f t="shared" ref="T99:T130" si="26">S99-B99</f>
        <v>-3468177.7203539461</v>
      </c>
      <c r="U99" s="103">
        <f t="shared" ref="U99:U130" si="27">T99/B99</f>
        <v>-4.146363929010697E-2</v>
      </c>
      <c r="V99" s="13">
        <f t="shared" si="16"/>
        <v>4.146363929010697E-2</v>
      </c>
      <c r="W99" s="338"/>
      <c r="X99" s="13"/>
      <c r="AF99" s="59"/>
    </row>
    <row r="100" spans="1:32" x14ac:dyDescent="0.25">
      <c r="A100" s="167">
        <f t="shared" si="17"/>
        <v>40602</v>
      </c>
      <c r="B100" s="170">
        <v>72687185</v>
      </c>
      <c r="C100" s="288">
        <f>'CDM Activity'!H82</f>
        <v>529362.95305860776</v>
      </c>
      <c r="D100" s="402">
        <f>D99</f>
        <v>1.0465217405234657</v>
      </c>
      <c r="E100" s="171">
        <f t="shared" si="18"/>
        <v>553989.8390035358</v>
      </c>
      <c r="F100" s="171">
        <f t="shared" si="19"/>
        <v>73241174.839003533</v>
      </c>
      <c r="G100" s="222">
        <f t="shared" si="24"/>
        <v>754.11000000000013</v>
      </c>
      <c r="H100" s="222">
        <f t="shared" si="24"/>
        <v>0</v>
      </c>
      <c r="I100" s="169">
        <v>0</v>
      </c>
      <c r="J100" s="169">
        <v>28</v>
      </c>
      <c r="K100" s="287">
        <v>98</v>
      </c>
      <c r="L100" s="288">
        <v>33045</v>
      </c>
      <c r="M100" s="289">
        <v>139.39855831733732</v>
      </c>
      <c r="N100" s="292">
        <v>304</v>
      </c>
      <c r="O100" s="169">
        <v>185.4</v>
      </c>
      <c r="P100" s="291">
        <v>17.600000000000001</v>
      </c>
      <c r="Q100" s="287">
        <f t="shared" si="20"/>
        <v>72065162.417284861</v>
      </c>
      <c r="R100" s="291">
        <f t="shared" si="21"/>
        <v>553989.8390035358</v>
      </c>
      <c r="S100" s="287">
        <f t="shared" ref="S100:S131" si="28">+$Z$43+G100*$Z$44+H100*$Z$45+I100*$Z$46+J100*$Z$47+K100*$Z$48+ L100*$Z$49</f>
        <v>72065162.417284861</v>
      </c>
      <c r="T100" s="50">
        <f t="shared" si="26"/>
        <v>-622022.58271513879</v>
      </c>
      <c r="U100" s="103">
        <f t="shared" si="27"/>
        <v>-8.5575274749619037E-3</v>
      </c>
      <c r="V100" s="13">
        <f t="shared" si="16"/>
        <v>8.5575274749619037E-3</v>
      </c>
      <c r="W100" s="338"/>
      <c r="X100" s="13"/>
      <c r="AF100" s="59"/>
    </row>
    <row r="101" spans="1:32" x14ac:dyDescent="0.25">
      <c r="A101" s="167">
        <f t="shared" si="17"/>
        <v>40633</v>
      </c>
      <c r="B101" s="170">
        <v>72688244</v>
      </c>
      <c r="C101" s="288">
        <f>'CDM Activity'!H83</f>
        <v>577174.11781860958</v>
      </c>
      <c r="D101" s="402">
        <f t="shared" ref="D101:D110" si="29">D100</f>
        <v>1.0465217405234657</v>
      </c>
      <c r="E101" s="171">
        <f t="shared" si="18"/>
        <v>604025.26236462709</v>
      </c>
      <c r="F101" s="171">
        <f t="shared" si="19"/>
        <v>73292269.262364626</v>
      </c>
      <c r="G101" s="222">
        <f t="shared" si="24"/>
        <v>679.39</v>
      </c>
      <c r="H101" s="222">
        <f t="shared" si="24"/>
        <v>0</v>
      </c>
      <c r="I101" s="169">
        <v>1</v>
      </c>
      <c r="J101" s="169">
        <v>31</v>
      </c>
      <c r="K101" s="287">
        <v>99</v>
      </c>
      <c r="L101" s="288">
        <v>33047</v>
      </c>
      <c r="M101" s="289">
        <v>139.69704800944226</v>
      </c>
      <c r="N101" s="292">
        <v>368</v>
      </c>
      <c r="O101" s="169">
        <v>182.9</v>
      </c>
      <c r="P101" s="291">
        <v>18.399999999999999</v>
      </c>
      <c r="Q101" s="287">
        <f t="shared" si="20"/>
        <v>71540910.445255682</v>
      </c>
      <c r="R101" s="291">
        <f t="shared" si="21"/>
        <v>604025.26236462709</v>
      </c>
      <c r="S101" s="287">
        <f t="shared" si="28"/>
        <v>71540910.445255682</v>
      </c>
      <c r="T101" s="50">
        <f t="shared" si="26"/>
        <v>-1147333.5547443181</v>
      </c>
      <c r="U101" s="103">
        <f t="shared" si="27"/>
        <v>-1.578430694713602E-2</v>
      </c>
      <c r="V101" s="13">
        <f t="shared" si="16"/>
        <v>1.578430694713602E-2</v>
      </c>
      <c r="W101" s="338"/>
      <c r="X101" s="13"/>
      <c r="AF101" s="59"/>
    </row>
    <row r="102" spans="1:32" x14ac:dyDescent="0.25">
      <c r="A102" s="167">
        <f t="shared" si="17"/>
        <v>40663</v>
      </c>
      <c r="B102" s="170">
        <v>60902854</v>
      </c>
      <c r="C102" s="288">
        <f>'CDM Activity'!H84</f>
        <v>624985.2825786114</v>
      </c>
      <c r="D102" s="402">
        <f t="shared" si="29"/>
        <v>1.0465217405234657</v>
      </c>
      <c r="E102" s="171">
        <f t="shared" si="18"/>
        <v>654060.68572571839</v>
      </c>
      <c r="F102" s="171">
        <f t="shared" si="19"/>
        <v>61556914.685725719</v>
      </c>
      <c r="G102" s="222">
        <f t="shared" si="24"/>
        <v>427.16999999999996</v>
      </c>
      <c r="H102" s="222">
        <f t="shared" si="24"/>
        <v>0.02</v>
      </c>
      <c r="I102" s="169">
        <v>1</v>
      </c>
      <c r="J102" s="169">
        <v>30</v>
      </c>
      <c r="K102" s="287">
        <v>100</v>
      </c>
      <c r="L102" s="288">
        <v>33047</v>
      </c>
      <c r="M102" s="289">
        <v>139.99617684801592</v>
      </c>
      <c r="N102" s="292">
        <v>320</v>
      </c>
      <c r="O102" s="169">
        <v>182.2</v>
      </c>
      <c r="P102" s="291">
        <v>19.899999999999999</v>
      </c>
      <c r="Q102" s="287">
        <f t="shared" si="20"/>
        <v>59850820.825180441</v>
      </c>
      <c r="R102" s="291">
        <f t="shared" si="21"/>
        <v>654060.68572571839</v>
      </c>
      <c r="S102" s="287">
        <f t="shared" si="28"/>
        <v>59850820.825180441</v>
      </c>
      <c r="T102" s="50">
        <f t="shared" si="26"/>
        <v>-1052033.1748195589</v>
      </c>
      <c r="U102" s="103">
        <f t="shared" si="27"/>
        <v>-1.7273955253715348E-2</v>
      </c>
      <c r="V102" s="13">
        <f t="shared" si="16"/>
        <v>1.7273955253715348E-2</v>
      </c>
      <c r="W102" s="338"/>
      <c r="X102" s="13"/>
      <c r="AF102" s="59"/>
    </row>
    <row r="103" spans="1:32" x14ac:dyDescent="0.25">
      <c r="A103" s="167">
        <f t="shared" si="17"/>
        <v>40694</v>
      </c>
      <c r="B103" s="170">
        <v>52597908</v>
      </c>
      <c r="C103" s="288">
        <f>'CDM Activity'!H85</f>
        <v>672796.44733861322</v>
      </c>
      <c r="D103" s="402">
        <f t="shared" si="29"/>
        <v>1.0465217405234657</v>
      </c>
      <c r="E103" s="171">
        <f t="shared" si="18"/>
        <v>704096.10908680968</v>
      </c>
      <c r="F103" s="171">
        <f t="shared" si="19"/>
        <v>53302004.109086812</v>
      </c>
      <c r="G103" s="222">
        <f t="shared" si="24"/>
        <v>232.2</v>
      </c>
      <c r="H103" s="222">
        <f t="shared" si="24"/>
        <v>3.9</v>
      </c>
      <c r="I103" s="169">
        <v>1</v>
      </c>
      <c r="J103" s="169">
        <v>31</v>
      </c>
      <c r="K103" s="287">
        <v>101</v>
      </c>
      <c r="L103" s="288">
        <v>33046</v>
      </c>
      <c r="M103" s="289">
        <v>140.29594620164227</v>
      </c>
      <c r="N103" s="292">
        <v>336</v>
      </c>
      <c r="O103" s="169">
        <v>186.5</v>
      </c>
      <c r="P103" s="291">
        <v>20.2</v>
      </c>
      <c r="Q103" s="287">
        <f t="shared" si="20"/>
        <v>54270613.675479621</v>
      </c>
      <c r="R103" s="291">
        <f t="shared" si="21"/>
        <v>704096.10908680968</v>
      </c>
      <c r="S103" s="287">
        <f t="shared" si="28"/>
        <v>54270613.675479621</v>
      </c>
      <c r="T103" s="50">
        <f t="shared" si="26"/>
        <v>1672705.6754796207</v>
      </c>
      <c r="U103" s="103">
        <f t="shared" si="27"/>
        <v>3.1801752941953899E-2</v>
      </c>
      <c r="V103" s="13">
        <f t="shared" si="16"/>
        <v>3.1801752941953899E-2</v>
      </c>
      <c r="W103" s="338"/>
      <c r="X103" s="13"/>
      <c r="AF103" s="59"/>
    </row>
    <row r="104" spans="1:32" x14ac:dyDescent="0.25">
      <c r="A104" s="167">
        <f t="shared" si="17"/>
        <v>40724</v>
      </c>
      <c r="B104" s="170">
        <v>48777799</v>
      </c>
      <c r="C104" s="288">
        <f>'CDM Activity'!H86</f>
        <v>720607.61209861503</v>
      </c>
      <c r="D104" s="402">
        <f t="shared" si="29"/>
        <v>1.0465217405234657</v>
      </c>
      <c r="E104" s="171">
        <f t="shared" si="18"/>
        <v>754131.53244790097</v>
      </c>
      <c r="F104" s="171">
        <f t="shared" si="19"/>
        <v>49531930.532447904</v>
      </c>
      <c r="G104" s="222">
        <f t="shared" si="24"/>
        <v>101.74</v>
      </c>
      <c r="H104" s="222">
        <f t="shared" si="24"/>
        <v>9.5400000000000009</v>
      </c>
      <c r="I104" s="169">
        <v>0</v>
      </c>
      <c r="J104" s="169">
        <v>30</v>
      </c>
      <c r="K104" s="287">
        <v>102</v>
      </c>
      <c r="L104" s="288">
        <v>33056</v>
      </c>
      <c r="M104" s="289">
        <v>140.59635744183578</v>
      </c>
      <c r="N104" s="292">
        <v>352</v>
      </c>
      <c r="O104" s="169">
        <v>193</v>
      </c>
      <c r="P104" s="291">
        <v>19.3</v>
      </c>
      <c r="Q104" s="287">
        <f t="shared" si="20"/>
        <v>50751281.181683153</v>
      </c>
      <c r="R104" s="291">
        <f t="shared" si="21"/>
        <v>754131.53244790097</v>
      </c>
      <c r="S104" s="287">
        <f t="shared" si="28"/>
        <v>50751281.181683153</v>
      </c>
      <c r="T104" s="50">
        <f t="shared" si="26"/>
        <v>1973482.1816831529</v>
      </c>
      <c r="U104" s="103">
        <f t="shared" si="27"/>
        <v>4.0458614823583018E-2</v>
      </c>
      <c r="V104" s="13">
        <f t="shared" si="16"/>
        <v>4.0458614823583018E-2</v>
      </c>
      <c r="W104" s="338"/>
      <c r="X104" s="13"/>
      <c r="AF104" s="59"/>
    </row>
    <row r="105" spans="1:32" x14ac:dyDescent="0.25">
      <c r="A105" s="167">
        <f t="shared" si="17"/>
        <v>40755</v>
      </c>
      <c r="B105" s="170">
        <v>54638457</v>
      </c>
      <c r="C105" s="288">
        <f>'CDM Activity'!H87</f>
        <v>768418.77685861685</v>
      </c>
      <c r="D105" s="402">
        <f t="shared" si="29"/>
        <v>1.0465217405234657</v>
      </c>
      <c r="E105" s="171">
        <f t="shared" si="18"/>
        <v>804166.95580899226</v>
      </c>
      <c r="F105" s="171">
        <f t="shared" si="19"/>
        <v>55442623.95580899</v>
      </c>
      <c r="G105" s="222">
        <f t="shared" si="24"/>
        <v>40.76</v>
      </c>
      <c r="H105" s="222">
        <f t="shared" si="24"/>
        <v>36.08</v>
      </c>
      <c r="I105" s="169">
        <v>0</v>
      </c>
      <c r="J105" s="169">
        <v>31</v>
      </c>
      <c r="K105" s="287">
        <v>103</v>
      </c>
      <c r="L105" s="288">
        <v>33071</v>
      </c>
      <c r="M105" s="289">
        <v>140.89741194304773</v>
      </c>
      <c r="N105" s="292">
        <v>320</v>
      </c>
      <c r="O105" s="169">
        <v>198.4</v>
      </c>
      <c r="P105" s="291">
        <v>17.8</v>
      </c>
      <c r="Q105" s="287">
        <f t="shared" si="20"/>
        <v>52414061.178615421</v>
      </c>
      <c r="R105" s="291">
        <f t="shared" si="21"/>
        <v>804166.95580899226</v>
      </c>
      <c r="S105" s="287">
        <f t="shared" si="28"/>
        <v>52414061.178615421</v>
      </c>
      <c r="T105" s="50">
        <f t="shared" si="26"/>
        <v>-2224395.8213845789</v>
      </c>
      <c r="U105" s="103">
        <f t="shared" si="27"/>
        <v>-4.0711175672193282E-2</v>
      </c>
      <c r="V105" s="13">
        <f t="shared" si="16"/>
        <v>4.0711175672193282E-2</v>
      </c>
      <c r="W105" s="338"/>
      <c r="X105" s="13"/>
      <c r="AF105" s="59"/>
    </row>
    <row r="106" spans="1:32" x14ac:dyDescent="0.25">
      <c r="A106" s="167">
        <f t="shared" si="17"/>
        <v>40786</v>
      </c>
      <c r="B106" s="170">
        <v>54146196</v>
      </c>
      <c r="C106" s="288">
        <f>'CDM Activity'!H88</f>
        <v>816229.94161861867</v>
      </c>
      <c r="D106" s="402">
        <f t="shared" si="29"/>
        <v>1.0465217405234657</v>
      </c>
      <c r="E106" s="171">
        <f t="shared" si="18"/>
        <v>854202.37917008356</v>
      </c>
      <c r="F106" s="171">
        <f t="shared" si="19"/>
        <v>55000398.379170083</v>
      </c>
      <c r="G106" s="222">
        <f t="shared" si="24"/>
        <v>42.03</v>
      </c>
      <c r="H106" s="222">
        <f t="shared" si="24"/>
        <v>33.799999999999997</v>
      </c>
      <c r="I106" s="169">
        <v>0</v>
      </c>
      <c r="J106" s="169">
        <v>31</v>
      </c>
      <c r="K106" s="287">
        <v>104</v>
      </c>
      <c r="L106" s="288">
        <v>33098</v>
      </c>
      <c r="M106" s="289">
        <v>141.19911108267243</v>
      </c>
      <c r="N106" s="292">
        <v>352</v>
      </c>
      <c r="O106" s="169">
        <v>200.6</v>
      </c>
      <c r="P106" s="291">
        <v>16.899999999999999</v>
      </c>
      <c r="Q106" s="287">
        <f t="shared" si="20"/>
        <v>52365974.922211289</v>
      </c>
      <c r="R106" s="291">
        <f t="shared" si="21"/>
        <v>854202.37917008356</v>
      </c>
      <c r="S106" s="287">
        <f t="shared" si="28"/>
        <v>52365974.922211289</v>
      </c>
      <c r="T106" s="50">
        <f t="shared" si="26"/>
        <v>-1780221.0777887106</v>
      </c>
      <c r="U106" s="103">
        <f t="shared" si="27"/>
        <v>-3.2878045168467804E-2</v>
      </c>
      <c r="V106" s="13">
        <f t="shared" si="16"/>
        <v>3.2878045168467804E-2</v>
      </c>
      <c r="W106" s="338"/>
      <c r="X106" s="13"/>
      <c r="AF106" s="59"/>
    </row>
    <row r="107" spans="1:32" x14ac:dyDescent="0.25">
      <c r="A107" s="167">
        <f t="shared" si="17"/>
        <v>40816</v>
      </c>
      <c r="B107" s="170">
        <v>52585712</v>
      </c>
      <c r="C107" s="288">
        <f>'CDM Activity'!H89</f>
        <v>864041.10637862049</v>
      </c>
      <c r="D107" s="402">
        <f t="shared" si="29"/>
        <v>1.0465217405234657</v>
      </c>
      <c r="E107" s="171">
        <f t="shared" si="18"/>
        <v>904237.80253117485</v>
      </c>
      <c r="F107" s="171">
        <f t="shared" si="19"/>
        <v>53489949.802531175</v>
      </c>
      <c r="G107" s="222">
        <f t="shared" si="24"/>
        <v>129.35999999999999</v>
      </c>
      <c r="H107" s="222">
        <f t="shared" si="24"/>
        <v>11.58</v>
      </c>
      <c r="I107" s="169">
        <v>1</v>
      </c>
      <c r="J107" s="169">
        <v>30</v>
      </c>
      <c r="K107" s="287">
        <v>105</v>
      </c>
      <c r="L107" s="288">
        <v>33126</v>
      </c>
      <c r="M107" s="289">
        <v>141.50145624105357</v>
      </c>
      <c r="N107" s="292">
        <v>336</v>
      </c>
      <c r="O107" s="169">
        <v>200.6</v>
      </c>
      <c r="P107" s="291">
        <v>16.399999999999999</v>
      </c>
      <c r="Q107" s="287">
        <f t="shared" si="20"/>
        <v>49335857.58395046</v>
      </c>
      <c r="R107" s="291">
        <f t="shared" si="21"/>
        <v>904237.80253117485</v>
      </c>
      <c r="S107" s="287">
        <f t="shared" si="28"/>
        <v>49335857.58395046</v>
      </c>
      <c r="T107" s="50">
        <f t="shared" si="26"/>
        <v>-3249854.41604954</v>
      </c>
      <c r="U107" s="103">
        <f t="shared" si="27"/>
        <v>-6.1801091826037081E-2</v>
      </c>
      <c r="V107" s="13">
        <f t="shared" si="16"/>
        <v>6.1801091826037081E-2</v>
      </c>
      <c r="W107" s="338"/>
      <c r="X107" s="13"/>
      <c r="AF107" s="59"/>
    </row>
    <row r="108" spans="1:32" x14ac:dyDescent="0.25">
      <c r="A108" s="167">
        <f t="shared" si="17"/>
        <v>40847</v>
      </c>
      <c r="B108" s="170">
        <v>56921149</v>
      </c>
      <c r="C108" s="288">
        <f>'CDM Activity'!H90</f>
        <v>911852.27113862231</v>
      </c>
      <c r="D108" s="402">
        <f t="shared" si="29"/>
        <v>1.0465217405234657</v>
      </c>
      <c r="E108" s="171">
        <f t="shared" si="18"/>
        <v>954273.22589226614</v>
      </c>
      <c r="F108" s="171">
        <f t="shared" si="19"/>
        <v>57875422.225892268</v>
      </c>
      <c r="G108" s="222">
        <f t="shared" si="24"/>
        <v>306.13</v>
      </c>
      <c r="H108" s="222">
        <f t="shared" si="24"/>
        <v>0.47000000000000003</v>
      </c>
      <c r="I108" s="169">
        <v>1</v>
      </c>
      <c r="J108" s="169">
        <v>31</v>
      </c>
      <c r="K108" s="287">
        <v>106</v>
      </c>
      <c r="L108" s="288">
        <v>33143</v>
      </c>
      <c r="M108" s="289">
        <v>141.80444880149057</v>
      </c>
      <c r="N108" s="292">
        <v>320</v>
      </c>
      <c r="O108" s="169">
        <v>200.2</v>
      </c>
      <c r="P108" s="291">
        <v>15.5</v>
      </c>
      <c r="Q108" s="287">
        <f t="shared" si="20"/>
        <v>57105165.349776477</v>
      </c>
      <c r="R108" s="291">
        <f t="shared" si="21"/>
        <v>954273.22589226614</v>
      </c>
      <c r="S108" s="287">
        <f t="shared" si="28"/>
        <v>57105165.349776477</v>
      </c>
      <c r="T108" s="50">
        <f t="shared" si="26"/>
        <v>184016.34977647662</v>
      </c>
      <c r="U108" s="103">
        <f t="shared" si="27"/>
        <v>3.2328291506637827E-3</v>
      </c>
      <c r="V108" s="13">
        <f t="shared" si="16"/>
        <v>3.2328291506637827E-3</v>
      </c>
      <c r="W108" s="338"/>
      <c r="X108" s="13"/>
      <c r="AF108" s="59"/>
    </row>
    <row r="109" spans="1:32" x14ac:dyDescent="0.25">
      <c r="A109" s="167">
        <f t="shared" si="17"/>
        <v>40877</v>
      </c>
      <c r="B109" s="170">
        <v>61640573</v>
      </c>
      <c r="C109" s="288">
        <f>'CDM Activity'!H91</f>
        <v>959663.43589862413</v>
      </c>
      <c r="D109" s="402">
        <f t="shared" si="29"/>
        <v>1.0465217405234657</v>
      </c>
      <c r="E109" s="171">
        <f t="shared" si="18"/>
        <v>1004308.6492533574</v>
      </c>
      <c r="F109" s="171">
        <f t="shared" si="19"/>
        <v>62644881.649253361</v>
      </c>
      <c r="G109" s="222">
        <f t="shared" si="24"/>
        <v>480.06200000000001</v>
      </c>
      <c r="H109" s="222">
        <f t="shared" si="24"/>
        <v>0</v>
      </c>
      <c r="I109" s="169">
        <v>1</v>
      </c>
      <c r="J109" s="169">
        <v>30</v>
      </c>
      <c r="K109" s="287">
        <v>107</v>
      </c>
      <c r="L109" s="288">
        <v>33199</v>
      </c>
      <c r="M109" s="289">
        <v>142.10809015024478</v>
      </c>
      <c r="N109" s="292">
        <v>352</v>
      </c>
      <c r="O109" s="169">
        <v>198</v>
      </c>
      <c r="P109" s="291">
        <v>14.6</v>
      </c>
      <c r="Q109" s="287">
        <f t="shared" si="20"/>
        <v>62349144.160481781</v>
      </c>
      <c r="R109" s="291">
        <f t="shared" si="21"/>
        <v>1004308.6492533574</v>
      </c>
      <c r="S109" s="287">
        <f t="shared" si="28"/>
        <v>62349144.160481781</v>
      </c>
      <c r="T109" s="50">
        <f t="shared" si="26"/>
        <v>708571.16048178077</v>
      </c>
      <c r="U109" s="103">
        <f t="shared" si="27"/>
        <v>1.1495207231149209E-2</v>
      </c>
      <c r="V109" s="13">
        <f t="shared" si="16"/>
        <v>1.1495207231149209E-2</v>
      </c>
      <c r="W109" s="338"/>
      <c r="X109" s="13"/>
      <c r="AF109" s="59"/>
    </row>
    <row r="110" spans="1:32" x14ac:dyDescent="0.25">
      <c r="A110" s="167">
        <f t="shared" si="17"/>
        <v>40908</v>
      </c>
      <c r="B110" s="170">
        <v>73819284</v>
      </c>
      <c r="C110" s="288">
        <f>'CDM Activity'!H92</f>
        <v>1007474.6006586259</v>
      </c>
      <c r="D110" s="402">
        <f t="shared" si="29"/>
        <v>1.0465217405234657</v>
      </c>
      <c r="E110" s="171">
        <f t="shared" si="18"/>
        <v>1054344.0726144488</v>
      </c>
      <c r="F110" s="171">
        <f t="shared" si="19"/>
        <v>74873628.072614446</v>
      </c>
      <c r="G110" s="222">
        <f t="shared" si="24"/>
        <v>702.73799999999994</v>
      </c>
      <c r="H110" s="222">
        <f t="shared" si="24"/>
        <v>0</v>
      </c>
      <c r="I110" s="169">
        <v>0</v>
      </c>
      <c r="J110" s="169">
        <v>31</v>
      </c>
      <c r="K110" s="287">
        <v>108</v>
      </c>
      <c r="L110" s="288">
        <v>33248</v>
      </c>
      <c r="M110" s="289">
        <v>142.41238167654581</v>
      </c>
      <c r="N110" s="292">
        <v>336</v>
      </c>
      <c r="O110" s="169">
        <v>197.3</v>
      </c>
      <c r="P110" s="291">
        <v>14.1</v>
      </c>
      <c r="Q110" s="287">
        <f t="shared" si="20"/>
        <v>75929979.129166245</v>
      </c>
      <c r="R110" s="291">
        <f t="shared" si="21"/>
        <v>1054344.0726144488</v>
      </c>
      <c r="S110" s="287">
        <f t="shared" si="28"/>
        <v>75929979.129166245</v>
      </c>
      <c r="T110" s="50">
        <f t="shared" si="26"/>
        <v>2110695.1291662455</v>
      </c>
      <c r="U110" s="103">
        <f t="shared" si="27"/>
        <v>2.8592733697691317E-2</v>
      </c>
      <c r="V110" s="13">
        <f t="shared" si="16"/>
        <v>2.8592733697691317E-2</v>
      </c>
      <c r="W110" s="338"/>
      <c r="X110" s="13"/>
      <c r="AF110" s="59"/>
    </row>
    <row r="111" spans="1:32" x14ac:dyDescent="0.25">
      <c r="A111" s="167">
        <f t="shared" si="17"/>
        <v>40939</v>
      </c>
      <c r="B111" s="170">
        <v>73790226</v>
      </c>
      <c r="C111" s="288">
        <f>'CDM Activity'!H93</f>
        <v>1011767.0909852902</v>
      </c>
      <c r="D111" s="402">
        <f>'Rate Class Energy Model'!F21</f>
        <v>1.0446059893380324</v>
      </c>
      <c r="E111" s="171">
        <f t="shared" si="18"/>
        <v>1056897.9630583522</v>
      </c>
      <c r="F111" s="171">
        <f t="shared" si="19"/>
        <v>74847123.963058352</v>
      </c>
      <c r="G111" s="222">
        <f t="shared" si="24"/>
        <v>824.21</v>
      </c>
      <c r="H111" s="222">
        <f t="shared" si="24"/>
        <v>0</v>
      </c>
      <c r="I111" s="169">
        <v>0</v>
      </c>
      <c r="J111" s="169">
        <v>31</v>
      </c>
      <c r="K111" s="287">
        <v>109</v>
      </c>
      <c r="L111" s="288">
        <f>33198+5</f>
        <v>33203</v>
      </c>
      <c r="M111" s="289">
        <v>142.61257743956915</v>
      </c>
      <c r="N111" s="292">
        <v>336</v>
      </c>
      <c r="O111" s="169">
        <v>196.5</v>
      </c>
      <c r="P111" s="291">
        <v>15</v>
      </c>
      <c r="Q111" s="287">
        <f t="shared" si="20"/>
        <v>80318275.320396721</v>
      </c>
      <c r="R111" s="291">
        <f t="shared" si="21"/>
        <v>1056897.9630583522</v>
      </c>
      <c r="S111" s="287">
        <f t="shared" si="28"/>
        <v>80318275.320396721</v>
      </c>
      <c r="T111" s="50">
        <f t="shared" si="26"/>
        <v>6528049.3203967214</v>
      </c>
      <c r="U111" s="103">
        <f t="shared" si="27"/>
        <v>8.8467669422732514E-2</v>
      </c>
      <c r="V111" s="13">
        <f t="shared" si="16"/>
        <v>8.8467669422732514E-2</v>
      </c>
      <c r="W111" s="338"/>
      <c r="X111" s="13"/>
      <c r="AF111" s="59"/>
    </row>
    <row r="112" spans="1:32" x14ac:dyDescent="0.25">
      <c r="A112" s="167">
        <f t="shared" si="17"/>
        <v>40968</v>
      </c>
      <c r="B112" s="170">
        <v>68046427</v>
      </c>
      <c r="C112" s="288">
        <f>'CDM Activity'!H94</f>
        <v>1016059.5813119545</v>
      </c>
      <c r="D112" s="402">
        <f>D111</f>
        <v>1.0446059893380324</v>
      </c>
      <c r="E112" s="171">
        <f t="shared" si="18"/>
        <v>1061381.9241627613</v>
      </c>
      <c r="F112" s="171">
        <f t="shared" si="19"/>
        <v>69107808.92416276</v>
      </c>
      <c r="G112" s="222">
        <f t="shared" si="24"/>
        <v>754.11000000000013</v>
      </c>
      <c r="H112" s="222">
        <f t="shared" si="24"/>
        <v>0</v>
      </c>
      <c r="I112" s="169">
        <v>0</v>
      </c>
      <c r="J112" s="169">
        <v>29</v>
      </c>
      <c r="K112" s="287">
        <v>110</v>
      </c>
      <c r="L112" s="288">
        <f>33198+5</f>
        <v>33203</v>
      </c>
      <c r="M112" s="289">
        <v>142.81305462716429</v>
      </c>
      <c r="N112" s="292">
        <v>320</v>
      </c>
      <c r="O112" s="169">
        <v>198.1</v>
      </c>
      <c r="P112" s="291">
        <v>15.7</v>
      </c>
      <c r="Q112" s="287">
        <f t="shared" si="20"/>
        <v>73954733.811824828</v>
      </c>
      <c r="R112" s="291">
        <f t="shared" si="21"/>
        <v>1061381.9241627613</v>
      </c>
      <c r="S112" s="287">
        <f t="shared" si="28"/>
        <v>73954733.811824828</v>
      </c>
      <c r="T112" s="50">
        <f t="shared" si="26"/>
        <v>5908306.8118248284</v>
      </c>
      <c r="U112" s="103">
        <f t="shared" si="27"/>
        <v>8.6827583347246551E-2</v>
      </c>
      <c r="V112" s="13">
        <f t="shared" si="16"/>
        <v>8.6827583347246551E-2</v>
      </c>
      <c r="W112" s="338"/>
      <c r="X112" s="13"/>
      <c r="AF112" s="59"/>
    </row>
    <row r="113" spans="1:32" x14ac:dyDescent="0.25">
      <c r="A113" s="167">
        <f t="shared" si="17"/>
        <v>40999</v>
      </c>
      <c r="B113" s="170">
        <v>64860708</v>
      </c>
      <c r="C113" s="288">
        <f>'CDM Activity'!H95</f>
        <v>1020352.0716386188</v>
      </c>
      <c r="D113" s="402">
        <f t="shared" ref="D113:D122" si="30">D112</f>
        <v>1.0446059893380324</v>
      </c>
      <c r="E113" s="171">
        <f t="shared" si="18"/>
        <v>1065865.8852671704</v>
      </c>
      <c r="F113" s="171">
        <f t="shared" si="19"/>
        <v>65926573.885267168</v>
      </c>
      <c r="G113" s="222">
        <f t="shared" si="24"/>
        <v>679.39</v>
      </c>
      <c r="H113" s="222">
        <f t="shared" si="24"/>
        <v>0</v>
      </c>
      <c r="I113" s="169">
        <v>1</v>
      </c>
      <c r="J113" s="169">
        <v>31</v>
      </c>
      <c r="K113" s="287">
        <v>111</v>
      </c>
      <c r="L113" s="288">
        <f>33198+5</f>
        <v>33203</v>
      </c>
      <c r="M113" s="289">
        <v>143.01381363494295</v>
      </c>
      <c r="N113" s="292">
        <v>352</v>
      </c>
      <c r="O113" s="169">
        <v>195.9</v>
      </c>
      <c r="P113" s="291">
        <v>17.899999999999999</v>
      </c>
      <c r="Q113" s="287">
        <f t="shared" si="20"/>
        <v>71640115.107153773</v>
      </c>
      <c r="R113" s="291">
        <f t="shared" si="21"/>
        <v>1065865.8852671704</v>
      </c>
      <c r="S113" s="287">
        <f t="shared" si="28"/>
        <v>71640115.107153773</v>
      </c>
      <c r="T113" s="50">
        <f t="shared" si="26"/>
        <v>6779407.1071537733</v>
      </c>
      <c r="U113" s="103">
        <f t="shared" si="27"/>
        <v>0.10452255789674349</v>
      </c>
      <c r="V113" s="13">
        <f t="shared" si="16"/>
        <v>0.10452255789674349</v>
      </c>
      <c r="W113" s="338"/>
      <c r="X113" s="13"/>
      <c r="AF113" s="59"/>
    </row>
    <row r="114" spans="1:32" x14ac:dyDescent="0.25">
      <c r="A114" s="167">
        <f t="shared" si="17"/>
        <v>41029</v>
      </c>
      <c r="B114" s="170">
        <v>55490558</v>
      </c>
      <c r="C114" s="288">
        <f>'CDM Activity'!H96</f>
        <v>1024644.5619652831</v>
      </c>
      <c r="D114" s="402">
        <f t="shared" si="30"/>
        <v>1.0446059893380324</v>
      </c>
      <c r="E114" s="171">
        <f t="shared" si="18"/>
        <v>1070349.8463715794</v>
      </c>
      <c r="F114" s="171">
        <f t="shared" si="19"/>
        <v>56560907.846371576</v>
      </c>
      <c r="G114" s="222">
        <f t="shared" si="24"/>
        <v>427.16999999999996</v>
      </c>
      <c r="H114" s="222">
        <f t="shared" si="24"/>
        <v>0.02</v>
      </c>
      <c r="I114" s="169">
        <v>1</v>
      </c>
      <c r="J114" s="169">
        <v>30</v>
      </c>
      <c r="K114" s="287">
        <v>112</v>
      </c>
      <c r="L114" s="288">
        <f>33205+5</f>
        <v>33210</v>
      </c>
      <c r="M114" s="289">
        <v>143.21485485907297</v>
      </c>
      <c r="N114" s="292">
        <v>320</v>
      </c>
      <c r="O114" s="169">
        <v>194.4</v>
      </c>
      <c r="P114" s="291">
        <v>17.600000000000001</v>
      </c>
      <c r="Q114" s="287">
        <f t="shared" si="20"/>
        <v>59993440.865931123</v>
      </c>
      <c r="R114" s="291">
        <f t="shared" si="21"/>
        <v>1070349.8463715794</v>
      </c>
      <c r="S114" s="287">
        <f t="shared" si="28"/>
        <v>59993440.865931123</v>
      </c>
      <c r="T114" s="50">
        <f t="shared" si="26"/>
        <v>4502882.8659311235</v>
      </c>
      <c r="U114" s="103">
        <f t="shared" si="27"/>
        <v>8.1146829807174109E-2</v>
      </c>
      <c r="V114" s="13">
        <f t="shared" si="16"/>
        <v>8.1146829807174109E-2</v>
      </c>
      <c r="W114" s="338"/>
      <c r="X114" s="13"/>
      <c r="AF114" s="59"/>
    </row>
    <row r="115" spans="1:32" x14ac:dyDescent="0.25">
      <c r="A115" s="167">
        <f t="shared" si="17"/>
        <v>41060</v>
      </c>
      <c r="B115" s="170">
        <v>50211578</v>
      </c>
      <c r="C115" s="288">
        <f>'CDM Activity'!H97</f>
        <v>1028937.0522919474</v>
      </c>
      <c r="D115" s="402">
        <f t="shared" si="30"/>
        <v>1.0446059893380324</v>
      </c>
      <c r="E115" s="171">
        <f t="shared" si="18"/>
        <v>1074833.8074759885</v>
      </c>
      <c r="F115" s="171">
        <f t="shared" si="19"/>
        <v>51286411.807475992</v>
      </c>
      <c r="G115" s="222">
        <f t="shared" si="24"/>
        <v>232.2</v>
      </c>
      <c r="H115" s="222">
        <f t="shared" si="24"/>
        <v>3.9</v>
      </c>
      <c r="I115" s="169">
        <v>1</v>
      </c>
      <c r="J115" s="169">
        <v>31</v>
      </c>
      <c r="K115" s="287">
        <v>113</v>
      </c>
      <c r="L115" s="288">
        <f>33205+5</f>
        <v>33210</v>
      </c>
      <c r="M115" s="289">
        <v>143.41617869627913</v>
      </c>
      <c r="N115" s="292">
        <v>352</v>
      </c>
      <c r="O115" s="169">
        <v>192.8</v>
      </c>
      <c r="P115" s="291">
        <v>18.2</v>
      </c>
      <c r="Q115" s="287">
        <f t="shared" si="20"/>
        <v>54419435.91320923</v>
      </c>
      <c r="R115" s="291">
        <f t="shared" si="21"/>
        <v>1074833.8074759885</v>
      </c>
      <c r="S115" s="287">
        <f t="shared" si="28"/>
        <v>54419435.91320923</v>
      </c>
      <c r="T115" s="50">
        <f t="shared" si="26"/>
        <v>4207857.9132092297</v>
      </c>
      <c r="U115" s="103">
        <f t="shared" si="27"/>
        <v>8.3802542776274219E-2</v>
      </c>
      <c r="V115" s="13">
        <f t="shared" si="16"/>
        <v>8.3802542776274219E-2</v>
      </c>
      <c r="W115" s="338"/>
      <c r="X115" s="13"/>
      <c r="AF115" s="59"/>
    </row>
    <row r="116" spans="1:32" x14ac:dyDescent="0.25">
      <c r="A116" s="167">
        <f t="shared" si="17"/>
        <v>41090</v>
      </c>
      <c r="B116" s="170">
        <v>50441593</v>
      </c>
      <c r="C116" s="288">
        <f>'CDM Activity'!H98</f>
        <v>1033229.5426186117</v>
      </c>
      <c r="D116" s="402">
        <f t="shared" si="30"/>
        <v>1.0446059893380324</v>
      </c>
      <c r="E116" s="171">
        <f t="shared" si="18"/>
        <v>1079317.7685803976</v>
      </c>
      <c r="F116" s="171">
        <f t="shared" si="19"/>
        <v>51520910.768580399</v>
      </c>
      <c r="G116" s="222">
        <f t="shared" si="24"/>
        <v>101.74</v>
      </c>
      <c r="H116" s="222">
        <f t="shared" si="24"/>
        <v>9.5400000000000009</v>
      </c>
      <c r="I116" s="169">
        <v>0</v>
      </c>
      <c r="J116" s="169">
        <v>30</v>
      </c>
      <c r="K116" s="287">
        <v>114</v>
      </c>
      <c r="L116" s="288">
        <f>33205+5</f>
        <v>33210</v>
      </c>
      <c r="M116" s="289">
        <v>143.61778554384387</v>
      </c>
      <c r="N116" s="292">
        <v>336</v>
      </c>
      <c r="O116" s="169">
        <v>193.4</v>
      </c>
      <c r="P116" s="291">
        <v>17.399999999999999</v>
      </c>
      <c r="Q116" s="287">
        <f t="shared" si="20"/>
        <v>50838081.449623346</v>
      </c>
      <c r="R116" s="291">
        <f t="shared" si="21"/>
        <v>1079317.7685803976</v>
      </c>
      <c r="S116" s="287">
        <f t="shared" si="28"/>
        <v>50838081.449623346</v>
      </c>
      <c r="T116" s="50">
        <f t="shared" si="26"/>
        <v>396488.44962334633</v>
      </c>
      <c r="U116" s="103">
        <f t="shared" si="27"/>
        <v>7.860347503762348E-3</v>
      </c>
      <c r="V116" s="13">
        <f t="shared" si="16"/>
        <v>7.860347503762348E-3</v>
      </c>
      <c r="W116" s="338"/>
      <c r="X116" s="13"/>
      <c r="AF116" s="59"/>
    </row>
    <row r="117" spans="1:32" x14ac:dyDescent="0.25">
      <c r="A117" s="167">
        <f t="shared" si="17"/>
        <v>41121</v>
      </c>
      <c r="B117" s="170">
        <v>52218431</v>
      </c>
      <c r="C117" s="288">
        <f>'CDM Activity'!H99</f>
        <v>1037522.032945276</v>
      </c>
      <c r="D117" s="402">
        <f t="shared" si="30"/>
        <v>1.0446059893380324</v>
      </c>
      <c r="E117" s="171">
        <f t="shared" si="18"/>
        <v>1083801.7296848067</v>
      </c>
      <c r="F117" s="171">
        <f t="shared" si="19"/>
        <v>53302232.729684807</v>
      </c>
      <c r="G117" s="222">
        <f t="shared" si="24"/>
        <v>40.76</v>
      </c>
      <c r="H117" s="222">
        <f t="shared" si="24"/>
        <v>36.08</v>
      </c>
      <c r="I117" s="169">
        <v>0</v>
      </c>
      <c r="J117" s="169">
        <v>31</v>
      </c>
      <c r="K117" s="287">
        <v>115</v>
      </c>
      <c r="L117" s="288">
        <f>33207+5</f>
        <v>33212</v>
      </c>
      <c r="M117" s="289">
        <v>143.81967579960809</v>
      </c>
      <c r="N117" s="292">
        <v>336</v>
      </c>
      <c r="O117" s="169">
        <v>194.2</v>
      </c>
      <c r="P117" s="291">
        <v>18.7</v>
      </c>
      <c r="Q117" s="287">
        <f t="shared" si="20"/>
        <v>52420232.885829419</v>
      </c>
      <c r="R117" s="291">
        <f t="shared" si="21"/>
        <v>1083801.7296848067</v>
      </c>
      <c r="S117" s="287">
        <f t="shared" si="28"/>
        <v>52420232.885829419</v>
      </c>
      <c r="T117" s="50">
        <f t="shared" si="26"/>
        <v>201801.8858294189</v>
      </c>
      <c r="U117" s="103">
        <f t="shared" si="27"/>
        <v>3.8645719904801218E-3</v>
      </c>
      <c r="V117" s="13">
        <f t="shared" si="16"/>
        <v>3.8645719904801218E-3</v>
      </c>
      <c r="W117" s="338"/>
      <c r="X117" s="13"/>
      <c r="AF117" s="59"/>
    </row>
    <row r="118" spans="1:32" x14ac:dyDescent="0.25">
      <c r="A118" s="167">
        <f t="shared" si="17"/>
        <v>41152</v>
      </c>
      <c r="B118" s="170">
        <v>51797361</v>
      </c>
      <c r="C118" s="288">
        <f>'CDM Activity'!H100</f>
        <v>1041814.5232719403</v>
      </c>
      <c r="D118" s="402">
        <f t="shared" si="30"/>
        <v>1.0446059893380324</v>
      </c>
      <c r="E118" s="171">
        <f t="shared" si="18"/>
        <v>1088285.6907892157</v>
      </c>
      <c r="F118" s="171">
        <f t="shared" si="19"/>
        <v>52885646.690789215</v>
      </c>
      <c r="G118" s="222">
        <f t="shared" si="24"/>
        <v>42.03</v>
      </c>
      <c r="H118" s="222">
        <f t="shared" si="24"/>
        <v>33.799999999999997</v>
      </c>
      <c r="I118" s="169">
        <v>0</v>
      </c>
      <c r="J118" s="169">
        <v>31</v>
      </c>
      <c r="K118" s="287">
        <v>116</v>
      </c>
      <c r="L118" s="288">
        <f>33207+5</f>
        <v>33212</v>
      </c>
      <c r="M118" s="289">
        <v>144.02184986197204</v>
      </c>
      <c r="N118" s="292">
        <v>352</v>
      </c>
      <c r="O118" s="169">
        <v>192.2</v>
      </c>
      <c r="P118" s="291">
        <v>19.899999999999999</v>
      </c>
      <c r="Q118" s="287">
        <f t="shared" si="20"/>
        <v>52204687.31099394</v>
      </c>
      <c r="R118" s="291">
        <f t="shared" si="21"/>
        <v>1088285.6907892157</v>
      </c>
      <c r="S118" s="287">
        <f t="shared" si="28"/>
        <v>52204687.31099394</v>
      </c>
      <c r="T118" s="50">
        <f t="shared" si="26"/>
        <v>407326.31099393964</v>
      </c>
      <c r="U118" s="103">
        <f t="shared" si="27"/>
        <v>7.8638429280970448E-3</v>
      </c>
      <c r="V118" s="13">
        <f t="shared" si="16"/>
        <v>7.8638429280970448E-3</v>
      </c>
      <c r="W118" s="338"/>
      <c r="X118" s="13"/>
      <c r="AF118" s="59"/>
    </row>
    <row r="119" spans="1:32" x14ac:dyDescent="0.25">
      <c r="A119" s="167">
        <f t="shared" si="17"/>
        <v>41182</v>
      </c>
      <c r="B119" s="170">
        <v>49181637</v>
      </c>
      <c r="C119" s="288">
        <f>'CDM Activity'!H101</f>
        <v>1046107.0135986046</v>
      </c>
      <c r="D119" s="402">
        <f t="shared" si="30"/>
        <v>1.0446059893380324</v>
      </c>
      <c r="E119" s="171">
        <f t="shared" si="18"/>
        <v>1092769.6518936248</v>
      </c>
      <c r="F119" s="171">
        <f t="shared" si="19"/>
        <v>50274406.651893623</v>
      </c>
      <c r="G119" s="222">
        <f t="shared" si="24"/>
        <v>129.35999999999999</v>
      </c>
      <c r="H119" s="222">
        <f t="shared" si="24"/>
        <v>11.58</v>
      </c>
      <c r="I119" s="169">
        <v>1</v>
      </c>
      <c r="J119" s="169">
        <v>30</v>
      </c>
      <c r="K119" s="287">
        <v>117</v>
      </c>
      <c r="L119" s="288">
        <f>33207+5</f>
        <v>33212</v>
      </c>
      <c r="M119" s="289">
        <v>144.22430812989595</v>
      </c>
      <c r="N119" s="292">
        <v>304</v>
      </c>
      <c r="O119" s="169">
        <v>190.9</v>
      </c>
      <c r="P119" s="291">
        <v>19.899999999999999</v>
      </c>
      <c r="Q119" s="287">
        <f t="shared" si="20"/>
        <v>49000908.457322836</v>
      </c>
      <c r="R119" s="291">
        <f t="shared" si="21"/>
        <v>1092769.6518936248</v>
      </c>
      <c r="S119" s="287">
        <f t="shared" si="28"/>
        <v>49000908.457322836</v>
      </c>
      <c r="T119" s="50">
        <f t="shared" si="26"/>
        <v>-180728.54267716408</v>
      </c>
      <c r="U119" s="103">
        <f t="shared" si="27"/>
        <v>-3.6747158838402244E-3</v>
      </c>
      <c r="V119" s="13">
        <f t="shared" si="16"/>
        <v>3.6747158838402244E-3</v>
      </c>
      <c r="W119" s="338"/>
      <c r="X119" s="13"/>
      <c r="AF119" s="59"/>
    </row>
    <row r="120" spans="1:32" x14ac:dyDescent="0.25">
      <c r="A120" s="167">
        <f t="shared" si="17"/>
        <v>41213</v>
      </c>
      <c r="B120" s="170">
        <v>55200719</v>
      </c>
      <c r="C120" s="288">
        <f>'CDM Activity'!H102</f>
        <v>1050399.5039252688</v>
      </c>
      <c r="D120" s="402">
        <f t="shared" si="30"/>
        <v>1.0446059893380324</v>
      </c>
      <c r="E120" s="171">
        <f t="shared" si="18"/>
        <v>1097253.6129980339</v>
      </c>
      <c r="F120" s="171">
        <f t="shared" si="19"/>
        <v>56297972.612998031</v>
      </c>
      <c r="G120" s="222">
        <f t="shared" si="24"/>
        <v>306.13</v>
      </c>
      <c r="H120" s="222">
        <f t="shared" si="24"/>
        <v>0.47000000000000003</v>
      </c>
      <c r="I120" s="169">
        <v>1</v>
      </c>
      <c r="J120" s="169">
        <v>31</v>
      </c>
      <c r="K120" s="287">
        <v>118</v>
      </c>
      <c r="L120" s="288">
        <f>33050+5</f>
        <v>33055</v>
      </c>
      <c r="M120" s="289">
        <v>144.42705100290087</v>
      </c>
      <c r="N120" s="292">
        <v>352</v>
      </c>
      <c r="O120" s="169">
        <v>190.6</v>
      </c>
      <c r="P120" s="291">
        <v>19</v>
      </c>
      <c r="Q120" s="287">
        <f t="shared" si="20"/>
        <v>55691033.948813468</v>
      </c>
      <c r="R120" s="291">
        <f t="shared" si="21"/>
        <v>1097253.6129980339</v>
      </c>
      <c r="S120" s="287">
        <f t="shared" si="28"/>
        <v>55691033.948813468</v>
      </c>
      <c r="T120" s="50">
        <f t="shared" si="26"/>
        <v>490314.94881346822</v>
      </c>
      <c r="U120" s="103">
        <f t="shared" si="27"/>
        <v>8.8824014921520898E-3</v>
      </c>
      <c r="V120" s="13">
        <f t="shared" si="16"/>
        <v>8.8824014921520898E-3</v>
      </c>
      <c r="W120" s="338"/>
      <c r="X120" s="13"/>
    </row>
    <row r="121" spans="1:32" x14ac:dyDescent="0.25">
      <c r="A121" s="167">
        <f t="shared" si="17"/>
        <v>41243</v>
      </c>
      <c r="B121" s="170">
        <v>63048824</v>
      </c>
      <c r="C121" s="288">
        <f>'CDM Activity'!H103</f>
        <v>1054691.9942519329</v>
      </c>
      <c r="D121" s="402">
        <f t="shared" si="30"/>
        <v>1.0446059893380324</v>
      </c>
      <c r="E121" s="171">
        <f t="shared" si="18"/>
        <v>1101737.5741024427</v>
      </c>
      <c r="F121" s="171">
        <f t="shared" si="19"/>
        <v>64150561.574102446</v>
      </c>
      <c r="G121" s="222">
        <f t="shared" si="24"/>
        <v>480.06200000000001</v>
      </c>
      <c r="H121" s="222">
        <f t="shared" si="24"/>
        <v>0</v>
      </c>
      <c r="I121" s="169">
        <v>1</v>
      </c>
      <c r="J121" s="169">
        <v>30</v>
      </c>
      <c r="K121" s="287">
        <v>119</v>
      </c>
      <c r="L121" s="288">
        <f>33050+5</f>
        <v>33055</v>
      </c>
      <c r="M121" s="289">
        <v>144.63007888106955</v>
      </c>
      <c r="N121" s="292">
        <v>352</v>
      </c>
      <c r="O121" s="169">
        <v>193.1</v>
      </c>
      <c r="P121" s="291">
        <v>18</v>
      </c>
      <c r="Q121" s="287">
        <f t="shared" si="20"/>
        <v>60587689.728698224</v>
      </c>
      <c r="R121" s="291">
        <f t="shared" si="21"/>
        <v>1101737.5741024427</v>
      </c>
      <c r="S121" s="287">
        <f t="shared" si="28"/>
        <v>60587689.728698224</v>
      </c>
      <c r="T121" s="50">
        <f t="shared" si="26"/>
        <v>-2461134.2713017762</v>
      </c>
      <c r="U121" s="103">
        <f t="shared" si="27"/>
        <v>-3.9035371560646022E-2</v>
      </c>
      <c r="V121" s="13">
        <f t="shared" si="16"/>
        <v>3.9035371560646022E-2</v>
      </c>
      <c r="W121" s="338"/>
      <c r="X121" s="13"/>
    </row>
    <row r="122" spans="1:32" x14ac:dyDescent="0.25">
      <c r="A122" s="167">
        <f t="shared" si="17"/>
        <v>41274</v>
      </c>
      <c r="B122" s="170">
        <v>72665451</v>
      </c>
      <c r="C122" s="288">
        <f>'CDM Activity'!H104</f>
        <v>1058984.4845785971</v>
      </c>
      <c r="D122" s="402">
        <f t="shared" si="30"/>
        <v>1.0446059893380324</v>
      </c>
      <c r="E122" s="171">
        <f t="shared" si="18"/>
        <v>1106221.5352068518</v>
      </c>
      <c r="F122" s="171">
        <f t="shared" si="19"/>
        <v>73771672.535206854</v>
      </c>
      <c r="G122" s="222">
        <f t="shared" si="24"/>
        <v>702.73799999999994</v>
      </c>
      <c r="H122" s="222">
        <f t="shared" si="24"/>
        <v>0</v>
      </c>
      <c r="I122" s="169">
        <v>0</v>
      </c>
      <c r="J122" s="169">
        <v>31</v>
      </c>
      <c r="K122" s="287">
        <v>120</v>
      </c>
      <c r="L122" s="288">
        <f>33050+5</f>
        <v>33055</v>
      </c>
      <c r="M122" s="289">
        <v>144.83339216504706</v>
      </c>
      <c r="N122" s="292">
        <v>304</v>
      </c>
      <c r="O122" s="169">
        <v>194.2</v>
      </c>
      <c r="P122" s="291">
        <v>18.7</v>
      </c>
      <c r="Q122" s="287">
        <f t="shared" si="20"/>
        <v>73864617.045414671</v>
      </c>
      <c r="R122" s="291">
        <f t="shared" si="21"/>
        <v>1106221.5352068518</v>
      </c>
      <c r="S122" s="287">
        <f t="shared" si="28"/>
        <v>73864617.045414671</v>
      </c>
      <c r="T122" s="50">
        <f t="shared" si="26"/>
        <v>1199166.0454146713</v>
      </c>
      <c r="U122" s="103">
        <f t="shared" si="27"/>
        <v>1.6502561105891593E-2</v>
      </c>
      <c r="V122" s="13">
        <f t="shared" si="16"/>
        <v>1.6502561105891593E-2</v>
      </c>
      <c r="W122" s="338"/>
      <c r="X122" s="13"/>
    </row>
    <row r="123" spans="1:32" x14ac:dyDescent="0.25">
      <c r="A123" s="167">
        <f t="shared" si="17"/>
        <v>41305</v>
      </c>
      <c r="B123" s="170">
        <v>77430385</v>
      </c>
      <c r="C123" s="288">
        <f>'CDM Activity'!H105</f>
        <v>1077122.6928958963</v>
      </c>
      <c r="D123" s="402">
        <f>'Rate Class Energy Model'!F22</f>
        <v>1.0614958266693164</v>
      </c>
      <c r="E123" s="171">
        <f t="shared" si="18"/>
        <v>1143361.2433198097</v>
      </c>
      <c r="F123" s="171">
        <f t="shared" si="19"/>
        <v>78573746.243319809</v>
      </c>
      <c r="G123" s="222">
        <f t="shared" si="24"/>
        <v>824.21</v>
      </c>
      <c r="H123" s="222">
        <f t="shared" si="24"/>
        <v>0</v>
      </c>
      <c r="I123" s="169">
        <v>0</v>
      </c>
      <c r="J123" s="169">
        <v>31</v>
      </c>
      <c r="K123" s="287">
        <v>121</v>
      </c>
      <c r="L123" s="288">
        <f>33301+5</f>
        <v>33306</v>
      </c>
      <c r="M123" s="289">
        <v>144.98936781896037</v>
      </c>
      <c r="N123" s="169">
        <v>352</v>
      </c>
      <c r="O123" s="169">
        <v>193.9</v>
      </c>
      <c r="P123" s="291">
        <v>19.3</v>
      </c>
      <c r="Q123" s="287">
        <f t="shared" si="20"/>
        <v>80088763.542411044</v>
      </c>
      <c r="R123" s="291">
        <f t="shared" si="21"/>
        <v>1143361.2433198097</v>
      </c>
      <c r="S123" s="287">
        <f t="shared" si="28"/>
        <v>80088763.542411044</v>
      </c>
      <c r="T123" s="50">
        <f t="shared" si="26"/>
        <v>2658378.5424110442</v>
      </c>
      <c r="U123" s="103">
        <f t="shared" si="27"/>
        <v>3.4332498055008306E-2</v>
      </c>
      <c r="V123" s="13">
        <f t="shared" si="16"/>
        <v>3.4332498055008306E-2</v>
      </c>
      <c r="W123" s="338"/>
      <c r="X123" s="13"/>
    </row>
    <row r="124" spans="1:32" x14ac:dyDescent="0.25">
      <c r="A124" s="167">
        <f t="shared" si="17"/>
        <v>41333</v>
      </c>
      <c r="B124" s="170">
        <v>69794850</v>
      </c>
      <c r="C124" s="288">
        <f>'CDM Activity'!H106</f>
        <v>1095260.9012131954</v>
      </c>
      <c r="D124" s="402">
        <f>D123</f>
        <v>1.0614958266693164</v>
      </c>
      <c r="E124" s="171">
        <f t="shared" si="18"/>
        <v>1162614.8757518814</v>
      </c>
      <c r="F124" s="171">
        <f t="shared" si="19"/>
        <v>70957464.875751883</v>
      </c>
      <c r="G124" s="222">
        <f t="shared" si="24"/>
        <v>754.11000000000013</v>
      </c>
      <c r="H124" s="222">
        <f t="shared" si="24"/>
        <v>0</v>
      </c>
      <c r="I124" s="169">
        <v>0</v>
      </c>
      <c r="J124" s="169">
        <v>28</v>
      </c>
      <c r="K124" s="287">
        <v>122</v>
      </c>
      <c r="L124" s="288">
        <f>33301+5</f>
        <v>33306</v>
      </c>
      <c r="M124" s="289">
        <v>145.14551144798114</v>
      </c>
      <c r="N124" s="169">
        <v>304</v>
      </c>
      <c r="O124" s="169">
        <v>193.3</v>
      </c>
      <c r="P124" s="291">
        <v>19.2</v>
      </c>
      <c r="Q124" s="287">
        <f t="shared" si="20"/>
        <v>71947259.695155144</v>
      </c>
      <c r="R124" s="291">
        <f t="shared" si="21"/>
        <v>1162614.8757518814</v>
      </c>
      <c r="S124" s="287">
        <f t="shared" si="28"/>
        <v>71947259.695155144</v>
      </c>
      <c r="T124" s="50">
        <f t="shared" si="26"/>
        <v>2152409.6951551437</v>
      </c>
      <c r="U124" s="103">
        <f t="shared" si="27"/>
        <v>3.0839090493856549E-2</v>
      </c>
      <c r="V124" s="13">
        <f t="shared" si="16"/>
        <v>3.0839090493856549E-2</v>
      </c>
      <c r="W124" s="338"/>
      <c r="X124" s="13"/>
    </row>
    <row r="125" spans="1:32" x14ac:dyDescent="0.25">
      <c r="A125" s="167">
        <f t="shared" si="17"/>
        <v>41364</v>
      </c>
      <c r="B125" s="170">
        <v>69264159</v>
      </c>
      <c r="C125" s="288">
        <f>'CDM Activity'!H107</f>
        <v>1113399.1095304945</v>
      </c>
      <c r="D125" s="402">
        <f t="shared" ref="D125:D134" si="31">D124</f>
        <v>1.0614958266693164</v>
      </c>
      <c r="E125" s="171">
        <f t="shared" si="18"/>
        <v>1181868.5081839531</v>
      </c>
      <c r="F125" s="171">
        <f t="shared" si="19"/>
        <v>70446027.508183956</v>
      </c>
      <c r="G125" s="222">
        <f t="shared" si="24"/>
        <v>679.39</v>
      </c>
      <c r="H125" s="222">
        <f t="shared" si="24"/>
        <v>0</v>
      </c>
      <c r="I125" s="169">
        <v>1</v>
      </c>
      <c r="J125" s="169">
        <v>31</v>
      </c>
      <c r="K125" s="287">
        <v>123</v>
      </c>
      <c r="L125" s="288">
        <f>33301+5</f>
        <v>33306</v>
      </c>
      <c r="M125" s="289">
        <v>145.30182323300707</v>
      </c>
      <c r="N125" s="169">
        <v>320</v>
      </c>
      <c r="O125" s="169">
        <v>193.6</v>
      </c>
      <c r="P125" s="291">
        <v>18.399999999999999</v>
      </c>
      <c r="Q125" s="287">
        <f t="shared" si="20"/>
        <v>71410603.329168081</v>
      </c>
      <c r="R125" s="291">
        <f t="shared" si="21"/>
        <v>1181868.5081839531</v>
      </c>
      <c r="S125" s="287">
        <f t="shared" si="28"/>
        <v>71410603.329168081</v>
      </c>
      <c r="T125" s="50">
        <f t="shared" si="26"/>
        <v>2146444.3291680813</v>
      </c>
      <c r="U125" s="103">
        <f t="shared" si="27"/>
        <v>3.0989249853854161E-2</v>
      </c>
      <c r="V125" s="13">
        <f t="shared" si="16"/>
        <v>3.0989249853854161E-2</v>
      </c>
      <c r="W125" s="338"/>
      <c r="X125" s="13"/>
    </row>
    <row r="126" spans="1:32" x14ac:dyDescent="0.25">
      <c r="A126" s="167">
        <f t="shared" si="17"/>
        <v>41394</v>
      </c>
      <c r="B126" s="170">
        <v>62490524</v>
      </c>
      <c r="C126" s="288">
        <f>'CDM Activity'!H108</f>
        <v>1131537.3178477937</v>
      </c>
      <c r="D126" s="402">
        <f t="shared" si="31"/>
        <v>1.0614958266693164</v>
      </c>
      <c r="E126" s="171">
        <f t="shared" si="18"/>
        <v>1201122.1406160248</v>
      </c>
      <c r="F126" s="171">
        <f t="shared" si="19"/>
        <v>63691646.140616022</v>
      </c>
      <c r="G126" s="222">
        <f t="shared" si="24"/>
        <v>427.16999999999996</v>
      </c>
      <c r="H126" s="222">
        <f t="shared" si="24"/>
        <v>0.02</v>
      </c>
      <c r="I126" s="169">
        <v>1</v>
      </c>
      <c r="J126" s="169">
        <v>30</v>
      </c>
      <c r="K126" s="287">
        <v>124</v>
      </c>
      <c r="L126" s="288">
        <f>33289+5</f>
        <v>33294</v>
      </c>
      <c r="M126" s="289">
        <v>145.45830335513068</v>
      </c>
      <c r="N126" s="169">
        <v>352</v>
      </c>
      <c r="O126" s="169">
        <v>193.6</v>
      </c>
      <c r="P126" s="291">
        <v>17.399999999999999</v>
      </c>
      <c r="Q126" s="287">
        <f t="shared" si="20"/>
        <v>59646087.345345587</v>
      </c>
      <c r="R126" s="291">
        <f t="shared" si="21"/>
        <v>1201122.1406160248</v>
      </c>
      <c r="S126" s="287">
        <f t="shared" si="28"/>
        <v>59646087.345345587</v>
      </c>
      <c r="T126" s="50">
        <f t="shared" si="26"/>
        <v>-2844436.6546544135</v>
      </c>
      <c r="U126" s="103">
        <f t="shared" si="27"/>
        <v>-4.5517887714534341E-2</v>
      </c>
      <c r="V126" s="13">
        <f t="shared" si="16"/>
        <v>4.5517887714534341E-2</v>
      </c>
      <c r="W126" s="338"/>
      <c r="X126" s="13"/>
    </row>
    <row r="127" spans="1:32" x14ac:dyDescent="0.25">
      <c r="A127" s="167">
        <f t="shared" si="17"/>
        <v>41425</v>
      </c>
      <c r="B127" s="170">
        <v>51260742</v>
      </c>
      <c r="C127" s="288">
        <f>'CDM Activity'!H109</f>
        <v>1149675.5261650928</v>
      </c>
      <c r="D127" s="402">
        <f t="shared" si="31"/>
        <v>1.0614958266693164</v>
      </c>
      <c r="E127" s="171">
        <f t="shared" si="18"/>
        <v>1220375.7730480966</v>
      </c>
      <c r="F127" s="171">
        <f t="shared" si="19"/>
        <v>52481117.773048095</v>
      </c>
      <c r="G127" s="222">
        <f t="shared" si="24"/>
        <v>232.2</v>
      </c>
      <c r="H127" s="222">
        <f t="shared" si="24"/>
        <v>3.9</v>
      </c>
      <c r="I127" s="169">
        <v>1</v>
      </c>
      <c r="J127" s="169">
        <v>31</v>
      </c>
      <c r="K127" s="287">
        <v>125</v>
      </c>
      <c r="L127" s="288">
        <f>33289+5</f>
        <v>33294</v>
      </c>
      <c r="M127" s="289">
        <v>145.6149519956395</v>
      </c>
      <c r="N127" s="169">
        <v>352</v>
      </c>
      <c r="O127" s="169">
        <v>195.9</v>
      </c>
      <c r="P127" s="291">
        <v>15.8</v>
      </c>
      <c r="Q127" s="287">
        <f t="shared" si="20"/>
        <v>54072082.392623693</v>
      </c>
      <c r="R127" s="291">
        <f t="shared" si="21"/>
        <v>1220375.7730480966</v>
      </c>
      <c r="S127" s="287">
        <f t="shared" si="28"/>
        <v>54072082.392623693</v>
      </c>
      <c r="T127" s="50">
        <f t="shared" si="26"/>
        <v>2811340.3926236928</v>
      </c>
      <c r="U127" s="103">
        <f t="shared" si="27"/>
        <v>5.484392700799557E-2</v>
      </c>
      <c r="V127" s="13">
        <f t="shared" si="16"/>
        <v>5.484392700799557E-2</v>
      </c>
      <c r="W127" s="338"/>
      <c r="X127" s="13"/>
    </row>
    <row r="128" spans="1:32" x14ac:dyDescent="0.25">
      <c r="A128" s="167">
        <f t="shared" si="17"/>
        <v>41455</v>
      </c>
      <c r="B128" s="170">
        <v>48246051</v>
      </c>
      <c r="C128" s="288">
        <f>'CDM Activity'!H110</f>
        <v>1167813.734482392</v>
      </c>
      <c r="D128" s="402">
        <f t="shared" si="31"/>
        <v>1.0614958266693164</v>
      </c>
      <c r="E128" s="171">
        <f t="shared" si="18"/>
        <v>1239629.4054801683</v>
      </c>
      <c r="F128" s="171">
        <f t="shared" si="19"/>
        <v>49485680.405480169</v>
      </c>
      <c r="G128" s="222">
        <f t="shared" si="24"/>
        <v>101.74</v>
      </c>
      <c r="H128" s="222">
        <f t="shared" si="24"/>
        <v>9.5400000000000009</v>
      </c>
      <c r="I128" s="169">
        <v>0</v>
      </c>
      <c r="J128" s="169">
        <v>30</v>
      </c>
      <c r="K128" s="287">
        <v>126</v>
      </c>
      <c r="L128" s="288">
        <f>33289+5</f>
        <v>33294</v>
      </c>
      <c r="M128" s="289">
        <v>145.77176933601632</v>
      </c>
      <c r="N128" s="169">
        <v>320</v>
      </c>
      <c r="O128" s="169">
        <v>199</v>
      </c>
      <c r="P128" s="291">
        <v>14.9</v>
      </c>
      <c r="Q128" s="287">
        <f t="shared" si="20"/>
        <v>50490727.929037839</v>
      </c>
      <c r="R128" s="291">
        <f t="shared" si="21"/>
        <v>1239629.4054801683</v>
      </c>
      <c r="S128" s="287">
        <f t="shared" si="28"/>
        <v>50490727.929037839</v>
      </c>
      <c r="T128" s="50">
        <f t="shared" si="26"/>
        <v>2244676.9290378392</v>
      </c>
      <c r="U128" s="103">
        <f t="shared" si="27"/>
        <v>4.6525609506109407E-2</v>
      </c>
      <c r="V128" s="13">
        <f t="shared" si="16"/>
        <v>4.6525609506109407E-2</v>
      </c>
      <c r="W128" s="338"/>
      <c r="X128" s="13"/>
    </row>
    <row r="129" spans="1:26" x14ac:dyDescent="0.25">
      <c r="A129" s="167">
        <f t="shared" si="17"/>
        <v>41486</v>
      </c>
      <c r="B129" s="170">
        <v>52370705</v>
      </c>
      <c r="C129" s="288">
        <f>'CDM Activity'!H111</f>
        <v>1185951.9427996911</v>
      </c>
      <c r="D129" s="402">
        <f t="shared" si="31"/>
        <v>1.0614958266693164</v>
      </c>
      <c r="E129" s="171">
        <f t="shared" si="18"/>
        <v>1258883.03791224</v>
      </c>
      <c r="F129" s="171">
        <f t="shared" si="19"/>
        <v>53629588.037912242</v>
      </c>
      <c r="G129" s="222">
        <f t="shared" si="24"/>
        <v>40.76</v>
      </c>
      <c r="H129" s="222">
        <f t="shared" si="24"/>
        <v>36.08</v>
      </c>
      <c r="I129" s="169">
        <v>0</v>
      </c>
      <c r="J129" s="169">
        <v>31</v>
      </c>
      <c r="K129" s="287">
        <v>127</v>
      </c>
      <c r="L129" s="288">
        <f>33510+5</f>
        <v>33515</v>
      </c>
      <c r="M129" s="289">
        <v>145.92875555793933</v>
      </c>
      <c r="N129" s="169">
        <v>352</v>
      </c>
      <c r="O129" s="169">
        <v>203.9</v>
      </c>
      <c r="P129" s="291">
        <v>14</v>
      </c>
      <c r="Q129" s="287">
        <f t="shared" si="20"/>
        <v>53431160.503631532</v>
      </c>
      <c r="R129" s="291">
        <f t="shared" si="21"/>
        <v>1258883.03791224</v>
      </c>
      <c r="S129" s="287">
        <f t="shared" si="28"/>
        <v>53431160.503631532</v>
      </c>
      <c r="T129" s="50">
        <f t="shared" si="26"/>
        <v>1060455.5036315322</v>
      </c>
      <c r="U129" s="103">
        <f t="shared" si="27"/>
        <v>2.0249020967572084E-2</v>
      </c>
      <c r="V129" s="13">
        <f t="shared" si="16"/>
        <v>2.0249020967572084E-2</v>
      </c>
      <c r="W129" s="338"/>
      <c r="X129" s="13"/>
      <c r="Y129" s="158"/>
      <c r="Z129" s="57"/>
    </row>
    <row r="130" spans="1:26" x14ac:dyDescent="0.25">
      <c r="A130" s="167">
        <f t="shared" si="17"/>
        <v>41517</v>
      </c>
      <c r="B130" s="170">
        <v>51254455</v>
      </c>
      <c r="C130" s="288">
        <f>'CDM Activity'!H112</f>
        <v>1204090.1511169903</v>
      </c>
      <c r="D130" s="402">
        <f t="shared" si="31"/>
        <v>1.0614958266693164</v>
      </c>
      <c r="E130" s="171">
        <f t="shared" si="18"/>
        <v>1278136.6703443117</v>
      </c>
      <c r="F130" s="171">
        <f t="shared" si="19"/>
        <v>52532591.670344308</v>
      </c>
      <c r="G130" s="222">
        <f t="shared" si="24"/>
        <v>42.03</v>
      </c>
      <c r="H130" s="222">
        <f t="shared" si="24"/>
        <v>33.799999999999997</v>
      </c>
      <c r="I130" s="169">
        <v>0</v>
      </c>
      <c r="J130" s="169">
        <v>31</v>
      </c>
      <c r="K130" s="287">
        <v>128</v>
      </c>
      <c r="L130" s="288">
        <f>33510+5</f>
        <v>33515</v>
      </c>
      <c r="M130" s="289">
        <v>146.08591084328242</v>
      </c>
      <c r="N130" s="169">
        <v>336</v>
      </c>
      <c r="O130" s="169">
        <v>205</v>
      </c>
      <c r="P130" s="291">
        <v>14.4</v>
      </c>
      <c r="Q130" s="287">
        <f t="shared" si="20"/>
        <v>53215614.928796053</v>
      </c>
      <c r="R130" s="291">
        <f t="shared" si="21"/>
        <v>1278136.6703443117</v>
      </c>
      <c r="S130" s="287">
        <f t="shared" si="28"/>
        <v>53215614.928796053</v>
      </c>
      <c r="T130" s="50">
        <f t="shared" si="26"/>
        <v>1961159.9287960529</v>
      </c>
      <c r="U130" s="103">
        <f t="shared" si="27"/>
        <v>3.8263209096576149E-2</v>
      </c>
      <c r="V130" s="13">
        <f t="shared" si="16"/>
        <v>3.8263209096576149E-2</v>
      </c>
      <c r="W130" s="338"/>
      <c r="X130" s="13"/>
      <c r="Y130" s="158"/>
      <c r="Z130" s="57"/>
    </row>
    <row r="131" spans="1:26" x14ac:dyDescent="0.25">
      <c r="A131" s="167">
        <f t="shared" si="17"/>
        <v>41547</v>
      </c>
      <c r="B131" s="170">
        <v>48184318</v>
      </c>
      <c r="C131" s="288">
        <f>'CDM Activity'!H113</f>
        <v>1222228.3594342894</v>
      </c>
      <c r="D131" s="402">
        <f t="shared" si="31"/>
        <v>1.0614958266693164</v>
      </c>
      <c r="E131" s="171">
        <f t="shared" si="18"/>
        <v>1297390.3027763835</v>
      </c>
      <c r="F131" s="171">
        <f t="shared" si="19"/>
        <v>49481708.302776381</v>
      </c>
      <c r="G131" s="222">
        <f t="shared" si="24"/>
        <v>129.35999999999999</v>
      </c>
      <c r="H131" s="222">
        <f t="shared" si="24"/>
        <v>11.58</v>
      </c>
      <c r="I131" s="169">
        <v>1</v>
      </c>
      <c r="J131" s="169">
        <v>30</v>
      </c>
      <c r="K131" s="287">
        <v>129</v>
      </c>
      <c r="L131" s="288">
        <f>33510+5</f>
        <v>33515</v>
      </c>
      <c r="M131" s="289">
        <v>146.2432353741153</v>
      </c>
      <c r="N131" s="169">
        <v>320</v>
      </c>
      <c r="O131" s="169">
        <v>203.1</v>
      </c>
      <c r="P131" s="291">
        <v>14.2</v>
      </c>
      <c r="Q131" s="287">
        <f t="shared" si="20"/>
        <v>50011836.075124949</v>
      </c>
      <c r="R131" s="291">
        <f t="shared" si="21"/>
        <v>1297390.3027763835</v>
      </c>
      <c r="S131" s="287">
        <f t="shared" si="28"/>
        <v>50011836.075124949</v>
      </c>
      <c r="T131" s="50">
        <f t="shared" ref="T131:T162" si="32">S131-B131</f>
        <v>1827518.0751249492</v>
      </c>
      <c r="U131" s="103">
        <f t="shared" ref="U131:U162" si="33">T131/B131</f>
        <v>3.7927652626004775E-2</v>
      </c>
      <c r="V131" s="13">
        <f t="shared" ref="V131:V182" si="34">ABS(U131)</f>
        <v>3.7927652626004775E-2</v>
      </c>
      <c r="W131" s="338"/>
      <c r="X131" s="13"/>
      <c r="Y131" s="158"/>
      <c r="Z131" s="57"/>
    </row>
    <row r="132" spans="1:26" x14ac:dyDescent="0.25">
      <c r="A132" s="167">
        <f t="shared" ref="A132:A194" si="35">EOMONTH(A131,1)</f>
        <v>41578</v>
      </c>
      <c r="B132" s="170">
        <v>54286247</v>
      </c>
      <c r="C132" s="288">
        <f>'CDM Activity'!H114</f>
        <v>1240366.5677515885</v>
      </c>
      <c r="D132" s="402">
        <f t="shared" si="31"/>
        <v>1.0614958266693164</v>
      </c>
      <c r="E132" s="171">
        <f t="shared" ref="E132:E194" si="36">C132*D132</f>
        <v>1316643.9352084552</v>
      </c>
      <c r="F132" s="171">
        <f t="shared" ref="F132:F182" si="37">B132+E132</f>
        <v>55602890.935208455</v>
      </c>
      <c r="G132" s="222">
        <f t="shared" si="24"/>
        <v>306.13</v>
      </c>
      <c r="H132" s="222">
        <f t="shared" si="24"/>
        <v>0.47000000000000003</v>
      </c>
      <c r="I132" s="169">
        <v>1</v>
      </c>
      <c r="J132" s="169">
        <v>31</v>
      </c>
      <c r="K132" s="287">
        <v>130</v>
      </c>
      <c r="L132" s="288">
        <f>33388+5</f>
        <v>33393</v>
      </c>
      <c r="M132" s="289">
        <v>146.4007293327038</v>
      </c>
      <c r="N132" s="169">
        <v>352</v>
      </c>
      <c r="O132" s="169">
        <v>200.2</v>
      </c>
      <c r="P132" s="291">
        <v>14.7</v>
      </c>
      <c r="Q132" s="287">
        <f t="shared" ref="Q132:Q182" si="38">+$Z$43+G132*$Z$44+H132*$Z$45+I132*$Z$46+J132*$Z$47+K132*$Z$48+ L132*$Z$49</f>
        <v>56919038.460878432</v>
      </c>
      <c r="R132" s="291">
        <f t="shared" ref="R132:R194" si="39">E132</f>
        <v>1316643.9352084552</v>
      </c>
      <c r="S132" s="287">
        <f t="shared" ref="S132:S163" si="40">+$Z$43+G132*$Z$44+H132*$Z$45+I132*$Z$46+J132*$Z$47+K132*$Z$48+ L132*$Z$49</f>
        <v>56919038.460878432</v>
      </c>
      <c r="T132" s="50">
        <f t="shared" si="32"/>
        <v>2632791.4608784318</v>
      </c>
      <c r="U132" s="103">
        <f t="shared" si="33"/>
        <v>4.8498314147198865E-2</v>
      </c>
      <c r="V132" s="13">
        <f t="shared" si="34"/>
        <v>4.8498314147198865E-2</v>
      </c>
      <c r="W132" s="338"/>
      <c r="X132" s="13"/>
      <c r="Y132" s="158"/>
      <c r="Z132" s="57"/>
    </row>
    <row r="133" spans="1:26" x14ac:dyDescent="0.25">
      <c r="A133" s="167">
        <f t="shared" si="35"/>
        <v>41608</v>
      </c>
      <c r="B133" s="170">
        <v>64675563</v>
      </c>
      <c r="C133" s="288">
        <f>'CDM Activity'!H115</f>
        <v>1258504.7760688877</v>
      </c>
      <c r="D133" s="402">
        <f t="shared" si="31"/>
        <v>1.0614958266693164</v>
      </c>
      <c r="E133" s="171">
        <f t="shared" si="36"/>
        <v>1335897.5676405269</v>
      </c>
      <c r="F133" s="171">
        <f t="shared" si="37"/>
        <v>66011460.567640528</v>
      </c>
      <c r="G133" s="222">
        <f t="shared" si="24"/>
        <v>480.06200000000001</v>
      </c>
      <c r="H133" s="222">
        <f t="shared" si="24"/>
        <v>0</v>
      </c>
      <c r="I133" s="169">
        <v>1</v>
      </c>
      <c r="J133" s="169">
        <v>30</v>
      </c>
      <c r="K133" s="287">
        <v>131</v>
      </c>
      <c r="L133" s="288">
        <f>33388+5</f>
        <v>33393</v>
      </c>
      <c r="M133" s="289">
        <v>146.55839290151005</v>
      </c>
      <c r="N133" s="169">
        <v>336</v>
      </c>
      <c r="O133" s="169">
        <v>197.8</v>
      </c>
      <c r="P133" s="291">
        <v>14.1</v>
      </c>
      <c r="Q133" s="287">
        <f t="shared" si="38"/>
        <v>61815694.240763187</v>
      </c>
      <c r="R133" s="291">
        <f t="shared" si="39"/>
        <v>1335897.5676405269</v>
      </c>
      <c r="S133" s="287">
        <f t="shared" si="40"/>
        <v>61815694.240763187</v>
      </c>
      <c r="T133" s="50">
        <f t="shared" si="32"/>
        <v>-2859868.7592368126</v>
      </c>
      <c r="U133" s="103">
        <f t="shared" si="33"/>
        <v>-4.4218691366270949E-2</v>
      </c>
      <c r="V133" s="13">
        <f t="shared" si="34"/>
        <v>4.4218691366270949E-2</v>
      </c>
      <c r="W133" s="338"/>
      <c r="X133" s="13"/>
      <c r="Y133" s="158"/>
      <c r="Z133" s="57"/>
    </row>
    <row r="134" spans="1:26" x14ac:dyDescent="0.25">
      <c r="A134" s="167">
        <f t="shared" si="35"/>
        <v>41639</v>
      </c>
      <c r="B134" s="170">
        <v>81310312</v>
      </c>
      <c r="C134" s="288">
        <f>'CDM Activity'!H116</f>
        <v>1276642.9843861868</v>
      </c>
      <c r="D134" s="402">
        <f t="shared" si="31"/>
        <v>1.0614958266693164</v>
      </c>
      <c r="E134" s="171">
        <f t="shared" si="36"/>
        <v>1355151.2000725986</v>
      </c>
      <c r="F134" s="171">
        <f t="shared" si="37"/>
        <v>82665463.200072601</v>
      </c>
      <c r="G134" s="222">
        <f t="shared" si="24"/>
        <v>702.73799999999994</v>
      </c>
      <c r="H134" s="222">
        <f t="shared" si="24"/>
        <v>0</v>
      </c>
      <c r="I134" s="169">
        <v>0</v>
      </c>
      <c r="J134" s="169">
        <v>31</v>
      </c>
      <c r="K134" s="287">
        <v>132</v>
      </c>
      <c r="L134" s="288">
        <f>33388+5</f>
        <v>33393</v>
      </c>
      <c r="M134" s="289">
        <v>146.71622626319265</v>
      </c>
      <c r="N134" s="169">
        <v>320</v>
      </c>
      <c r="O134" s="169">
        <v>196.9</v>
      </c>
      <c r="P134" s="291">
        <v>14.5</v>
      </c>
      <c r="Q134" s="287">
        <f t="shared" si="38"/>
        <v>75092621.55747965</v>
      </c>
      <c r="R134" s="291">
        <f t="shared" si="39"/>
        <v>1355151.2000725986</v>
      </c>
      <c r="S134" s="287">
        <f t="shared" si="40"/>
        <v>75092621.55747965</v>
      </c>
      <c r="T134" s="50">
        <f t="shared" si="32"/>
        <v>-6217690.4425203502</v>
      </c>
      <c r="U134" s="103">
        <f t="shared" si="33"/>
        <v>-7.6468658028521028E-2</v>
      </c>
      <c r="V134" s="13">
        <f t="shared" si="34"/>
        <v>7.6468658028521028E-2</v>
      </c>
      <c r="W134" s="338"/>
      <c r="X134" s="13"/>
      <c r="Y134" s="158"/>
      <c r="Z134" s="57"/>
    </row>
    <row r="135" spans="1:26" x14ac:dyDescent="0.25">
      <c r="A135" s="167">
        <f t="shared" si="35"/>
        <v>41670</v>
      </c>
      <c r="B135" s="170">
        <v>84076330.890000001</v>
      </c>
      <c r="C135" s="288">
        <f>'CDM Activity'!H117</f>
        <v>1325152.4905694686</v>
      </c>
      <c r="D135" s="402">
        <f>'Rate Class Energy Model'!F23</f>
        <v>1.0408170385773401</v>
      </c>
      <c r="E135" s="171">
        <f t="shared" si="36"/>
        <v>1379241.2908979009</v>
      </c>
      <c r="F135" s="171">
        <f t="shared" si="37"/>
        <v>85455572.180897906</v>
      </c>
      <c r="G135" s="222">
        <f t="shared" si="24"/>
        <v>824.21</v>
      </c>
      <c r="H135" s="222">
        <f t="shared" si="24"/>
        <v>0</v>
      </c>
      <c r="I135" s="169">
        <v>0</v>
      </c>
      <c r="J135" s="169">
        <v>31</v>
      </c>
      <c r="K135" s="287">
        <v>133</v>
      </c>
      <c r="L135" s="287">
        <v>33166</v>
      </c>
      <c r="M135" s="289">
        <v>146.94652822408554</v>
      </c>
      <c r="N135" s="169">
        <v>352</v>
      </c>
      <c r="O135" s="169">
        <v>193.9</v>
      </c>
      <c r="P135" s="291">
        <v>14.9</v>
      </c>
      <c r="Q135" s="287">
        <f t="shared" si="38"/>
        <v>78352117.898543239</v>
      </c>
      <c r="R135" s="291">
        <f t="shared" si="39"/>
        <v>1379241.2908979009</v>
      </c>
      <c r="S135" s="287">
        <f t="shared" si="40"/>
        <v>78352117.898543239</v>
      </c>
      <c r="T135" s="50">
        <f t="shared" si="32"/>
        <v>-5724212.991456762</v>
      </c>
      <c r="U135" s="103">
        <f t="shared" si="33"/>
        <v>-6.8083525183157079E-2</v>
      </c>
      <c r="V135" s="13">
        <f t="shared" si="34"/>
        <v>6.8083525183157079E-2</v>
      </c>
      <c r="W135" s="338"/>
      <c r="X135" s="13"/>
      <c r="Y135" s="158"/>
      <c r="Z135" s="57"/>
    </row>
    <row r="136" spans="1:26" x14ac:dyDescent="0.25">
      <c r="A136" s="167">
        <f t="shared" si="35"/>
        <v>41698</v>
      </c>
      <c r="B136" s="170">
        <v>73283049.849999994</v>
      </c>
      <c r="C136" s="288">
        <f>'CDM Activity'!H118</f>
        <v>1373661.9967527504</v>
      </c>
      <c r="D136" s="402">
        <f>D135</f>
        <v>1.0408170385773401</v>
      </c>
      <c r="E136" s="171">
        <f t="shared" si="36"/>
        <v>1429730.8114664333</v>
      </c>
      <c r="F136" s="171">
        <f t="shared" si="37"/>
        <v>74712780.661466435</v>
      </c>
      <c r="G136" s="222">
        <f t="shared" si="24"/>
        <v>754.11000000000013</v>
      </c>
      <c r="H136" s="222">
        <f t="shared" si="24"/>
        <v>0</v>
      </c>
      <c r="I136" s="169">
        <v>0</v>
      </c>
      <c r="J136" s="169">
        <v>28</v>
      </c>
      <c r="K136" s="287">
        <v>134</v>
      </c>
      <c r="L136" s="287">
        <v>33166</v>
      </c>
      <c r="M136" s="289">
        <v>147.17719169232183</v>
      </c>
      <c r="N136" s="169">
        <v>304</v>
      </c>
      <c r="O136" s="169">
        <v>193.1</v>
      </c>
      <c r="P136" s="291">
        <v>15.4</v>
      </c>
      <c r="Q136" s="287">
        <f t="shared" si="38"/>
        <v>70210614.051287353</v>
      </c>
      <c r="R136" s="291">
        <f t="shared" si="39"/>
        <v>1429730.8114664333</v>
      </c>
      <c r="S136" s="287">
        <f t="shared" si="40"/>
        <v>70210614.051287353</v>
      </c>
      <c r="T136" s="50">
        <f t="shared" si="32"/>
        <v>-3072435.798712641</v>
      </c>
      <c r="U136" s="103">
        <f t="shared" si="33"/>
        <v>-4.1925599507682626E-2</v>
      </c>
      <c r="V136" s="13">
        <f t="shared" si="34"/>
        <v>4.1925599507682626E-2</v>
      </c>
      <c r="W136" s="338"/>
      <c r="X136" s="13"/>
      <c r="Y136" s="158"/>
      <c r="Z136" s="57"/>
    </row>
    <row r="137" spans="1:26" x14ac:dyDescent="0.25">
      <c r="A137" s="167">
        <f t="shared" si="35"/>
        <v>41729</v>
      </c>
      <c r="B137" s="170">
        <v>75936435.359999999</v>
      </c>
      <c r="C137" s="288">
        <f>'CDM Activity'!H119</f>
        <v>1422171.5029360321</v>
      </c>
      <c r="D137" s="402">
        <f t="shared" ref="D137:D146" si="41">D136</f>
        <v>1.0408170385773401</v>
      </c>
      <c r="E137" s="171">
        <f t="shared" si="36"/>
        <v>1480220.332034966</v>
      </c>
      <c r="F137" s="171">
        <f t="shared" si="37"/>
        <v>77416655.69203496</v>
      </c>
      <c r="G137" s="222">
        <f t="shared" si="24"/>
        <v>679.39</v>
      </c>
      <c r="H137" s="222">
        <f t="shared" si="24"/>
        <v>0</v>
      </c>
      <c r="I137" s="169">
        <v>1</v>
      </c>
      <c r="J137" s="169">
        <v>31</v>
      </c>
      <c r="K137" s="287">
        <v>135</v>
      </c>
      <c r="L137" s="287">
        <v>33166</v>
      </c>
      <c r="M137" s="289">
        <v>147.40821723536328</v>
      </c>
      <c r="N137" s="169">
        <v>336</v>
      </c>
      <c r="O137" s="169">
        <v>193.3</v>
      </c>
      <c r="P137" s="291">
        <v>15.5</v>
      </c>
      <c r="Q137" s="287">
        <f t="shared" si="38"/>
        <v>69673957.685300291</v>
      </c>
      <c r="R137" s="291">
        <f t="shared" si="39"/>
        <v>1480220.332034966</v>
      </c>
      <c r="S137" s="287">
        <f t="shared" si="40"/>
        <v>69673957.685300291</v>
      </c>
      <c r="T137" s="50">
        <f t="shared" si="32"/>
        <v>-6262477.6746997088</v>
      </c>
      <c r="U137" s="103">
        <f t="shared" si="33"/>
        <v>-8.2469998032044953E-2</v>
      </c>
      <c r="V137" s="13">
        <f t="shared" si="34"/>
        <v>8.2469998032044953E-2</v>
      </c>
      <c r="W137" s="338"/>
      <c r="X137" s="13"/>
      <c r="Y137" s="158"/>
      <c r="Z137" s="57"/>
    </row>
    <row r="138" spans="1:26" x14ac:dyDescent="0.25">
      <c r="A138" s="167">
        <f t="shared" si="35"/>
        <v>41759</v>
      </c>
      <c r="B138" s="170">
        <v>60945927.880000003</v>
      </c>
      <c r="C138" s="288">
        <f>'CDM Activity'!H120</f>
        <v>1470681.0091193139</v>
      </c>
      <c r="D138" s="402">
        <f t="shared" si="41"/>
        <v>1.0408170385773401</v>
      </c>
      <c r="E138" s="171">
        <f t="shared" si="36"/>
        <v>1530709.8526034984</v>
      </c>
      <c r="F138" s="171">
        <f t="shared" si="37"/>
        <v>62476637.732603498</v>
      </c>
      <c r="G138" s="222">
        <f t="shared" si="24"/>
        <v>427.16999999999996</v>
      </c>
      <c r="H138" s="222">
        <f t="shared" si="24"/>
        <v>0.02</v>
      </c>
      <c r="I138" s="169">
        <v>1</v>
      </c>
      <c r="J138" s="169">
        <v>30</v>
      </c>
      <c r="K138" s="287">
        <v>136</v>
      </c>
      <c r="L138" s="287">
        <v>33415</v>
      </c>
      <c r="M138" s="289">
        <v>147.63960542156246</v>
      </c>
      <c r="N138" s="169">
        <v>320</v>
      </c>
      <c r="O138" s="169">
        <v>195.9</v>
      </c>
      <c r="P138" s="291">
        <v>15.2</v>
      </c>
      <c r="Q138" s="287">
        <f t="shared" si="38"/>
        <v>59528215.112980843</v>
      </c>
      <c r="R138" s="291">
        <f t="shared" si="39"/>
        <v>1530709.8526034984</v>
      </c>
      <c r="S138" s="287">
        <f t="shared" si="40"/>
        <v>59528215.112980843</v>
      </c>
      <c r="T138" s="50">
        <f t="shared" si="32"/>
        <v>-1417712.7670191601</v>
      </c>
      <c r="U138" s="103">
        <f t="shared" si="33"/>
        <v>-2.3261812828751702E-2</v>
      </c>
      <c r="V138" s="13">
        <f t="shared" si="34"/>
        <v>2.3261812828751702E-2</v>
      </c>
      <c r="W138" s="338"/>
      <c r="X138" s="13"/>
    </row>
    <row r="139" spans="1:26" x14ac:dyDescent="0.25">
      <c r="A139" s="167">
        <f t="shared" si="35"/>
        <v>41790</v>
      </c>
      <c r="B139" s="170">
        <v>53127584.270000003</v>
      </c>
      <c r="C139" s="288">
        <f>'CDM Activity'!H121</f>
        <v>1519190.5153025957</v>
      </c>
      <c r="D139" s="402">
        <f t="shared" si="41"/>
        <v>1.0408170385773401</v>
      </c>
      <c r="E139" s="171">
        <f t="shared" si="36"/>
        <v>1581199.373172031</v>
      </c>
      <c r="F139" s="171">
        <f t="shared" si="37"/>
        <v>54708783.643172033</v>
      </c>
      <c r="G139" s="222">
        <f t="shared" si="24"/>
        <v>232.2</v>
      </c>
      <c r="H139" s="222">
        <f t="shared" si="24"/>
        <v>3.9</v>
      </c>
      <c r="I139" s="169">
        <v>1</v>
      </c>
      <c r="J139" s="169">
        <v>31</v>
      </c>
      <c r="K139" s="287">
        <v>137</v>
      </c>
      <c r="L139" s="287">
        <v>33415</v>
      </c>
      <c r="M139" s="289">
        <v>147.87135682016401</v>
      </c>
      <c r="N139" s="169">
        <v>336</v>
      </c>
      <c r="O139" s="169">
        <v>199</v>
      </c>
      <c r="P139" s="291">
        <v>16</v>
      </c>
      <c r="Q139" s="287">
        <f t="shared" si="38"/>
        <v>53954210.160258949</v>
      </c>
      <c r="R139" s="291">
        <f t="shared" si="39"/>
        <v>1581199.373172031</v>
      </c>
      <c r="S139" s="287">
        <f t="shared" si="40"/>
        <v>53954210.160258949</v>
      </c>
      <c r="T139" s="50">
        <f t="shared" si="32"/>
        <v>826625.89025894552</v>
      </c>
      <c r="U139" s="103">
        <f t="shared" si="33"/>
        <v>1.555925987633741E-2</v>
      </c>
      <c r="V139" s="13">
        <f t="shared" si="34"/>
        <v>1.555925987633741E-2</v>
      </c>
      <c r="W139" s="338"/>
      <c r="X139" s="13"/>
    </row>
    <row r="140" spans="1:26" x14ac:dyDescent="0.25">
      <c r="A140" s="167">
        <f t="shared" si="35"/>
        <v>41820</v>
      </c>
      <c r="B140" s="170">
        <v>47524355.130000003</v>
      </c>
      <c r="C140" s="288">
        <f>'CDM Activity'!H122</f>
        <v>1567700.0214858775</v>
      </c>
      <c r="D140" s="402">
        <f t="shared" si="41"/>
        <v>1.0408170385773401</v>
      </c>
      <c r="E140" s="171">
        <f t="shared" si="36"/>
        <v>1631688.8937405634</v>
      </c>
      <c r="F140" s="171">
        <f t="shared" si="37"/>
        <v>49156044.023740567</v>
      </c>
      <c r="G140" s="222">
        <f t="shared" si="24"/>
        <v>101.74</v>
      </c>
      <c r="H140" s="222">
        <f t="shared" si="24"/>
        <v>9.5400000000000009</v>
      </c>
      <c r="I140" s="169">
        <v>0</v>
      </c>
      <c r="J140" s="169">
        <v>30</v>
      </c>
      <c r="K140" s="287">
        <v>138</v>
      </c>
      <c r="L140" s="287">
        <v>33415</v>
      </c>
      <c r="M140" s="289">
        <v>148.10347200130616</v>
      </c>
      <c r="N140" s="169">
        <v>336</v>
      </c>
      <c r="O140" s="169">
        <v>204.6</v>
      </c>
      <c r="P140" s="291">
        <v>15.4</v>
      </c>
      <c r="Q140" s="287">
        <f t="shared" si="38"/>
        <v>50372855.696673065</v>
      </c>
      <c r="R140" s="291">
        <f t="shared" si="39"/>
        <v>1631688.8937405634</v>
      </c>
      <c r="S140" s="287">
        <f t="shared" si="40"/>
        <v>50372855.696673065</v>
      </c>
      <c r="T140" s="50">
        <f t="shared" si="32"/>
        <v>2848500.5666730627</v>
      </c>
      <c r="U140" s="103">
        <f t="shared" si="33"/>
        <v>5.9937700551247072E-2</v>
      </c>
      <c r="V140" s="13">
        <f t="shared" si="34"/>
        <v>5.9937700551247072E-2</v>
      </c>
      <c r="W140" s="338"/>
      <c r="X140" s="13"/>
    </row>
    <row r="141" spans="1:26" x14ac:dyDescent="0.25">
      <c r="A141" s="167">
        <f t="shared" si="35"/>
        <v>41851</v>
      </c>
      <c r="B141" s="170">
        <v>48026904.079999998</v>
      </c>
      <c r="C141" s="288">
        <f>'CDM Activity'!H123</f>
        <v>1616209.5276691592</v>
      </c>
      <c r="D141" s="402">
        <f t="shared" si="41"/>
        <v>1.0408170385773401</v>
      </c>
      <c r="E141" s="171">
        <f t="shared" si="36"/>
        <v>1682178.4143090958</v>
      </c>
      <c r="F141" s="171">
        <f t="shared" si="37"/>
        <v>49709082.494309098</v>
      </c>
      <c r="G141" s="222">
        <f t="shared" si="24"/>
        <v>40.76</v>
      </c>
      <c r="H141" s="222">
        <f t="shared" si="24"/>
        <v>36.08</v>
      </c>
      <c r="I141" s="169">
        <v>0</v>
      </c>
      <c r="J141" s="169">
        <v>31</v>
      </c>
      <c r="K141" s="287">
        <v>139</v>
      </c>
      <c r="L141" s="287">
        <v>33400</v>
      </c>
      <c r="M141" s="289">
        <v>148.33595153602209</v>
      </c>
      <c r="N141" s="169">
        <v>352</v>
      </c>
      <c r="O141" s="169">
        <v>209.4</v>
      </c>
      <c r="P141" s="291">
        <v>16.600000000000001</v>
      </c>
      <c r="Q141" s="287">
        <f t="shared" si="38"/>
        <v>51849569.784237146</v>
      </c>
      <c r="R141" s="291">
        <f t="shared" si="39"/>
        <v>1682178.4143090958</v>
      </c>
      <c r="S141" s="287">
        <f t="shared" si="40"/>
        <v>51849569.784237146</v>
      </c>
      <c r="T141" s="50">
        <f t="shared" si="32"/>
        <v>3822665.7042371482</v>
      </c>
      <c r="U141" s="103">
        <f t="shared" si="33"/>
        <v>7.9594256125058729E-2</v>
      </c>
      <c r="V141" s="13">
        <f t="shared" si="34"/>
        <v>7.9594256125058729E-2</v>
      </c>
      <c r="W141" s="338"/>
      <c r="X141" s="13"/>
    </row>
    <row r="142" spans="1:26" x14ac:dyDescent="0.25">
      <c r="A142" s="167">
        <f t="shared" si="35"/>
        <v>41882</v>
      </c>
      <c r="B142" s="170">
        <v>48878136.899999999</v>
      </c>
      <c r="C142" s="288">
        <f>'CDM Activity'!H124</f>
        <v>1664719.033852441</v>
      </c>
      <c r="D142" s="402">
        <f t="shared" si="41"/>
        <v>1.0408170385773401</v>
      </c>
      <c r="E142" s="171">
        <f t="shared" si="36"/>
        <v>1732667.9348776285</v>
      </c>
      <c r="F142" s="171">
        <f t="shared" si="37"/>
        <v>50610804.834877625</v>
      </c>
      <c r="G142" s="222">
        <f t="shared" si="24"/>
        <v>42.03</v>
      </c>
      <c r="H142" s="222">
        <f t="shared" si="24"/>
        <v>33.799999999999997</v>
      </c>
      <c r="I142" s="169">
        <v>0</v>
      </c>
      <c r="J142" s="169">
        <v>31</v>
      </c>
      <c r="K142" s="287">
        <v>140</v>
      </c>
      <c r="L142" s="287">
        <v>33400</v>
      </c>
      <c r="M142" s="289">
        <v>148.56879599624133</v>
      </c>
      <c r="N142" s="169">
        <v>320</v>
      </c>
      <c r="O142" s="169">
        <v>210.7</v>
      </c>
      <c r="P142" s="291">
        <v>17.5</v>
      </c>
      <c r="Q142" s="287">
        <f t="shared" si="38"/>
        <v>51634024.209401667</v>
      </c>
      <c r="R142" s="291">
        <f t="shared" si="39"/>
        <v>1732667.9348776285</v>
      </c>
      <c r="S142" s="287">
        <f t="shared" si="40"/>
        <v>51634024.209401667</v>
      </c>
      <c r="T142" s="50">
        <f t="shared" si="32"/>
        <v>2755887.3094016686</v>
      </c>
      <c r="U142" s="103">
        <f t="shared" si="33"/>
        <v>5.6382822345294195E-2</v>
      </c>
      <c r="V142" s="13">
        <f t="shared" si="34"/>
        <v>5.6382822345294195E-2</v>
      </c>
      <c r="W142" s="338"/>
      <c r="X142" s="13"/>
    </row>
    <row r="143" spans="1:26" x14ac:dyDescent="0.25">
      <c r="A143" s="167">
        <f t="shared" si="35"/>
        <v>41912</v>
      </c>
      <c r="B143" s="170">
        <v>47959876.32</v>
      </c>
      <c r="C143" s="288">
        <f>'CDM Activity'!H125</f>
        <v>1713228.5400357228</v>
      </c>
      <c r="D143" s="402">
        <f t="shared" si="41"/>
        <v>1.0408170385773401</v>
      </c>
      <c r="E143" s="171">
        <f t="shared" si="36"/>
        <v>1783157.4554461609</v>
      </c>
      <c r="F143" s="171">
        <f t="shared" si="37"/>
        <v>49743033.775446162</v>
      </c>
      <c r="G143" s="222">
        <f t="shared" si="24"/>
        <v>129.35999999999999</v>
      </c>
      <c r="H143" s="222">
        <f t="shared" si="24"/>
        <v>11.58</v>
      </c>
      <c r="I143" s="169">
        <v>1</v>
      </c>
      <c r="J143" s="169">
        <v>30</v>
      </c>
      <c r="K143" s="287">
        <v>141</v>
      </c>
      <c r="L143" s="287">
        <v>33400</v>
      </c>
      <c r="M143" s="289">
        <v>148.80200595479118</v>
      </c>
      <c r="N143" s="169">
        <v>336</v>
      </c>
      <c r="O143" s="169"/>
      <c r="P143" s="291">
        <v>0</v>
      </c>
      <c r="Q143" s="287">
        <f t="shared" si="38"/>
        <v>48430245.355730563</v>
      </c>
      <c r="R143" s="291">
        <f t="shared" si="39"/>
        <v>1783157.4554461609</v>
      </c>
      <c r="S143" s="287">
        <f t="shared" si="40"/>
        <v>48430245.355730563</v>
      </c>
      <c r="T143" s="50">
        <f t="shared" si="32"/>
        <v>470369.0357305631</v>
      </c>
      <c r="U143" s="103">
        <f t="shared" si="33"/>
        <v>9.8075531428009968E-3</v>
      </c>
      <c r="V143" s="13">
        <f t="shared" si="34"/>
        <v>9.8075531428009968E-3</v>
      </c>
      <c r="W143" s="338"/>
      <c r="X143" s="13"/>
    </row>
    <row r="144" spans="1:26" x14ac:dyDescent="0.25">
      <c r="A144" s="167">
        <f t="shared" si="35"/>
        <v>41943</v>
      </c>
      <c r="B144" s="170">
        <v>54613898.210000001</v>
      </c>
      <c r="C144" s="288">
        <f>'CDM Activity'!H126</f>
        <v>1761738.0462190046</v>
      </c>
      <c r="D144" s="402">
        <f t="shared" si="41"/>
        <v>1.0408170385773401</v>
      </c>
      <c r="E144" s="171">
        <f t="shared" si="36"/>
        <v>1833646.9760146935</v>
      </c>
      <c r="F144" s="171">
        <f t="shared" si="37"/>
        <v>56447545.186014697</v>
      </c>
      <c r="G144" s="222">
        <f t="shared" ref="G144:H194" si="42">G132</f>
        <v>306.13</v>
      </c>
      <c r="H144" s="222">
        <f t="shared" si="42"/>
        <v>0.47000000000000003</v>
      </c>
      <c r="I144" s="169">
        <v>1</v>
      </c>
      <c r="J144" s="169">
        <v>31</v>
      </c>
      <c r="K144" s="287">
        <v>142</v>
      </c>
      <c r="L144" s="287">
        <v>33513</v>
      </c>
      <c r="M144" s="289">
        <v>149.0355819853981</v>
      </c>
      <c r="N144" s="169">
        <v>352</v>
      </c>
      <c r="O144" s="169"/>
      <c r="P144" s="291">
        <v>0</v>
      </c>
      <c r="Q144" s="287">
        <f t="shared" si="38"/>
        <v>56794964.031534731</v>
      </c>
      <c r="R144" s="291">
        <f t="shared" si="39"/>
        <v>1833646.9760146935</v>
      </c>
      <c r="S144" s="287">
        <f t="shared" si="40"/>
        <v>56794964.031534731</v>
      </c>
      <c r="T144" s="50">
        <f t="shared" si="32"/>
        <v>2181065.8215347305</v>
      </c>
      <c r="U144" s="103">
        <f t="shared" si="33"/>
        <v>3.9936094895628042E-2</v>
      </c>
      <c r="V144" s="13">
        <f t="shared" si="34"/>
        <v>3.9936094895628042E-2</v>
      </c>
      <c r="W144" s="338"/>
      <c r="X144" s="13"/>
    </row>
    <row r="145" spans="1:24" x14ac:dyDescent="0.25">
      <c r="A145" s="167">
        <f t="shared" si="35"/>
        <v>41973</v>
      </c>
      <c r="B145" s="170">
        <v>64852403.060000002</v>
      </c>
      <c r="C145" s="288">
        <f>'CDM Activity'!H127</f>
        <v>1810247.5524022863</v>
      </c>
      <c r="D145" s="402">
        <f t="shared" si="41"/>
        <v>1.0408170385773401</v>
      </c>
      <c r="E145" s="171">
        <f t="shared" si="36"/>
        <v>1884136.4965832259</v>
      </c>
      <c r="F145" s="171">
        <f t="shared" si="37"/>
        <v>66736539.556583226</v>
      </c>
      <c r="G145" s="222">
        <f t="shared" si="42"/>
        <v>480.06200000000001</v>
      </c>
      <c r="H145" s="222">
        <f t="shared" si="42"/>
        <v>0</v>
      </c>
      <c r="I145" s="169">
        <v>1</v>
      </c>
      <c r="J145" s="169">
        <v>30</v>
      </c>
      <c r="K145" s="287">
        <v>143</v>
      </c>
      <c r="L145" s="287">
        <v>33513</v>
      </c>
      <c r="M145" s="289">
        <v>149.26952466268912</v>
      </c>
      <c r="N145" s="169">
        <v>304</v>
      </c>
      <c r="O145" s="169"/>
      <c r="P145" s="291">
        <v>0</v>
      </c>
      <c r="Q145" s="287">
        <f t="shared" si="38"/>
        <v>61691619.811419487</v>
      </c>
      <c r="R145" s="291">
        <f t="shared" si="39"/>
        <v>1884136.4965832259</v>
      </c>
      <c r="S145" s="287">
        <f t="shared" si="40"/>
        <v>61691619.811419487</v>
      </c>
      <c r="T145" s="50">
        <f t="shared" si="32"/>
        <v>-3160783.2485805154</v>
      </c>
      <c r="U145" s="103">
        <f t="shared" si="33"/>
        <v>-4.8738105288962524E-2</v>
      </c>
      <c r="V145" s="13">
        <f t="shared" si="34"/>
        <v>4.8738105288962524E-2</v>
      </c>
      <c r="W145" s="338"/>
      <c r="X145" s="13"/>
    </row>
    <row r="146" spans="1:24" x14ac:dyDescent="0.25">
      <c r="A146" s="167">
        <f t="shared" si="35"/>
        <v>42004</v>
      </c>
      <c r="B146" s="170">
        <v>71265383.040000007</v>
      </c>
      <c r="C146" s="288">
        <f>'CDM Activity'!H128</f>
        <v>1858757.0585855681</v>
      </c>
      <c r="D146" s="402">
        <f t="shared" si="41"/>
        <v>1.0408170385773401</v>
      </c>
      <c r="E146" s="171">
        <f t="shared" si="36"/>
        <v>1934626.0171517585</v>
      </c>
      <c r="F146" s="171">
        <f t="shared" si="37"/>
        <v>73200009.057151765</v>
      </c>
      <c r="G146" s="222">
        <f t="shared" si="42"/>
        <v>702.73799999999994</v>
      </c>
      <c r="H146" s="222">
        <f t="shared" si="42"/>
        <v>0</v>
      </c>
      <c r="I146" s="169">
        <v>0</v>
      </c>
      <c r="J146" s="169">
        <v>31</v>
      </c>
      <c r="K146" s="287">
        <v>144</v>
      </c>
      <c r="L146" s="287">
        <v>33513</v>
      </c>
      <c r="M146" s="289">
        <v>149.5038345621933</v>
      </c>
      <c r="N146" s="169">
        <v>336</v>
      </c>
      <c r="O146" s="169"/>
      <c r="P146" s="291">
        <v>0</v>
      </c>
      <c r="Q146" s="287">
        <f t="shared" si="38"/>
        <v>74968547.128135934</v>
      </c>
      <c r="R146" s="291">
        <f t="shared" si="39"/>
        <v>1934626.0171517585</v>
      </c>
      <c r="S146" s="287">
        <f t="shared" si="40"/>
        <v>74968547.128135934</v>
      </c>
      <c r="T146" s="50">
        <f t="shared" si="32"/>
        <v>3703164.0881359279</v>
      </c>
      <c r="U146" s="103">
        <f t="shared" si="33"/>
        <v>5.1963013880910555E-2</v>
      </c>
      <c r="V146" s="13">
        <f t="shared" si="34"/>
        <v>5.1963013880910555E-2</v>
      </c>
      <c r="W146" s="338"/>
      <c r="X146" s="13"/>
    </row>
    <row r="147" spans="1:24" x14ac:dyDescent="0.25">
      <c r="A147" s="196">
        <f>EOMONTH(A146,1)</f>
        <v>42035</v>
      </c>
      <c r="B147" s="170">
        <v>79807046.409999996</v>
      </c>
      <c r="C147" s="288">
        <f>'CDM Activity'!H129</f>
        <v>1849184.669818654</v>
      </c>
      <c r="D147" s="402">
        <f>'Rate Class Energy Model'!F24</f>
        <v>1.0435171705156632</v>
      </c>
      <c r="E147" s="171">
        <f t="shared" si="36"/>
        <v>1929655.9544101027</v>
      </c>
      <c r="F147" s="171">
        <f t="shared" si="37"/>
        <v>81736702.364410102</v>
      </c>
      <c r="G147" s="222">
        <f t="shared" si="42"/>
        <v>824.21</v>
      </c>
      <c r="H147" s="222">
        <f t="shared" si="42"/>
        <v>0</v>
      </c>
      <c r="I147" s="169">
        <v>0</v>
      </c>
      <c r="J147" s="169">
        <v>31</v>
      </c>
      <c r="K147" s="287">
        <v>145</v>
      </c>
      <c r="L147" s="287">
        <v>33539</v>
      </c>
      <c r="M147" s="289">
        <v>149.79960271328571</v>
      </c>
      <c r="N147" s="169">
        <v>336</v>
      </c>
      <c r="O147" s="169"/>
      <c r="P147" s="293">
        <v>0</v>
      </c>
      <c r="Q147" s="287">
        <f t="shared" si="38"/>
        <v>79797199.304871038</v>
      </c>
      <c r="R147" s="291">
        <f t="shared" si="39"/>
        <v>1929655.9544101027</v>
      </c>
      <c r="S147" s="287">
        <f t="shared" si="40"/>
        <v>79797199.304871038</v>
      </c>
      <c r="T147" s="50">
        <f t="shared" si="32"/>
        <v>-9847.1051289588213</v>
      </c>
      <c r="U147" s="103">
        <f t="shared" si="33"/>
        <v>-1.2338641225200081E-4</v>
      </c>
      <c r="V147" s="13">
        <f t="shared" si="34"/>
        <v>1.2338641225200081E-4</v>
      </c>
      <c r="W147" s="338"/>
      <c r="X147" s="13"/>
    </row>
    <row r="148" spans="1:24" x14ac:dyDescent="0.25">
      <c r="A148" s="196">
        <f t="shared" si="35"/>
        <v>42063</v>
      </c>
      <c r="B148" s="170">
        <v>75728989.640000001</v>
      </c>
      <c r="C148" s="288">
        <f>'CDM Activity'!H130</f>
        <v>1839612.2810517398</v>
      </c>
      <c r="D148" s="402">
        <f>D147</f>
        <v>1.0435171705156632</v>
      </c>
      <c r="E148" s="171">
        <f t="shared" si="36"/>
        <v>1919667.0023689764</v>
      </c>
      <c r="F148" s="171">
        <f t="shared" si="37"/>
        <v>77648656.642368972</v>
      </c>
      <c r="G148" s="222">
        <f t="shared" si="42"/>
        <v>754.11000000000013</v>
      </c>
      <c r="H148" s="222">
        <f t="shared" si="42"/>
        <v>0</v>
      </c>
      <c r="I148" s="169">
        <v>0</v>
      </c>
      <c r="J148" s="169">
        <v>28</v>
      </c>
      <c r="K148" s="287">
        <v>146</v>
      </c>
      <c r="L148" s="287">
        <v>33539</v>
      </c>
      <c r="M148" s="289">
        <v>150.09595599183959</v>
      </c>
      <c r="N148" s="169">
        <v>304</v>
      </c>
      <c r="O148" s="169"/>
      <c r="P148" s="293"/>
      <c r="Q148" s="287">
        <f t="shared" si="38"/>
        <v>71655695.457615137</v>
      </c>
      <c r="R148" s="291">
        <f t="shared" si="39"/>
        <v>1919667.0023689764</v>
      </c>
      <c r="S148" s="287">
        <f t="shared" si="40"/>
        <v>71655695.457615137</v>
      </c>
      <c r="T148" s="50">
        <f t="shared" si="32"/>
        <v>-4073294.1823848635</v>
      </c>
      <c r="U148" s="103">
        <f t="shared" si="33"/>
        <v>-5.3787779313423621E-2</v>
      </c>
      <c r="V148" s="13">
        <f t="shared" si="34"/>
        <v>5.3787779313423621E-2</v>
      </c>
      <c r="W148" s="338"/>
      <c r="X148" s="13"/>
    </row>
    <row r="149" spans="1:24" x14ac:dyDescent="0.25">
      <c r="A149" s="196">
        <f t="shared" si="35"/>
        <v>42094</v>
      </c>
      <c r="B149" s="170">
        <v>70753090.569999993</v>
      </c>
      <c r="C149" s="288">
        <f>'CDM Activity'!H131</f>
        <v>1830039.8922848257</v>
      </c>
      <c r="D149" s="402">
        <f t="shared" ref="D149:D158" si="43">D148</f>
        <v>1.0435171705156632</v>
      </c>
      <c r="E149" s="171">
        <f t="shared" si="36"/>
        <v>1909678.0503278503</v>
      </c>
      <c r="F149" s="171">
        <f t="shared" si="37"/>
        <v>72662768.620327845</v>
      </c>
      <c r="G149" s="222">
        <f t="shared" si="42"/>
        <v>679.39</v>
      </c>
      <c r="H149" s="222">
        <f t="shared" si="42"/>
        <v>0</v>
      </c>
      <c r="I149" s="169">
        <v>1</v>
      </c>
      <c r="J149" s="169">
        <v>31</v>
      </c>
      <c r="K149" s="287">
        <v>147</v>
      </c>
      <c r="L149" s="287">
        <v>33539</v>
      </c>
      <c r="M149" s="289">
        <v>150.39289555543107</v>
      </c>
      <c r="N149" s="169">
        <v>352</v>
      </c>
      <c r="O149" s="169"/>
      <c r="P149" s="293"/>
      <c r="Q149" s="287">
        <f t="shared" si="38"/>
        <v>71119039.091628075</v>
      </c>
      <c r="R149" s="291">
        <f t="shared" si="39"/>
        <v>1909678.0503278503</v>
      </c>
      <c r="S149" s="287">
        <f t="shared" si="40"/>
        <v>71119039.091628075</v>
      </c>
      <c r="T149" s="50">
        <f t="shared" si="32"/>
        <v>365948.5216280818</v>
      </c>
      <c r="U149" s="103">
        <f t="shared" si="33"/>
        <v>5.1721913301586231E-3</v>
      </c>
      <c r="V149" s="13">
        <f t="shared" si="34"/>
        <v>5.1721913301586231E-3</v>
      </c>
      <c r="W149" s="338"/>
      <c r="X149" s="13"/>
    </row>
    <row r="150" spans="1:24" x14ac:dyDescent="0.25">
      <c r="A150" s="196">
        <f t="shared" si="35"/>
        <v>42124</v>
      </c>
      <c r="B150" s="170">
        <v>57109491.909999996</v>
      </c>
      <c r="C150" s="288">
        <f>'CDM Activity'!H132</f>
        <v>1820467.5035179115</v>
      </c>
      <c r="D150" s="402">
        <f t="shared" si="43"/>
        <v>1.0435171705156632</v>
      </c>
      <c r="E150" s="171">
        <f t="shared" si="36"/>
        <v>1899689.0982867242</v>
      </c>
      <c r="F150" s="171">
        <f t="shared" si="37"/>
        <v>59009181.008286722</v>
      </c>
      <c r="G150" s="222">
        <f t="shared" si="42"/>
        <v>427.16999999999996</v>
      </c>
      <c r="H150" s="222">
        <f t="shared" si="42"/>
        <v>0.02</v>
      </c>
      <c r="I150" s="169">
        <v>1</v>
      </c>
      <c r="J150" s="169">
        <v>30</v>
      </c>
      <c r="K150" s="287">
        <v>148</v>
      </c>
      <c r="L150" s="287">
        <v>33261</v>
      </c>
      <c r="M150" s="289">
        <v>150.69042256392635</v>
      </c>
      <c r="N150" s="169">
        <v>336</v>
      </c>
      <c r="O150" s="169"/>
      <c r="P150" s="293"/>
      <c r="Q150" s="287">
        <f t="shared" si="38"/>
        <v>57704738.71140787</v>
      </c>
      <c r="R150" s="291">
        <f t="shared" si="39"/>
        <v>1899689.0982867242</v>
      </c>
      <c r="S150" s="287">
        <f t="shared" si="40"/>
        <v>57704738.71140787</v>
      </c>
      <c r="T150" s="50">
        <f t="shared" si="32"/>
        <v>595246.80140787363</v>
      </c>
      <c r="U150" s="103">
        <f t="shared" si="33"/>
        <v>1.042290487097898E-2</v>
      </c>
      <c r="V150" s="13">
        <f t="shared" si="34"/>
        <v>1.042290487097898E-2</v>
      </c>
      <c r="W150" s="338"/>
      <c r="X150" s="13"/>
    </row>
    <row r="151" spans="1:24" x14ac:dyDescent="0.25">
      <c r="A151" s="196">
        <f t="shared" si="35"/>
        <v>42155</v>
      </c>
      <c r="B151" s="170">
        <v>49113111.240000002</v>
      </c>
      <c r="C151" s="288">
        <f>'CDM Activity'!H133</f>
        <v>1810895.1147509974</v>
      </c>
      <c r="D151" s="402">
        <f t="shared" si="43"/>
        <v>1.0435171705156632</v>
      </c>
      <c r="E151" s="171">
        <f t="shared" si="36"/>
        <v>1889700.1462455979</v>
      </c>
      <c r="F151" s="171">
        <f t="shared" si="37"/>
        <v>51002811.386245601</v>
      </c>
      <c r="G151" s="222">
        <f t="shared" si="42"/>
        <v>232.2</v>
      </c>
      <c r="H151" s="222">
        <f t="shared" si="42"/>
        <v>3.9</v>
      </c>
      <c r="I151" s="169">
        <v>1</v>
      </c>
      <c r="J151" s="169">
        <v>31</v>
      </c>
      <c r="K151" s="287">
        <v>149</v>
      </c>
      <c r="L151" s="287">
        <v>33261</v>
      </c>
      <c r="M151" s="289">
        <v>150.9885381794862</v>
      </c>
      <c r="N151" s="169">
        <v>320</v>
      </c>
      <c r="O151" s="169"/>
      <c r="P151" s="293"/>
      <c r="Q151" s="287">
        <f t="shared" si="38"/>
        <v>52130733.758685976</v>
      </c>
      <c r="R151" s="291">
        <f t="shared" si="39"/>
        <v>1889700.1462455979</v>
      </c>
      <c r="S151" s="287">
        <f t="shared" si="40"/>
        <v>52130733.758685976</v>
      </c>
      <c r="T151" s="50">
        <f t="shared" si="32"/>
        <v>3017622.5186859742</v>
      </c>
      <c r="U151" s="103">
        <f t="shared" si="33"/>
        <v>6.1442300080315052E-2</v>
      </c>
      <c r="V151" s="13">
        <f t="shared" si="34"/>
        <v>6.1442300080315052E-2</v>
      </c>
      <c r="W151" s="338"/>
      <c r="X151" s="13"/>
    </row>
    <row r="152" spans="1:24" x14ac:dyDescent="0.25">
      <c r="A152" s="196">
        <f t="shared" si="35"/>
        <v>42185</v>
      </c>
      <c r="B152" s="170">
        <v>46018521.689999998</v>
      </c>
      <c r="C152" s="288">
        <f>'CDM Activity'!H134</f>
        <v>1801322.7259840833</v>
      </c>
      <c r="D152" s="402">
        <f t="shared" si="43"/>
        <v>1.0435171705156632</v>
      </c>
      <c r="E152" s="171">
        <f t="shared" si="36"/>
        <v>1879711.1942044718</v>
      </c>
      <c r="F152" s="171">
        <f t="shared" si="37"/>
        <v>47898232.88420447</v>
      </c>
      <c r="G152" s="222">
        <f t="shared" si="42"/>
        <v>101.74</v>
      </c>
      <c r="H152" s="222">
        <f t="shared" si="42"/>
        <v>9.5400000000000009</v>
      </c>
      <c r="I152" s="169">
        <v>0</v>
      </c>
      <c r="J152" s="169">
        <v>30</v>
      </c>
      <c r="K152" s="287">
        <v>150</v>
      </c>
      <c r="L152" s="287">
        <v>33261</v>
      </c>
      <c r="M152" s="289">
        <v>151.28724356657051</v>
      </c>
      <c r="N152" s="169">
        <v>352</v>
      </c>
      <c r="O152" s="169"/>
      <c r="P152" s="293"/>
      <c r="Q152" s="287">
        <f t="shared" si="38"/>
        <v>48549379.295100123</v>
      </c>
      <c r="R152" s="291">
        <f t="shared" si="39"/>
        <v>1879711.1942044718</v>
      </c>
      <c r="S152" s="287">
        <f t="shared" si="40"/>
        <v>48549379.295100123</v>
      </c>
      <c r="T152" s="50">
        <f t="shared" si="32"/>
        <v>2530857.6051001251</v>
      </c>
      <c r="U152" s="103">
        <f t="shared" si="33"/>
        <v>5.4996499499680586E-2</v>
      </c>
      <c r="V152" s="13">
        <f t="shared" si="34"/>
        <v>5.4996499499680586E-2</v>
      </c>
      <c r="W152" s="338"/>
      <c r="X152" s="13"/>
    </row>
    <row r="153" spans="1:24" x14ac:dyDescent="0.25">
      <c r="A153" s="196">
        <f t="shared" si="35"/>
        <v>42216</v>
      </c>
      <c r="B153" s="170">
        <v>50056825.770000003</v>
      </c>
      <c r="C153" s="288">
        <f>'CDM Activity'!H135</f>
        <v>1791750.3372171691</v>
      </c>
      <c r="D153" s="402">
        <f t="shared" si="43"/>
        <v>1.0435171705156632</v>
      </c>
      <c r="E153" s="171">
        <f t="shared" si="36"/>
        <v>1869722.2421633457</v>
      </c>
      <c r="F153" s="171">
        <f t="shared" si="37"/>
        <v>51926548.012163348</v>
      </c>
      <c r="G153" s="222">
        <f t="shared" si="42"/>
        <v>40.76</v>
      </c>
      <c r="H153" s="222">
        <f t="shared" si="42"/>
        <v>36.08</v>
      </c>
      <c r="I153" s="169">
        <v>0</v>
      </c>
      <c r="J153" s="169">
        <v>31</v>
      </c>
      <c r="K153" s="287">
        <v>151</v>
      </c>
      <c r="L153" s="287">
        <v>33371</v>
      </c>
      <c r="M153" s="289">
        <v>151.58653989194292</v>
      </c>
      <c r="N153" s="169">
        <v>352</v>
      </c>
      <c r="O153" s="169"/>
      <c r="P153" s="293"/>
      <c r="Q153" s="287">
        <f t="shared" si="38"/>
        <v>50801368.005031586</v>
      </c>
      <c r="R153" s="291">
        <f t="shared" si="39"/>
        <v>1869722.2421633457</v>
      </c>
      <c r="S153" s="287">
        <f t="shared" si="40"/>
        <v>50801368.005031586</v>
      </c>
      <c r="T153" s="50">
        <f t="shared" si="32"/>
        <v>744542.23503158242</v>
      </c>
      <c r="U153" s="103">
        <f t="shared" si="33"/>
        <v>1.4873940238491921E-2</v>
      </c>
      <c r="V153" s="13">
        <f t="shared" si="34"/>
        <v>1.4873940238491921E-2</v>
      </c>
      <c r="W153" s="338"/>
      <c r="X153" s="13"/>
    </row>
    <row r="154" spans="1:24" x14ac:dyDescent="0.25">
      <c r="A154" s="196">
        <f t="shared" si="35"/>
        <v>42247</v>
      </c>
      <c r="B154" s="170">
        <v>49818189.549999997</v>
      </c>
      <c r="C154" s="288">
        <f>'CDM Activity'!H136</f>
        <v>1782177.948450255</v>
      </c>
      <c r="D154" s="402">
        <f t="shared" si="43"/>
        <v>1.0435171705156632</v>
      </c>
      <c r="E154" s="171">
        <f t="shared" si="36"/>
        <v>1859733.2901222196</v>
      </c>
      <c r="F154" s="171">
        <f t="shared" si="37"/>
        <v>51677922.840122215</v>
      </c>
      <c r="G154" s="222">
        <f t="shared" si="42"/>
        <v>42.03</v>
      </c>
      <c r="H154" s="222">
        <f t="shared" si="42"/>
        <v>33.799999999999997</v>
      </c>
      <c r="I154" s="169">
        <v>0</v>
      </c>
      <c r="J154" s="169">
        <v>31</v>
      </c>
      <c r="K154" s="287">
        <v>152</v>
      </c>
      <c r="L154" s="287">
        <v>33371</v>
      </c>
      <c r="M154" s="289">
        <v>151.88642832467528</v>
      </c>
      <c r="N154" s="169">
        <v>320</v>
      </c>
      <c r="O154" s="169"/>
      <c r="P154" s="293"/>
      <c r="Q154" s="287">
        <f t="shared" si="38"/>
        <v>50585822.430196106</v>
      </c>
      <c r="R154" s="291">
        <f t="shared" si="39"/>
        <v>1859733.2901222196</v>
      </c>
      <c r="S154" s="287">
        <f t="shared" si="40"/>
        <v>50585822.430196106</v>
      </c>
      <c r="T154" s="50">
        <f t="shared" si="32"/>
        <v>767632.88019610941</v>
      </c>
      <c r="U154" s="103">
        <f t="shared" si="33"/>
        <v>1.5408686809577356E-2</v>
      </c>
      <c r="V154" s="13">
        <f t="shared" si="34"/>
        <v>1.5408686809577356E-2</v>
      </c>
      <c r="W154" s="338"/>
      <c r="X154" s="13"/>
    </row>
    <row r="155" spans="1:24" x14ac:dyDescent="0.25">
      <c r="A155" s="196">
        <f t="shared" si="35"/>
        <v>42277</v>
      </c>
      <c r="B155" s="170">
        <v>48683583.240000002</v>
      </c>
      <c r="C155" s="288">
        <f>'CDM Activity'!H137</f>
        <v>1772605.5596833408</v>
      </c>
      <c r="D155" s="402">
        <f t="shared" si="43"/>
        <v>1.0435171705156632</v>
      </c>
      <c r="E155" s="171">
        <f t="shared" si="36"/>
        <v>1849744.3380810933</v>
      </c>
      <c r="F155" s="171">
        <f t="shared" si="37"/>
        <v>50533327.578081094</v>
      </c>
      <c r="G155" s="222">
        <f t="shared" si="42"/>
        <v>129.35999999999999</v>
      </c>
      <c r="H155" s="222">
        <f t="shared" si="42"/>
        <v>11.58</v>
      </c>
      <c r="I155" s="169">
        <v>1</v>
      </c>
      <c r="J155" s="169">
        <v>30</v>
      </c>
      <c r="K155" s="287">
        <v>153</v>
      </c>
      <c r="L155" s="287">
        <v>33371</v>
      </c>
      <c r="M155" s="289">
        <v>152.18691003615226</v>
      </c>
      <c r="N155" s="169">
        <v>336</v>
      </c>
      <c r="O155" s="169"/>
      <c r="P155" s="293"/>
      <c r="Q155" s="287">
        <f t="shared" si="38"/>
        <v>47382043.576525003</v>
      </c>
      <c r="R155" s="291">
        <f t="shared" si="39"/>
        <v>1849744.3380810933</v>
      </c>
      <c r="S155" s="287">
        <f t="shared" si="40"/>
        <v>47382043.576525003</v>
      </c>
      <c r="T155" s="50">
        <f t="shared" si="32"/>
        <v>-1301539.6634749994</v>
      </c>
      <c r="U155" s="103">
        <f t="shared" si="33"/>
        <v>-2.6734672693640438E-2</v>
      </c>
      <c r="V155" s="13">
        <f t="shared" si="34"/>
        <v>2.6734672693640438E-2</v>
      </c>
      <c r="W155" s="338"/>
      <c r="X155" s="13"/>
    </row>
    <row r="156" spans="1:24" x14ac:dyDescent="0.25">
      <c r="A156" s="196">
        <f t="shared" si="35"/>
        <v>42308</v>
      </c>
      <c r="B156" s="170">
        <v>52100032.990000002</v>
      </c>
      <c r="C156" s="288">
        <f>'CDM Activity'!H138</f>
        <v>1763033.1709164267</v>
      </c>
      <c r="D156" s="402">
        <f t="shared" si="43"/>
        <v>1.0435171705156632</v>
      </c>
      <c r="E156" s="171">
        <f t="shared" si="36"/>
        <v>1839755.3860399672</v>
      </c>
      <c r="F156" s="171">
        <f t="shared" si="37"/>
        <v>53939788.376039967</v>
      </c>
      <c r="G156" s="222">
        <f t="shared" si="42"/>
        <v>306.13</v>
      </c>
      <c r="H156" s="222">
        <f t="shared" si="42"/>
        <v>0.47000000000000003</v>
      </c>
      <c r="I156" s="169">
        <v>1</v>
      </c>
      <c r="J156" s="169">
        <v>31</v>
      </c>
      <c r="K156" s="287">
        <v>154</v>
      </c>
      <c r="L156" s="287">
        <v>33411</v>
      </c>
      <c r="M156" s="289">
        <v>152.48798620007588</v>
      </c>
      <c r="N156" s="169">
        <v>336</v>
      </c>
      <c r="O156" s="169"/>
      <c r="P156" s="293"/>
      <c r="Q156" s="287">
        <f t="shared" si="38"/>
        <v>55294001.872866571</v>
      </c>
      <c r="R156" s="291">
        <f t="shared" si="39"/>
        <v>1839755.3860399672</v>
      </c>
      <c r="S156" s="287">
        <f t="shared" si="40"/>
        <v>55294001.872866571</v>
      </c>
      <c r="T156" s="50">
        <f t="shared" si="32"/>
        <v>3193968.8828665689</v>
      </c>
      <c r="U156" s="103">
        <f t="shared" si="33"/>
        <v>6.1304546265443134E-2</v>
      </c>
      <c r="V156" s="13">
        <f t="shared" si="34"/>
        <v>6.1304546265443134E-2</v>
      </c>
      <c r="W156" s="338"/>
      <c r="X156" s="13"/>
    </row>
    <row r="157" spans="1:24" x14ac:dyDescent="0.25">
      <c r="A157" s="196">
        <f t="shared" si="35"/>
        <v>42338</v>
      </c>
      <c r="B157" s="170">
        <v>55680534.289999999</v>
      </c>
      <c r="C157" s="288">
        <f>'CDM Activity'!H139</f>
        <v>1753460.7821495126</v>
      </c>
      <c r="D157" s="402">
        <f t="shared" si="43"/>
        <v>1.0435171705156632</v>
      </c>
      <c r="E157" s="171">
        <f t="shared" si="36"/>
        <v>1829766.4339988411</v>
      </c>
      <c r="F157" s="171">
        <f t="shared" si="37"/>
        <v>57510300.723998837</v>
      </c>
      <c r="G157" s="222">
        <f t="shared" si="42"/>
        <v>480.06200000000001</v>
      </c>
      <c r="H157" s="222">
        <f t="shared" si="42"/>
        <v>0</v>
      </c>
      <c r="I157" s="169">
        <v>1</v>
      </c>
      <c r="J157" s="169">
        <v>30</v>
      </c>
      <c r="K157" s="287">
        <v>155</v>
      </c>
      <c r="L157" s="287">
        <v>33411</v>
      </c>
      <c r="M157" s="289">
        <v>152.78965799247018</v>
      </c>
      <c r="N157" s="169">
        <v>320</v>
      </c>
      <c r="O157" s="169"/>
      <c r="P157" s="293"/>
      <c r="Q157" s="287">
        <f t="shared" si="38"/>
        <v>60190657.652751327</v>
      </c>
      <c r="R157" s="291">
        <f t="shared" si="39"/>
        <v>1829766.4339988411</v>
      </c>
      <c r="S157" s="287">
        <f t="shared" si="40"/>
        <v>60190657.652751327</v>
      </c>
      <c r="T157" s="50">
        <f t="shared" si="32"/>
        <v>4510123.3627513275</v>
      </c>
      <c r="U157" s="103">
        <f t="shared" si="33"/>
        <v>8.100000153125915E-2</v>
      </c>
      <c r="V157" s="13">
        <f t="shared" si="34"/>
        <v>8.100000153125915E-2</v>
      </c>
      <c r="W157" s="338"/>
      <c r="X157" s="13"/>
    </row>
    <row r="158" spans="1:24" x14ac:dyDescent="0.25">
      <c r="A158" s="196">
        <f t="shared" si="35"/>
        <v>42369</v>
      </c>
      <c r="B158" s="170">
        <v>63647959.810000002</v>
      </c>
      <c r="C158" s="288">
        <f>'CDM Activity'!H140</f>
        <v>1743888.3933825984</v>
      </c>
      <c r="D158" s="402">
        <f t="shared" si="43"/>
        <v>1.0435171705156632</v>
      </c>
      <c r="E158" s="171">
        <f t="shared" si="36"/>
        <v>1819777.4819577148</v>
      </c>
      <c r="F158" s="171">
        <f t="shared" si="37"/>
        <v>65467737.291957714</v>
      </c>
      <c r="G158" s="222">
        <f t="shared" si="42"/>
        <v>702.73799999999994</v>
      </c>
      <c r="H158" s="222">
        <f t="shared" si="42"/>
        <v>0</v>
      </c>
      <c r="I158" s="169">
        <v>0</v>
      </c>
      <c r="J158" s="169">
        <v>31</v>
      </c>
      <c r="K158" s="287">
        <v>156</v>
      </c>
      <c r="L158" s="287">
        <v>33411</v>
      </c>
      <c r="M158" s="289">
        <v>153.09192659168593</v>
      </c>
      <c r="N158" s="169">
        <v>352</v>
      </c>
      <c r="O158" s="169"/>
      <c r="P158" s="293"/>
      <c r="Q158" s="287">
        <f t="shared" si="38"/>
        <v>73467584.969467789</v>
      </c>
      <c r="R158" s="291">
        <f t="shared" si="39"/>
        <v>1819777.4819577148</v>
      </c>
      <c r="S158" s="287">
        <f t="shared" si="40"/>
        <v>73467584.969467789</v>
      </c>
      <c r="T158" s="50">
        <f t="shared" si="32"/>
        <v>9819625.1594677866</v>
      </c>
      <c r="U158" s="103">
        <f t="shared" si="33"/>
        <v>0.1542802815483959</v>
      </c>
      <c r="V158" s="13">
        <f t="shared" si="34"/>
        <v>0.1542802815483959</v>
      </c>
      <c r="W158" s="338"/>
      <c r="X158" s="13"/>
    </row>
    <row r="159" spans="1:24" x14ac:dyDescent="0.25">
      <c r="A159" s="196">
        <f t="shared" si="35"/>
        <v>42400</v>
      </c>
      <c r="B159" s="170">
        <v>71224982.780000001</v>
      </c>
      <c r="C159" s="288">
        <f>'CDM Activity'!H141</f>
        <v>1841310.7471193657</v>
      </c>
      <c r="D159" s="402">
        <f>'Rate Class Energy Model'!F25</f>
        <v>1.0519444996030285</v>
      </c>
      <c r="E159" s="171">
        <f t="shared" si="36"/>
        <v>1936956.7124921598</v>
      </c>
      <c r="F159" s="171">
        <f t="shared" si="37"/>
        <v>73161939.492492154</v>
      </c>
      <c r="G159" s="222">
        <f t="shared" si="42"/>
        <v>824.21</v>
      </c>
      <c r="H159" s="222">
        <f t="shared" si="42"/>
        <v>0</v>
      </c>
      <c r="I159" s="169">
        <v>0</v>
      </c>
      <c r="J159" s="169">
        <v>31</v>
      </c>
      <c r="K159" s="287">
        <v>157</v>
      </c>
      <c r="L159" s="287">
        <v>33412</v>
      </c>
      <c r="M159" s="289">
        <v>153.40727089469959</v>
      </c>
      <c r="N159" s="169">
        <v>320</v>
      </c>
      <c r="O159" s="169"/>
      <c r="P159" s="293"/>
      <c r="Q159" s="287">
        <f t="shared" si="38"/>
        <v>78141182.221729428</v>
      </c>
      <c r="R159" s="291">
        <f t="shared" si="39"/>
        <v>1936956.7124921598</v>
      </c>
      <c r="S159" s="287">
        <f t="shared" si="40"/>
        <v>78141182.221729428</v>
      </c>
      <c r="T159" s="50">
        <f t="shared" si="32"/>
        <v>6916199.4417294264</v>
      </c>
      <c r="U159" s="103">
        <f t="shared" si="33"/>
        <v>9.7103560742053244E-2</v>
      </c>
      <c r="V159" s="13">
        <f t="shared" si="34"/>
        <v>9.7103560742053244E-2</v>
      </c>
      <c r="W159" s="338"/>
    </row>
    <row r="160" spans="1:24" x14ac:dyDescent="0.25">
      <c r="A160" s="196">
        <f t="shared" si="35"/>
        <v>42429</v>
      </c>
      <c r="B160" s="170">
        <v>65961523.409999996</v>
      </c>
      <c r="C160" s="288">
        <f>'CDM Activity'!H142</f>
        <v>1938733.100856133</v>
      </c>
      <c r="D160" s="402">
        <f>D159</f>
        <v>1.0519444996030285</v>
      </c>
      <c r="E160" s="171">
        <f t="shared" si="36"/>
        <v>2039439.6216439325</v>
      </c>
      <c r="F160" s="171">
        <f t="shared" si="37"/>
        <v>68000963.031643927</v>
      </c>
      <c r="G160" s="222">
        <f t="shared" si="42"/>
        <v>754.11000000000013</v>
      </c>
      <c r="H160" s="222">
        <f t="shared" si="42"/>
        <v>0</v>
      </c>
      <c r="I160" s="169">
        <v>0</v>
      </c>
      <c r="J160" s="169">
        <v>29</v>
      </c>
      <c r="K160" s="287">
        <v>158</v>
      </c>
      <c r="L160" s="287">
        <v>33412</v>
      </c>
      <c r="M160" s="289">
        <v>153.72326475534609</v>
      </c>
      <c r="N160" s="169">
        <v>320</v>
      </c>
      <c r="O160" s="169"/>
      <c r="P160" s="293"/>
      <c r="Q160" s="287">
        <f t="shared" si="38"/>
        <v>71777640.713157535</v>
      </c>
      <c r="R160" s="291">
        <f t="shared" si="39"/>
        <v>2039439.6216439325</v>
      </c>
      <c r="S160" s="287">
        <f t="shared" si="40"/>
        <v>71777640.713157535</v>
      </c>
      <c r="T160" s="50">
        <f t="shared" si="32"/>
        <v>5816117.3031575382</v>
      </c>
      <c r="U160" s="103">
        <f t="shared" si="33"/>
        <v>8.8174393229307896E-2</v>
      </c>
      <c r="V160" s="13">
        <f t="shared" si="34"/>
        <v>8.8174393229307896E-2</v>
      </c>
      <c r="W160" s="338"/>
    </row>
    <row r="161" spans="1:23" x14ac:dyDescent="0.25">
      <c r="A161" s="196">
        <f t="shared" si="35"/>
        <v>42460</v>
      </c>
      <c r="B161" s="170">
        <v>61438716.170000002</v>
      </c>
      <c r="C161" s="288">
        <f>'CDM Activity'!H143</f>
        <v>2036155.4545929004</v>
      </c>
      <c r="D161" s="402">
        <f t="shared" ref="D161:D170" si="44">D160</f>
        <v>1.0519444996030285</v>
      </c>
      <c r="E161" s="171">
        <f t="shared" si="36"/>
        <v>2141922.5307957055</v>
      </c>
      <c r="F161" s="171">
        <f t="shared" si="37"/>
        <v>63580638.70079571</v>
      </c>
      <c r="G161" s="222">
        <f t="shared" si="42"/>
        <v>679.39</v>
      </c>
      <c r="H161" s="222">
        <f t="shared" si="42"/>
        <v>0</v>
      </c>
      <c r="I161" s="169">
        <v>1</v>
      </c>
      <c r="J161" s="169">
        <v>31</v>
      </c>
      <c r="K161" s="287">
        <v>159</v>
      </c>
      <c r="L161" s="287">
        <v>33412</v>
      </c>
      <c r="M161" s="289">
        <v>154.03990951160779</v>
      </c>
      <c r="N161" s="169">
        <v>352</v>
      </c>
      <c r="O161" s="169"/>
      <c r="P161" s="293"/>
      <c r="Q161" s="287">
        <f t="shared" si="38"/>
        <v>69463022.00848648</v>
      </c>
      <c r="R161" s="291">
        <f t="shared" si="39"/>
        <v>2141922.5307957055</v>
      </c>
      <c r="S161" s="287">
        <f t="shared" si="40"/>
        <v>69463022.00848648</v>
      </c>
      <c r="T161" s="50">
        <f t="shared" si="32"/>
        <v>8024305.8384864777</v>
      </c>
      <c r="U161" s="103">
        <f t="shared" si="33"/>
        <v>0.13060666528713497</v>
      </c>
      <c r="V161" s="13">
        <f t="shared" si="34"/>
        <v>0.13060666528713497</v>
      </c>
      <c r="W161" s="338"/>
    </row>
    <row r="162" spans="1:23" x14ac:dyDescent="0.25">
      <c r="A162" s="196">
        <f t="shared" si="35"/>
        <v>42490</v>
      </c>
      <c r="B162" s="170">
        <v>55510527.649999999</v>
      </c>
      <c r="C162" s="288">
        <f>'CDM Activity'!H144</f>
        <v>2133577.8083296674</v>
      </c>
      <c r="D162" s="402">
        <f t="shared" si="44"/>
        <v>1.0519444996030285</v>
      </c>
      <c r="E162" s="171">
        <f t="shared" si="36"/>
        <v>2244405.4399474785</v>
      </c>
      <c r="F162" s="171">
        <f t="shared" si="37"/>
        <v>57754933.089947477</v>
      </c>
      <c r="G162" s="222">
        <f t="shared" si="42"/>
        <v>427.16999999999996</v>
      </c>
      <c r="H162" s="222">
        <f t="shared" si="42"/>
        <v>0.02</v>
      </c>
      <c r="I162" s="169">
        <v>1</v>
      </c>
      <c r="J162" s="169">
        <v>30</v>
      </c>
      <c r="K162" s="287">
        <v>160</v>
      </c>
      <c r="L162" s="287">
        <v>33360</v>
      </c>
      <c r="M162" s="289">
        <v>154.35720650422309</v>
      </c>
      <c r="N162" s="169">
        <v>336</v>
      </c>
      <c r="O162" s="169"/>
      <c r="P162" s="293"/>
      <c r="Q162" s="287">
        <f t="shared" si="38"/>
        <v>57450418.145506442</v>
      </c>
      <c r="R162" s="291">
        <f t="shared" si="39"/>
        <v>2244405.4399474785</v>
      </c>
      <c r="S162" s="287">
        <f t="shared" si="40"/>
        <v>57450418.145506442</v>
      </c>
      <c r="T162" s="50">
        <f t="shared" si="32"/>
        <v>1939890.4955064431</v>
      </c>
      <c r="U162" s="103">
        <f t="shared" si="33"/>
        <v>3.4946353018614172E-2</v>
      </c>
      <c r="V162" s="13">
        <f t="shared" si="34"/>
        <v>3.4946353018614172E-2</v>
      </c>
      <c r="W162" s="338"/>
    </row>
    <row r="163" spans="1:23" x14ac:dyDescent="0.25">
      <c r="A163" s="196">
        <f t="shared" si="35"/>
        <v>42521</v>
      </c>
      <c r="B163" s="170">
        <v>47972677.969999999</v>
      </c>
      <c r="C163" s="288">
        <f>'CDM Activity'!H145</f>
        <v>2231000.1620664345</v>
      </c>
      <c r="D163" s="402">
        <f t="shared" si="44"/>
        <v>1.0519444996030285</v>
      </c>
      <c r="E163" s="171">
        <f t="shared" si="36"/>
        <v>2346888.349099251</v>
      </c>
      <c r="F163" s="171">
        <f t="shared" si="37"/>
        <v>50319566.319099247</v>
      </c>
      <c r="G163" s="222">
        <f t="shared" si="42"/>
        <v>232.2</v>
      </c>
      <c r="H163" s="222">
        <f t="shared" si="42"/>
        <v>3.9</v>
      </c>
      <c r="I163" s="169">
        <v>1</v>
      </c>
      <c r="J163" s="169">
        <v>31</v>
      </c>
      <c r="K163" s="287">
        <v>161</v>
      </c>
      <c r="L163" s="287">
        <v>33360</v>
      </c>
      <c r="M163" s="289">
        <v>154.6751570766921</v>
      </c>
      <c r="N163" s="169">
        <v>336</v>
      </c>
      <c r="O163" s="169"/>
      <c r="P163" s="293"/>
      <c r="Q163" s="287">
        <f t="shared" si="38"/>
        <v>51876413.192784548</v>
      </c>
      <c r="R163" s="291">
        <f t="shared" si="39"/>
        <v>2346888.349099251</v>
      </c>
      <c r="S163" s="287">
        <f t="shared" si="40"/>
        <v>51876413.192784548</v>
      </c>
      <c r="T163" s="50">
        <f t="shared" ref="T163:T182" si="45">S163-B163</f>
        <v>3903735.222784549</v>
      </c>
      <c r="U163" s="103">
        <f t="shared" ref="U163:U182" si="46">T163/B163</f>
        <v>8.1374136028548857E-2</v>
      </c>
      <c r="V163" s="13">
        <f t="shared" si="34"/>
        <v>8.1374136028548857E-2</v>
      </c>
      <c r="W163" s="338"/>
    </row>
    <row r="164" spans="1:23" x14ac:dyDescent="0.25">
      <c r="A164" s="196">
        <f t="shared" si="35"/>
        <v>42551</v>
      </c>
      <c r="B164" s="170">
        <v>46020697.049999997</v>
      </c>
      <c r="C164" s="288">
        <f>'CDM Activity'!H146</f>
        <v>2328422.5158032016</v>
      </c>
      <c r="D164" s="402">
        <f t="shared" si="44"/>
        <v>1.0519444996030285</v>
      </c>
      <c r="E164" s="171">
        <f t="shared" si="36"/>
        <v>2449371.2582510235</v>
      </c>
      <c r="F164" s="171">
        <f t="shared" si="37"/>
        <v>48470068.308251023</v>
      </c>
      <c r="G164" s="222">
        <f t="shared" si="42"/>
        <v>101.74</v>
      </c>
      <c r="H164" s="222">
        <f t="shared" si="42"/>
        <v>9.5400000000000009</v>
      </c>
      <c r="I164" s="169">
        <v>0</v>
      </c>
      <c r="J164" s="169">
        <v>30</v>
      </c>
      <c r="K164" s="287">
        <v>162</v>
      </c>
      <c r="L164" s="287">
        <v>33360</v>
      </c>
      <c r="M164" s="289">
        <v>154.99376257528229</v>
      </c>
      <c r="N164" s="169">
        <v>352</v>
      </c>
      <c r="O164" s="169"/>
      <c r="P164" s="293"/>
      <c r="Q164" s="287">
        <f t="shared" si="38"/>
        <v>48295058.729198664</v>
      </c>
      <c r="R164" s="291">
        <f t="shared" si="39"/>
        <v>2449371.2582510235</v>
      </c>
      <c r="S164" s="287">
        <f t="shared" ref="S164:S182" si="47">+$Z$43+G164*$Z$44+H164*$Z$45+I164*$Z$46+J164*$Z$47+K164*$Z$48+ L164*$Z$49</f>
        <v>48295058.729198664</v>
      </c>
      <c r="T164" s="50">
        <f t="shared" si="45"/>
        <v>2274361.6791986674</v>
      </c>
      <c r="U164" s="103">
        <f t="shared" si="46"/>
        <v>4.9420409185190028E-2</v>
      </c>
      <c r="V164" s="13">
        <f t="shared" si="34"/>
        <v>4.9420409185190028E-2</v>
      </c>
      <c r="W164" s="338"/>
    </row>
    <row r="165" spans="1:23" x14ac:dyDescent="0.25">
      <c r="A165" s="196">
        <f t="shared" si="35"/>
        <v>42582</v>
      </c>
      <c r="B165" s="170">
        <v>50843952.109999999</v>
      </c>
      <c r="C165" s="288">
        <f>'CDM Activity'!H147</f>
        <v>2425844.8695399687</v>
      </c>
      <c r="D165" s="402">
        <f t="shared" si="44"/>
        <v>1.0519444996030285</v>
      </c>
      <c r="E165" s="171">
        <f t="shared" si="36"/>
        <v>2551854.1674027964</v>
      </c>
      <c r="F165" s="171">
        <f t="shared" si="37"/>
        <v>53395806.277402796</v>
      </c>
      <c r="G165" s="222">
        <f t="shared" si="42"/>
        <v>40.76</v>
      </c>
      <c r="H165" s="222">
        <f t="shared" si="42"/>
        <v>36.08</v>
      </c>
      <c r="I165" s="169">
        <v>0</v>
      </c>
      <c r="J165" s="169">
        <v>31</v>
      </c>
      <c r="K165" s="287">
        <v>163</v>
      </c>
      <c r="L165" s="287">
        <v>33412</v>
      </c>
      <c r="M165" s="289">
        <v>155.31302434903424</v>
      </c>
      <c r="N165" s="169">
        <v>320</v>
      </c>
      <c r="O165" s="169"/>
      <c r="P165" s="293"/>
      <c r="Q165" s="287">
        <f t="shared" si="38"/>
        <v>50187320.014351666</v>
      </c>
      <c r="R165" s="291">
        <f t="shared" si="39"/>
        <v>2551854.1674027964</v>
      </c>
      <c r="S165" s="287">
        <f t="shared" si="47"/>
        <v>50187320.014351666</v>
      </c>
      <c r="T165" s="50">
        <f t="shared" si="45"/>
        <v>-656632.09564833343</v>
      </c>
      <c r="U165" s="103">
        <f t="shared" si="46"/>
        <v>-1.2914654907779816E-2</v>
      </c>
      <c r="V165" s="13">
        <f t="shared" si="34"/>
        <v>1.2914654907779816E-2</v>
      </c>
      <c r="W165" s="338"/>
    </row>
    <row r="166" spans="1:23" x14ac:dyDescent="0.25">
      <c r="A166" s="196">
        <f t="shared" si="35"/>
        <v>42613</v>
      </c>
      <c r="B166" s="170">
        <v>52655659.520000003</v>
      </c>
      <c r="C166" s="288">
        <f>'CDM Activity'!H148</f>
        <v>2523267.2232767357</v>
      </c>
      <c r="D166" s="402">
        <f t="shared" si="44"/>
        <v>1.0519444996030285</v>
      </c>
      <c r="E166" s="171">
        <f t="shared" si="36"/>
        <v>2654337.076554569</v>
      </c>
      <c r="F166" s="171">
        <f t="shared" si="37"/>
        <v>55309996.59655457</v>
      </c>
      <c r="G166" s="222">
        <f t="shared" si="42"/>
        <v>42.03</v>
      </c>
      <c r="H166" s="222">
        <f t="shared" si="42"/>
        <v>33.799999999999997</v>
      </c>
      <c r="I166" s="169">
        <v>0</v>
      </c>
      <c r="J166" s="169">
        <v>31</v>
      </c>
      <c r="K166" s="287">
        <v>164</v>
      </c>
      <c r="L166" s="287">
        <v>33412</v>
      </c>
      <c r="M166" s="289">
        <v>155.63294374976735</v>
      </c>
      <c r="N166" s="169">
        <v>352</v>
      </c>
      <c r="O166" s="169"/>
      <c r="P166" s="293"/>
      <c r="Q166" s="287">
        <f t="shared" si="38"/>
        <v>49971774.439516187</v>
      </c>
      <c r="R166" s="291">
        <f t="shared" si="39"/>
        <v>2654337.076554569</v>
      </c>
      <c r="S166" s="287">
        <f t="shared" si="47"/>
        <v>49971774.439516187</v>
      </c>
      <c r="T166" s="50">
        <f t="shared" si="45"/>
        <v>-2683885.0804838166</v>
      </c>
      <c r="U166" s="103">
        <f t="shared" si="46"/>
        <v>-5.0970495953324951E-2</v>
      </c>
      <c r="V166" s="13">
        <f t="shared" si="34"/>
        <v>5.0970495953324951E-2</v>
      </c>
      <c r="W166" s="338"/>
    </row>
    <row r="167" spans="1:23" x14ac:dyDescent="0.25">
      <c r="A167" s="196">
        <f t="shared" si="35"/>
        <v>42643</v>
      </c>
      <c r="B167" s="170">
        <v>47273739.93</v>
      </c>
      <c r="C167" s="288">
        <f>'CDM Activity'!H149</f>
        <v>2620689.5770135028</v>
      </c>
      <c r="D167" s="402">
        <f t="shared" si="44"/>
        <v>1.0519444996030285</v>
      </c>
      <c r="E167" s="171">
        <f t="shared" si="36"/>
        <v>2756819.9857063415</v>
      </c>
      <c r="F167" s="171">
        <f t="shared" si="37"/>
        <v>50030559.915706344</v>
      </c>
      <c r="G167" s="222">
        <f t="shared" si="42"/>
        <v>129.35999999999999</v>
      </c>
      <c r="H167" s="222">
        <f t="shared" si="42"/>
        <v>11.58</v>
      </c>
      <c r="I167" s="169">
        <v>1</v>
      </c>
      <c r="J167" s="169">
        <v>30</v>
      </c>
      <c r="K167" s="287">
        <v>165</v>
      </c>
      <c r="L167" s="287">
        <v>33412</v>
      </c>
      <c r="M167" s="289">
        <v>155.95352213208551</v>
      </c>
      <c r="N167" s="169">
        <v>336</v>
      </c>
      <c r="O167" s="169"/>
      <c r="P167" s="293"/>
      <c r="Q167" s="287">
        <f t="shared" si="38"/>
        <v>46767995.585845083</v>
      </c>
      <c r="R167" s="291">
        <f t="shared" si="39"/>
        <v>2756819.9857063415</v>
      </c>
      <c r="S167" s="287">
        <f t="shared" si="47"/>
        <v>46767995.585845083</v>
      </c>
      <c r="T167" s="50">
        <f t="shared" si="45"/>
        <v>-505744.3441549167</v>
      </c>
      <c r="U167" s="103">
        <f t="shared" si="46"/>
        <v>-1.0698208876720804E-2</v>
      </c>
      <c r="V167" s="13">
        <f t="shared" si="34"/>
        <v>1.0698208876720804E-2</v>
      </c>
      <c r="W167" s="338"/>
    </row>
    <row r="168" spans="1:23" x14ac:dyDescent="0.25">
      <c r="A168" s="196">
        <f t="shared" si="35"/>
        <v>42674</v>
      </c>
      <c r="B168" s="170">
        <v>50073797.57</v>
      </c>
      <c r="C168" s="288">
        <f>'CDM Activity'!H150</f>
        <v>2718111.9307502699</v>
      </c>
      <c r="D168" s="402">
        <f t="shared" si="44"/>
        <v>1.0519444996030285</v>
      </c>
      <c r="E168" s="171">
        <f t="shared" si="36"/>
        <v>2859302.8948581144</v>
      </c>
      <c r="F168" s="171">
        <f t="shared" si="37"/>
        <v>52933100.464858115</v>
      </c>
      <c r="G168" s="222">
        <f t="shared" si="42"/>
        <v>306.13</v>
      </c>
      <c r="H168" s="222">
        <f t="shared" si="42"/>
        <v>0.47000000000000003</v>
      </c>
      <c r="I168" s="169">
        <v>1</v>
      </c>
      <c r="J168" s="169">
        <v>31</v>
      </c>
      <c r="K168" s="287">
        <v>166</v>
      </c>
      <c r="L168" s="287">
        <v>33513</v>
      </c>
      <c r="M168" s="289">
        <v>156.2747608533829</v>
      </c>
      <c r="N168" s="169">
        <v>320</v>
      </c>
      <c r="O168" s="169"/>
      <c r="P168" s="293"/>
      <c r="Q168" s="287">
        <f t="shared" si="38"/>
        <v>55058287.897901982</v>
      </c>
      <c r="R168" s="291">
        <f t="shared" si="39"/>
        <v>2859302.8948581144</v>
      </c>
      <c r="S168" s="287">
        <f t="shared" si="47"/>
        <v>55058287.897901982</v>
      </c>
      <c r="T168" s="50">
        <f t="shared" si="45"/>
        <v>4984490.3279019818</v>
      </c>
      <c r="U168" s="103">
        <f t="shared" si="46"/>
        <v>9.9542886095946276E-2</v>
      </c>
      <c r="V168" s="13">
        <f t="shared" si="34"/>
        <v>9.9542886095946276E-2</v>
      </c>
      <c r="W168" s="338"/>
    </row>
    <row r="169" spans="1:23" x14ac:dyDescent="0.25">
      <c r="A169" s="196">
        <f t="shared" si="35"/>
        <v>42704</v>
      </c>
      <c r="B169" s="170">
        <v>53720227.840000004</v>
      </c>
      <c r="C169" s="288">
        <f>'CDM Activity'!H151</f>
        <v>2815534.284487037</v>
      </c>
      <c r="D169" s="402">
        <f t="shared" si="44"/>
        <v>1.0519444996030285</v>
      </c>
      <c r="E169" s="171">
        <f t="shared" si="36"/>
        <v>2961785.8040098869</v>
      </c>
      <c r="F169" s="171">
        <f t="shared" si="37"/>
        <v>56682013.644009888</v>
      </c>
      <c r="G169" s="222">
        <f t="shared" si="42"/>
        <v>480.06200000000001</v>
      </c>
      <c r="H169" s="222">
        <f t="shared" si="42"/>
        <v>0</v>
      </c>
      <c r="I169" s="169">
        <v>1</v>
      </c>
      <c r="J169" s="169">
        <v>30</v>
      </c>
      <c r="K169" s="287">
        <v>167</v>
      </c>
      <c r="L169" s="287">
        <v>33513</v>
      </c>
      <c r="M169" s="289">
        <v>156.59666127384969</v>
      </c>
      <c r="N169" s="169">
        <v>336</v>
      </c>
      <c r="O169" s="169"/>
      <c r="P169" s="293"/>
      <c r="Q169" s="287">
        <f t="shared" si="38"/>
        <v>59954943.677786738</v>
      </c>
      <c r="R169" s="291">
        <f t="shared" si="39"/>
        <v>2961785.8040098869</v>
      </c>
      <c r="S169" s="287">
        <f t="shared" si="47"/>
        <v>59954943.677786738</v>
      </c>
      <c r="T169" s="50">
        <f t="shared" si="45"/>
        <v>6234715.8377867341</v>
      </c>
      <c r="U169" s="103">
        <f t="shared" si="46"/>
        <v>0.11605899841594443</v>
      </c>
      <c r="V169" s="13">
        <f t="shared" si="34"/>
        <v>0.11605899841594443</v>
      </c>
      <c r="W169" s="338"/>
    </row>
    <row r="170" spans="1:23" x14ac:dyDescent="0.25">
      <c r="A170" s="196">
        <f t="shared" si="35"/>
        <v>42735</v>
      </c>
      <c r="B170" s="170">
        <v>67261959.730000004</v>
      </c>
      <c r="C170" s="288">
        <f>'CDM Activity'!H152</f>
        <v>2912956.6382238041</v>
      </c>
      <c r="D170" s="402">
        <f t="shared" si="44"/>
        <v>1.0519444996030285</v>
      </c>
      <c r="E170" s="171">
        <f t="shared" si="36"/>
        <v>3064268.7131616599</v>
      </c>
      <c r="F170" s="171">
        <f t="shared" si="37"/>
        <v>70326228.443161666</v>
      </c>
      <c r="G170" s="222">
        <f t="shared" si="42"/>
        <v>702.73799999999994</v>
      </c>
      <c r="H170" s="222">
        <f t="shared" si="42"/>
        <v>0</v>
      </c>
      <c r="I170" s="169">
        <v>0</v>
      </c>
      <c r="J170" s="169">
        <v>31</v>
      </c>
      <c r="K170" s="287">
        <v>168</v>
      </c>
      <c r="L170" s="287">
        <v>33513</v>
      </c>
      <c r="M170" s="289">
        <v>156.91922475647806</v>
      </c>
      <c r="N170" s="169">
        <v>336</v>
      </c>
      <c r="O170" s="169"/>
      <c r="P170" s="293"/>
      <c r="Q170" s="287">
        <f t="shared" si="38"/>
        <v>73231870.9945032</v>
      </c>
      <c r="R170" s="291">
        <f t="shared" si="39"/>
        <v>3064268.7131616599</v>
      </c>
      <c r="S170" s="287">
        <f t="shared" si="47"/>
        <v>73231870.9945032</v>
      </c>
      <c r="T170" s="50">
        <f t="shared" si="45"/>
        <v>5969911.2645031959</v>
      </c>
      <c r="U170" s="103">
        <f t="shared" si="46"/>
        <v>8.8756130336781008E-2</v>
      </c>
      <c r="V170" s="13">
        <f t="shared" si="34"/>
        <v>8.8756130336781008E-2</v>
      </c>
    </row>
    <row r="171" spans="1:23" x14ac:dyDescent="0.25">
      <c r="A171" s="196">
        <f t="shared" si="35"/>
        <v>42766</v>
      </c>
      <c r="B171" s="170">
        <v>66674271</v>
      </c>
      <c r="C171" s="288">
        <f>'CDM Activity'!H153</f>
        <v>2926161.7132919636</v>
      </c>
      <c r="D171" s="402">
        <f>'Rate Class Energy Model'!F26</f>
        <v>1.0488769185235338</v>
      </c>
      <c r="E171" s="171">
        <f t="shared" si="36"/>
        <v>3069183.4809392188</v>
      </c>
      <c r="F171" s="171">
        <f t="shared" si="37"/>
        <v>69743454.480939224</v>
      </c>
      <c r="G171" s="222">
        <f t="shared" si="42"/>
        <v>824.21</v>
      </c>
      <c r="H171" s="222">
        <f t="shared" si="42"/>
        <v>0</v>
      </c>
      <c r="I171" s="169">
        <v>0</v>
      </c>
      <c r="J171" s="169">
        <v>31</v>
      </c>
      <c r="K171" s="287">
        <v>169</v>
      </c>
      <c r="L171" s="287">
        <v>33528</v>
      </c>
      <c r="M171" s="289">
        <v>157.24245266706706</v>
      </c>
      <c r="N171" s="169">
        <v>320</v>
      </c>
      <c r="O171" s="169"/>
      <c r="P171" s="293"/>
      <c r="Q171" s="287">
        <f t="shared" si="38"/>
        <v>77992299.004469976</v>
      </c>
      <c r="R171" s="291">
        <f t="shared" si="39"/>
        <v>3069183.4809392188</v>
      </c>
      <c r="S171" s="287">
        <f t="shared" si="47"/>
        <v>77992299.004469976</v>
      </c>
      <c r="T171" s="50">
        <f t="shared" si="45"/>
        <v>11318028.004469976</v>
      </c>
      <c r="U171" s="103">
        <f t="shared" si="46"/>
        <v>0.16975105741268587</v>
      </c>
      <c r="V171" s="13">
        <f t="shared" si="34"/>
        <v>0.16975105741268587</v>
      </c>
      <c r="W171" s="341"/>
    </row>
    <row r="172" spans="1:23" x14ac:dyDescent="0.25">
      <c r="A172" s="196">
        <f t="shared" si="35"/>
        <v>42794</v>
      </c>
      <c r="B172" s="170">
        <v>59162719</v>
      </c>
      <c r="C172" s="288">
        <f>'CDM Activity'!H154</f>
        <v>2939366.7883601231</v>
      </c>
      <c r="D172" s="402">
        <f>D171</f>
        <v>1.0488769185235338</v>
      </c>
      <c r="E172" s="171">
        <f t="shared" si="36"/>
        <v>3083033.9793855823</v>
      </c>
      <c r="F172" s="171">
        <f t="shared" si="37"/>
        <v>62245752.979385585</v>
      </c>
      <c r="G172" s="222">
        <f t="shared" si="42"/>
        <v>754.11000000000013</v>
      </c>
      <c r="H172" s="222">
        <f t="shared" si="42"/>
        <v>0</v>
      </c>
      <c r="I172" s="169">
        <v>0</v>
      </c>
      <c r="J172" s="169">
        <v>28</v>
      </c>
      <c r="K172" s="287">
        <v>170</v>
      </c>
      <c r="L172" s="287">
        <v>33528</v>
      </c>
      <c r="M172" s="289">
        <v>157.56634637422971</v>
      </c>
      <c r="N172" s="169">
        <v>320</v>
      </c>
      <c r="O172" s="169"/>
      <c r="P172" s="293"/>
      <c r="Q172" s="287">
        <f t="shared" si="38"/>
        <v>69850795.157214075</v>
      </c>
      <c r="R172" s="291">
        <f t="shared" si="39"/>
        <v>3083033.9793855823</v>
      </c>
      <c r="S172" s="287">
        <f t="shared" si="47"/>
        <v>69850795.157214075</v>
      </c>
      <c r="T172" s="50">
        <f t="shared" si="45"/>
        <v>10688076.157214075</v>
      </c>
      <c r="U172" s="103">
        <f t="shared" si="46"/>
        <v>0.18065559423011096</v>
      </c>
      <c r="V172" s="13">
        <f t="shared" si="34"/>
        <v>0.18065559423011096</v>
      </c>
      <c r="W172" s="341"/>
    </row>
    <row r="173" spans="1:23" x14ac:dyDescent="0.25">
      <c r="A173" s="196">
        <f t="shared" si="35"/>
        <v>42825</v>
      </c>
      <c r="B173" s="170">
        <v>63923197</v>
      </c>
      <c r="C173" s="288">
        <f>'CDM Activity'!H155</f>
        <v>2952571.8634282826</v>
      </c>
      <c r="D173" s="402">
        <f t="shared" ref="D173:D182" si="48">D172</f>
        <v>1.0488769185235338</v>
      </c>
      <c r="E173" s="171">
        <f t="shared" si="36"/>
        <v>3096884.4778319453</v>
      </c>
      <c r="F173" s="171">
        <f t="shared" si="37"/>
        <v>67020081.477831945</v>
      </c>
      <c r="G173" s="222">
        <f t="shared" si="42"/>
        <v>679.39</v>
      </c>
      <c r="H173" s="222">
        <f t="shared" si="42"/>
        <v>0</v>
      </c>
      <c r="I173" s="169">
        <v>1</v>
      </c>
      <c r="J173" s="169">
        <v>31</v>
      </c>
      <c r="K173" s="287">
        <v>171</v>
      </c>
      <c r="L173" s="287">
        <v>33528</v>
      </c>
      <c r="M173" s="289">
        <v>157.89090724939794</v>
      </c>
      <c r="N173" s="169">
        <v>352</v>
      </c>
      <c r="O173" s="169"/>
      <c r="P173" s="293"/>
      <c r="Q173" s="287">
        <f t="shared" si="38"/>
        <v>69314138.791227013</v>
      </c>
      <c r="R173" s="291">
        <f t="shared" si="39"/>
        <v>3096884.4778319453</v>
      </c>
      <c r="S173" s="287">
        <f t="shared" si="47"/>
        <v>69314138.791227013</v>
      </c>
      <c r="T173" s="50">
        <f t="shared" si="45"/>
        <v>5390941.7912270129</v>
      </c>
      <c r="U173" s="103">
        <f t="shared" si="46"/>
        <v>8.4334671046365425E-2</v>
      </c>
      <c r="V173" s="13">
        <f t="shared" si="34"/>
        <v>8.4334671046365425E-2</v>
      </c>
      <c r="W173" s="341"/>
    </row>
    <row r="174" spans="1:23" x14ac:dyDescent="0.25">
      <c r="A174" s="196">
        <f t="shared" si="35"/>
        <v>42855</v>
      </c>
      <c r="B174" s="170">
        <v>51461055</v>
      </c>
      <c r="C174" s="288">
        <f>'CDM Activity'!H156</f>
        <v>2965776.938496442</v>
      </c>
      <c r="D174" s="402">
        <f t="shared" si="48"/>
        <v>1.0488769185235338</v>
      </c>
      <c r="E174" s="171">
        <f t="shared" si="36"/>
        <v>3110734.9762783083</v>
      </c>
      <c r="F174" s="171">
        <f t="shared" si="37"/>
        <v>54571789.976278305</v>
      </c>
      <c r="G174" s="222">
        <f t="shared" si="42"/>
        <v>427.16999999999996</v>
      </c>
      <c r="H174" s="222">
        <f t="shared" si="42"/>
        <v>0.02</v>
      </c>
      <c r="I174" s="169">
        <v>1</v>
      </c>
      <c r="J174" s="169">
        <v>30</v>
      </c>
      <c r="K174" s="287">
        <v>172</v>
      </c>
      <c r="L174" s="287">
        <v>33482</v>
      </c>
      <c r="M174" s="289">
        <v>158.21613666682862</v>
      </c>
      <c r="N174" s="169">
        <v>336</v>
      </c>
      <c r="O174" s="169"/>
      <c r="P174" s="293"/>
      <c r="Q174" s="287">
        <f t="shared" si="38"/>
        <v>57338748.110120595</v>
      </c>
      <c r="R174" s="291">
        <f t="shared" si="39"/>
        <v>3110734.9762783083</v>
      </c>
      <c r="S174" s="287">
        <f t="shared" si="47"/>
        <v>57338748.110120595</v>
      </c>
      <c r="T174" s="50">
        <f t="shared" si="45"/>
        <v>5877693.1101205945</v>
      </c>
      <c r="U174" s="103">
        <f t="shared" si="46"/>
        <v>0.11421633524848246</v>
      </c>
      <c r="V174" s="13">
        <f t="shared" si="34"/>
        <v>0.11421633524848246</v>
      </c>
      <c r="W174" s="341"/>
    </row>
    <row r="175" spans="1:23" x14ac:dyDescent="0.25">
      <c r="A175" s="196">
        <f t="shared" si="35"/>
        <v>42886</v>
      </c>
      <c r="B175" s="170">
        <v>48082511</v>
      </c>
      <c r="C175" s="288">
        <f>'CDM Activity'!H157</f>
        <v>2978982.0135646015</v>
      </c>
      <c r="D175" s="402">
        <f t="shared" si="48"/>
        <v>1.0488769185235338</v>
      </c>
      <c r="E175" s="171">
        <f t="shared" si="36"/>
        <v>3124585.4747246713</v>
      </c>
      <c r="F175" s="171">
        <f t="shared" si="37"/>
        <v>51207096.474724673</v>
      </c>
      <c r="G175" s="222">
        <f t="shared" si="42"/>
        <v>232.2</v>
      </c>
      <c r="H175" s="222">
        <f t="shared" si="42"/>
        <v>3.9</v>
      </c>
      <c r="I175" s="169">
        <v>1</v>
      </c>
      <c r="J175" s="169">
        <v>31</v>
      </c>
      <c r="K175" s="287">
        <v>173</v>
      </c>
      <c r="L175" s="287">
        <v>33482</v>
      </c>
      <c r="M175" s="289">
        <v>158.54203600360935</v>
      </c>
      <c r="N175" s="169">
        <v>336</v>
      </c>
      <c r="O175" s="169"/>
      <c r="P175" s="293"/>
      <c r="Q175" s="287">
        <f t="shared" si="38"/>
        <v>51764743.157398701</v>
      </c>
      <c r="R175" s="291">
        <f t="shared" si="39"/>
        <v>3124585.4747246713</v>
      </c>
      <c r="S175" s="287">
        <f t="shared" si="47"/>
        <v>51764743.157398701</v>
      </c>
      <c r="T175" s="50">
        <f t="shared" si="45"/>
        <v>3682232.1573987007</v>
      </c>
      <c r="U175" s="103">
        <f t="shared" si="46"/>
        <v>7.6581527894803589E-2</v>
      </c>
      <c r="V175" s="13">
        <f t="shared" si="34"/>
        <v>7.6581527894803589E-2</v>
      </c>
      <c r="W175" s="341"/>
    </row>
    <row r="176" spans="1:23" x14ac:dyDescent="0.25">
      <c r="A176" s="196">
        <f t="shared" si="35"/>
        <v>42916</v>
      </c>
      <c r="B176" s="170">
        <v>44830072</v>
      </c>
      <c r="C176" s="288">
        <f>'CDM Activity'!H158</f>
        <v>2992187.088632761</v>
      </c>
      <c r="D176" s="402">
        <f t="shared" si="48"/>
        <v>1.0488769185235338</v>
      </c>
      <c r="E176" s="171">
        <f t="shared" si="36"/>
        <v>3138435.9731710344</v>
      </c>
      <c r="F176" s="171">
        <f t="shared" si="37"/>
        <v>47968507.973171033</v>
      </c>
      <c r="G176" s="222">
        <f t="shared" si="42"/>
        <v>101.74</v>
      </c>
      <c r="H176" s="222">
        <f t="shared" si="42"/>
        <v>9.5400000000000009</v>
      </c>
      <c r="I176" s="169">
        <v>0</v>
      </c>
      <c r="J176" s="169">
        <v>30</v>
      </c>
      <c r="K176" s="287">
        <v>174</v>
      </c>
      <c r="L176" s="287">
        <v>33482</v>
      </c>
      <c r="M176" s="289">
        <v>158.86860663966431</v>
      </c>
      <c r="N176" s="169">
        <v>352</v>
      </c>
      <c r="O176" s="169"/>
      <c r="P176" s="293"/>
      <c r="Q176" s="287">
        <f t="shared" si="38"/>
        <v>48183388.693812847</v>
      </c>
      <c r="R176" s="291">
        <f t="shared" si="39"/>
        <v>3138435.9731710344</v>
      </c>
      <c r="S176" s="287">
        <f t="shared" si="47"/>
        <v>48183388.693812847</v>
      </c>
      <c r="T176" s="50">
        <f t="shared" si="45"/>
        <v>3353316.6938128471</v>
      </c>
      <c r="U176" s="103">
        <f t="shared" si="46"/>
        <v>7.480060914943093E-2</v>
      </c>
      <c r="V176" s="13">
        <f t="shared" si="34"/>
        <v>7.480060914943093E-2</v>
      </c>
      <c r="W176" s="341"/>
    </row>
    <row r="177" spans="1:23" x14ac:dyDescent="0.25">
      <c r="A177" s="196">
        <f t="shared" si="35"/>
        <v>42947</v>
      </c>
      <c r="B177" s="170">
        <v>48264067</v>
      </c>
      <c r="C177" s="288">
        <f>'CDM Activity'!H159</f>
        <v>3005392.1637009205</v>
      </c>
      <c r="D177" s="402">
        <f t="shared" si="48"/>
        <v>1.0488769185235338</v>
      </c>
      <c r="E177" s="171">
        <f t="shared" si="36"/>
        <v>3152286.4716173974</v>
      </c>
      <c r="F177" s="171">
        <f t="shared" si="37"/>
        <v>51416353.471617401</v>
      </c>
      <c r="G177" s="222">
        <f t="shared" si="42"/>
        <v>40.76</v>
      </c>
      <c r="H177" s="222">
        <f t="shared" si="42"/>
        <v>36.08</v>
      </c>
      <c r="I177" s="169">
        <v>0</v>
      </c>
      <c r="J177" s="169">
        <v>31</v>
      </c>
      <c r="K177" s="287">
        <v>175</v>
      </c>
      <c r="L177" s="287">
        <v>33516</v>
      </c>
      <c r="M177" s="289">
        <v>159.19584995776006</v>
      </c>
      <c r="N177" s="169">
        <v>320</v>
      </c>
      <c r="O177" s="169"/>
      <c r="P177" s="293"/>
      <c r="Q177" s="287">
        <f t="shared" si="38"/>
        <v>49964010.43334496</v>
      </c>
      <c r="R177" s="291">
        <f t="shared" si="39"/>
        <v>3152286.4716173974</v>
      </c>
      <c r="S177" s="287">
        <f t="shared" si="47"/>
        <v>49964010.43334496</v>
      </c>
      <c r="T177" s="50">
        <f t="shared" si="45"/>
        <v>1699943.4333449602</v>
      </c>
      <c r="U177" s="103">
        <f t="shared" si="46"/>
        <v>3.5221719573382826E-2</v>
      </c>
      <c r="V177" s="13">
        <f t="shared" si="34"/>
        <v>3.5221719573382826E-2</v>
      </c>
      <c r="W177" s="341"/>
    </row>
    <row r="178" spans="1:23" x14ac:dyDescent="0.25">
      <c r="A178" s="196">
        <f t="shared" si="35"/>
        <v>42978</v>
      </c>
      <c r="B178" s="170">
        <v>47137204</v>
      </c>
      <c r="C178" s="288">
        <f>'CDM Activity'!H160</f>
        <v>3018597.23876908</v>
      </c>
      <c r="D178" s="402">
        <f t="shared" si="48"/>
        <v>1.0488769185235338</v>
      </c>
      <c r="E178" s="171">
        <f t="shared" si="36"/>
        <v>3166136.9700637604</v>
      </c>
      <c r="F178" s="171">
        <f t="shared" si="37"/>
        <v>50303340.970063761</v>
      </c>
      <c r="G178" s="222">
        <f t="shared" si="42"/>
        <v>42.03</v>
      </c>
      <c r="H178" s="222">
        <f t="shared" si="42"/>
        <v>33.799999999999997</v>
      </c>
      <c r="I178" s="169">
        <v>0</v>
      </c>
      <c r="J178" s="169">
        <v>31</v>
      </c>
      <c r="K178" s="287">
        <v>176</v>
      </c>
      <c r="L178" s="287">
        <v>33516</v>
      </c>
      <c r="M178" s="289">
        <v>159.52376734351151</v>
      </c>
      <c r="N178" s="169">
        <v>352</v>
      </c>
      <c r="O178" s="169"/>
      <c r="P178" s="293"/>
      <c r="Q178" s="287">
        <f t="shared" si="38"/>
        <v>49748464.858509481</v>
      </c>
      <c r="R178" s="291">
        <f t="shared" si="39"/>
        <v>3166136.9700637604</v>
      </c>
      <c r="S178" s="287">
        <f t="shared" si="47"/>
        <v>49748464.858509481</v>
      </c>
      <c r="T178" s="50">
        <f t="shared" si="45"/>
        <v>2611260.858509481</v>
      </c>
      <c r="U178" s="103">
        <f t="shared" si="46"/>
        <v>5.5397024789791964E-2</v>
      </c>
      <c r="V178" s="13">
        <f t="shared" si="34"/>
        <v>5.5397024789791964E-2</v>
      </c>
      <c r="W178" s="341"/>
    </row>
    <row r="179" spans="1:23" x14ac:dyDescent="0.25">
      <c r="A179" s="196">
        <f t="shared" si="35"/>
        <v>43008</v>
      </c>
      <c r="B179" s="170">
        <v>46024413</v>
      </c>
      <c r="C179" s="288">
        <f>'CDM Activity'!H161</f>
        <v>3031802.3138372395</v>
      </c>
      <c r="D179" s="402">
        <f t="shared" si="48"/>
        <v>1.0488769185235338</v>
      </c>
      <c r="E179" s="171">
        <f t="shared" si="36"/>
        <v>3179987.4685101234</v>
      </c>
      <c r="F179" s="171">
        <f t="shared" si="37"/>
        <v>49204400.468510121</v>
      </c>
      <c r="G179" s="222">
        <f t="shared" si="42"/>
        <v>129.35999999999999</v>
      </c>
      <c r="H179" s="222">
        <f t="shared" si="42"/>
        <v>11.58</v>
      </c>
      <c r="I179" s="169">
        <v>1</v>
      </c>
      <c r="J179" s="169">
        <v>30</v>
      </c>
      <c r="K179" s="287">
        <v>177</v>
      </c>
      <c r="L179" s="287">
        <v>33516</v>
      </c>
      <c r="M179" s="289">
        <v>159.85236018538762</v>
      </c>
      <c r="N179" s="169">
        <v>336</v>
      </c>
      <c r="O179" s="169"/>
      <c r="P179" s="293"/>
      <c r="Q179" s="287">
        <f t="shared" si="38"/>
        <v>46544686.004838347</v>
      </c>
      <c r="R179" s="291">
        <f t="shared" si="39"/>
        <v>3179987.4685101234</v>
      </c>
      <c r="S179" s="287">
        <f t="shared" si="47"/>
        <v>46544686.004838347</v>
      </c>
      <c r="T179" s="50">
        <f t="shared" si="45"/>
        <v>520273.00483834743</v>
      </c>
      <c r="U179" s="103">
        <f t="shared" si="46"/>
        <v>1.1304283334115471E-2</v>
      </c>
      <c r="V179" s="13">
        <f t="shared" si="34"/>
        <v>1.1304283334115471E-2</v>
      </c>
      <c r="W179" s="341"/>
    </row>
    <row r="180" spans="1:23" x14ac:dyDescent="0.25">
      <c r="A180" s="196">
        <f t="shared" si="35"/>
        <v>43039</v>
      </c>
      <c r="B180" s="170">
        <v>48274780</v>
      </c>
      <c r="C180" s="288">
        <f>'CDM Activity'!H162</f>
        <v>3045007.388905399</v>
      </c>
      <c r="D180" s="402">
        <f t="shared" si="48"/>
        <v>1.0488769185235338</v>
      </c>
      <c r="E180" s="171">
        <f t="shared" si="36"/>
        <v>3193837.9669564865</v>
      </c>
      <c r="F180" s="171">
        <f t="shared" si="37"/>
        <v>51468617.966956489</v>
      </c>
      <c r="G180" s="222">
        <f t="shared" si="42"/>
        <v>306.13</v>
      </c>
      <c r="H180" s="222">
        <f t="shared" si="42"/>
        <v>0.47000000000000003</v>
      </c>
      <c r="I180" s="169">
        <v>1</v>
      </c>
      <c r="J180" s="169">
        <v>31</v>
      </c>
      <c r="K180" s="287">
        <v>178</v>
      </c>
      <c r="L180" s="287">
        <v>33605</v>
      </c>
      <c r="M180" s="289">
        <v>160.18162987471746</v>
      </c>
      <c r="N180" s="169">
        <v>320</v>
      </c>
      <c r="O180" s="169"/>
      <c r="P180" s="293"/>
      <c r="Q180" s="287">
        <f t="shared" si="38"/>
        <v>54760551.953147948</v>
      </c>
      <c r="R180" s="291">
        <f t="shared" si="39"/>
        <v>3193837.9669564865</v>
      </c>
      <c r="S180" s="287">
        <f t="shared" si="47"/>
        <v>54760551.953147948</v>
      </c>
      <c r="T180" s="50">
        <f t="shared" si="45"/>
        <v>6485771.9531479478</v>
      </c>
      <c r="U180" s="103">
        <f t="shared" si="46"/>
        <v>0.13435114470015083</v>
      </c>
      <c r="V180" s="13">
        <f t="shared" si="34"/>
        <v>0.13435114470015083</v>
      </c>
      <c r="W180" s="341"/>
    </row>
    <row r="181" spans="1:23" x14ac:dyDescent="0.25">
      <c r="A181" s="196">
        <f t="shared" si="35"/>
        <v>43069</v>
      </c>
      <c r="B181" s="170">
        <v>58218614</v>
      </c>
      <c r="C181" s="288">
        <f>'CDM Activity'!H163</f>
        <v>3058212.4639735585</v>
      </c>
      <c r="D181" s="402">
        <f t="shared" si="48"/>
        <v>1.0488769185235338</v>
      </c>
      <c r="E181" s="171">
        <f t="shared" si="36"/>
        <v>3207688.4654028499</v>
      </c>
      <c r="F181" s="171">
        <f t="shared" si="37"/>
        <v>61426302.465402849</v>
      </c>
      <c r="G181" s="222">
        <f t="shared" si="42"/>
        <v>480.06200000000001</v>
      </c>
      <c r="H181" s="222">
        <f t="shared" si="42"/>
        <v>0</v>
      </c>
      <c r="I181" s="169">
        <v>1</v>
      </c>
      <c r="J181" s="169">
        <v>30</v>
      </c>
      <c r="K181" s="287">
        <v>179</v>
      </c>
      <c r="L181" s="287">
        <v>33605</v>
      </c>
      <c r="M181" s="289">
        <v>160.51157780569594</v>
      </c>
      <c r="N181" s="169">
        <v>336</v>
      </c>
      <c r="O181" s="169"/>
      <c r="P181" s="293"/>
      <c r="Q181" s="287">
        <f t="shared" si="38"/>
        <v>59657207.733032703</v>
      </c>
      <c r="R181" s="291">
        <f t="shared" si="39"/>
        <v>3207688.4654028499</v>
      </c>
      <c r="S181" s="287">
        <f t="shared" si="47"/>
        <v>59657207.733032703</v>
      </c>
      <c r="T181" s="50">
        <f t="shared" si="45"/>
        <v>1438593.7330327034</v>
      </c>
      <c r="U181" s="103">
        <f t="shared" si="46"/>
        <v>2.4710202359552968E-2</v>
      </c>
      <c r="V181" s="13">
        <f t="shared" si="34"/>
        <v>2.4710202359552968E-2</v>
      </c>
      <c r="W181" s="341"/>
    </row>
    <row r="182" spans="1:23" x14ac:dyDescent="0.25">
      <c r="A182" s="196">
        <f t="shared" si="35"/>
        <v>43100</v>
      </c>
      <c r="B182" s="170">
        <v>70917570</v>
      </c>
      <c r="C182" s="288">
        <f>'CDM Activity'!H164</f>
        <v>3071417.539041718</v>
      </c>
      <c r="D182" s="402">
        <f t="shared" si="48"/>
        <v>1.0488769185235338</v>
      </c>
      <c r="E182" s="171">
        <f t="shared" si="36"/>
        <v>3221538.963849213</v>
      </c>
      <c r="F182" s="171">
        <f t="shared" si="37"/>
        <v>74139108.963849217</v>
      </c>
      <c r="G182" s="222">
        <f t="shared" si="42"/>
        <v>702.73799999999994</v>
      </c>
      <c r="H182" s="222">
        <f t="shared" si="42"/>
        <v>0</v>
      </c>
      <c r="I182" s="169">
        <v>0</v>
      </c>
      <c r="J182" s="169">
        <v>31</v>
      </c>
      <c r="K182" s="287">
        <v>180</v>
      </c>
      <c r="L182" s="287">
        <v>33605</v>
      </c>
      <c r="M182" s="289">
        <v>160.37144770112059</v>
      </c>
      <c r="N182" s="169">
        <v>336</v>
      </c>
      <c r="O182" s="169"/>
      <c r="P182" s="293"/>
      <c r="Q182" s="287">
        <f t="shared" si="38"/>
        <v>72934135.049749166</v>
      </c>
      <c r="R182" s="291">
        <f t="shared" si="39"/>
        <v>3221538.963849213</v>
      </c>
      <c r="S182" s="287">
        <f t="shared" si="47"/>
        <v>72934135.049749166</v>
      </c>
      <c r="T182" s="50">
        <f t="shared" si="45"/>
        <v>2016565.0497491658</v>
      </c>
      <c r="U182" s="103">
        <f t="shared" si="46"/>
        <v>2.8435337670892642E-2</v>
      </c>
      <c r="V182" s="13">
        <f t="shared" si="34"/>
        <v>2.8435337670892642E-2</v>
      </c>
      <c r="W182" s="341" t="s">
        <v>277</v>
      </c>
    </row>
    <row r="183" spans="1:23" x14ac:dyDescent="0.25">
      <c r="A183" s="196">
        <f t="shared" si="35"/>
        <v>43131</v>
      </c>
      <c r="B183" s="170"/>
      <c r="C183" s="288">
        <f>'CDM Activity'!H165</f>
        <v>3089873.1700584772</v>
      </c>
      <c r="D183" s="402">
        <f>'Rate Class Energy Model'!F29</f>
        <v>1.0461248909402159</v>
      </c>
      <c r="E183" s="170">
        <f t="shared" si="36"/>
        <v>3232393.2330465238</v>
      </c>
      <c r="F183" s="171"/>
      <c r="G183" s="222">
        <f t="shared" si="42"/>
        <v>824.21</v>
      </c>
      <c r="H183" s="222">
        <f t="shared" si="42"/>
        <v>0</v>
      </c>
      <c r="I183" s="169">
        <v>0</v>
      </c>
      <c r="J183" s="169">
        <v>31</v>
      </c>
      <c r="K183" s="287">
        <v>181</v>
      </c>
      <c r="L183" s="287">
        <f>L171*'Rate Class Customer Model'!$J$19</f>
        <v>33625.286197386944</v>
      </c>
      <c r="M183" s="289">
        <v>160.70178662574256</v>
      </c>
      <c r="N183" s="169">
        <v>320</v>
      </c>
      <c r="O183" s="169"/>
      <c r="P183" s="293"/>
      <c r="Q183" s="287">
        <f>+$Z$43+G183*$Z$44+H183*$Z$45+I183*$Z$46+J183*$Z$47+K183*$Z$48+ L183*$Z$49+W183</f>
        <v>77288046.746428713</v>
      </c>
      <c r="R183" s="291">
        <f t="shared" si="39"/>
        <v>3232393.2330465238</v>
      </c>
      <c r="S183" s="287">
        <f t="shared" ref="S183:S194" si="49">+$Z$43+G183*$Z$44+H183*$Z$45+I183*$Z$46+J183*$Z$47+K183*$Z$48+ L183*$Z$49+W183</f>
        <v>77288046.746428713</v>
      </c>
      <c r="T183" s="50"/>
      <c r="U183" s="103"/>
      <c r="V183" s="5">
        <f>AVERAGE(V3:V182)</f>
        <v>4.1654018765258372E-2</v>
      </c>
      <c r="W183" s="341">
        <f>'Rate Class Energy Model'!U73</f>
        <v>-439302.35075063654</v>
      </c>
    </row>
    <row r="184" spans="1:23" x14ac:dyDescent="0.25">
      <c r="A184" s="196">
        <f t="shared" si="35"/>
        <v>43159</v>
      </c>
      <c r="B184" s="170"/>
      <c r="C184" s="288">
        <f>'CDM Activity'!H166</f>
        <v>3108328.8010752364</v>
      </c>
      <c r="D184" s="402">
        <f>D183</f>
        <v>1.0461248909402159</v>
      </c>
      <c r="E184" s="170">
        <f t="shared" si="36"/>
        <v>3251700.1280311635</v>
      </c>
      <c r="F184" s="171"/>
      <c r="G184" s="222">
        <f t="shared" si="42"/>
        <v>754.11000000000013</v>
      </c>
      <c r="H184" s="222">
        <f t="shared" si="42"/>
        <v>0</v>
      </c>
      <c r="I184" s="169">
        <v>0</v>
      </c>
      <c r="J184" s="169">
        <v>28</v>
      </c>
      <c r="K184" s="287">
        <v>182</v>
      </c>
      <c r="L184" s="287">
        <f>L172*'Rate Class Customer Model'!$J$19</f>
        <v>33625.286197386944</v>
      </c>
      <c r="M184" s="289">
        <v>161.03280599446279</v>
      </c>
      <c r="N184" s="169">
        <v>320</v>
      </c>
      <c r="O184" s="169"/>
      <c r="P184" s="293"/>
      <c r="Q184" s="287">
        <f t="shared" ref="Q184:Q194" si="50">+$Z$43+G184*$Z$44+H184*$Z$45+I184*$Z$46+J184*$Z$47+K184*$Z$48+ L184*$Z$49+W184</f>
        <v>69146542.899172828</v>
      </c>
      <c r="R184" s="291">
        <f t="shared" si="39"/>
        <v>3251700.1280311635</v>
      </c>
      <c r="S184" s="287">
        <f t="shared" si="49"/>
        <v>69146542.899172828</v>
      </c>
      <c r="T184" s="50"/>
      <c r="U184" s="103"/>
      <c r="V184" s="5"/>
      <c r="W184" s="341">
        <f>W183</f>
        <v>-439302.35075063654</v>
      </c>
    </row>
    <row r="185" spans="1:23" x14ac:dyDescent="0.25">
      <c r="A185" s="196">
        <f t="shared" si="35"/>
        <v>43190</v>
      </c>
      <c r="B185" s="170"/>
      <c r="C185" s="288">
        <f>'CDM Activity'!H167</f>
        <v>3126784.4320919956</v>
      </c>
      <c r="D185" s="402">
        <f t="shared" ref="D185:D194" si="51">D184</f>
        <v>1.0461248909402159</v>
      </c>
      <c r="E185" s="170">
        <f t="shared" si="36"/>
        <v>3271007.0230158037</v>
      </c>
      <c r="F185" s="171"/>
      <c r="G185" s="222">
        <f t="shared" si="42"/>
        <v>679.39</v>
      </c>
      <c r="H185" s="222">
        <f t="shared" si="42"/>
        <v>0</v>
      </c>
      <c r="I185" s="169">
        <v>1</v>
      </c>
      <c r="J185" s="169">
        <v>31</v>
      </c>
      <c r="K185" s="287">
        <v>183</v>
      </c>
      <c r="L185" s="287">
        <f>L173*'Rate Class Customer Model'!$J$19</f>
        <v>33625.286197386944</v>
      </c>
      <c r="M185" s="289">
        <v>161.36450720888473</v>
      </c>
      <c r="N185" s="169">
        <v>352</v>
      </c>
      <c r="O185" s="169"/>
      <c r="P185" s="293"/>
      <c r="Q185" s="287">
        <f t="shared" si="50"/>
        <v>68609886.533185765</v>
      </c>
      <c r="R185" s="291">
        <f t="shared" si="39"/>
        <v>3271007.0230158037</v>
      </c>
      <c r="S185" s="287">
        <f t="shared" si="49"/>
        <v>68609886.533185765</v>
      </c>
      <c r="T185" s="50"/>
      <c r="U185" s="103"/>
      <c r="V185" s="5"/>
      <c r="W185" s="341">
        <f t="shared" ref="W185:W194" si="52">W184</f>
        <v>-439302.35075063654</v>
      </c>
    </row>
    <row r="186" spans="1:23" x14ac:dyDescent="0.25">
      <c r="A186" s="196">
        <f t="shared" si="35"/>
        <v>43220</v>
      </c>
      <c r="B186" s="170"/>
      <c r="C186" s="288">
        <f>'CDM Activity'!H168</f>
        <v>3145240.0631087548</v>
      </c>
      <c r="D186" s="402">
        <f t="shared" si="51"/>
        <v>1.0461248909402159</v>
      </c>
      <c r="E186" s="170">
        <f t="shared" si="36"/>
        <v>3290313.9180004438</v>
      </c>
      <c r="F186" s="171"/>
      <c r="G186" s="222">
        <f t="shared" si="42"/>
        <v>427.16999999999996</v>
      </c>
      <c r="H186" s="222">
        <f t="shared" si="42"/>
        <v>0.02</v>
      </c>
      <c r="I186" s="169">
        <v>1</v>
      </c>
      <c r="J186" s="169">
        <v>30</v>
      </c>
      <c r="K186" s="287">
        <v>184</v>
      </c>
      <c r="L186" s="287">
        <f>L174*'Rate Class Customer Model'!$J$19</f>
        <v>33579.152721931212</v>
      </c>
      <c r="M186" s="289">
        <v>161.6968916734989</v>
      </c>
      <c r="N186" s="169">
        <v>336</v>
      </c>
      <c r="O186" s="169"/>
      <c r="P186" s="293"/>
      <c r="Q186" s="287">
        <f t="shared" si="50"/>
        <v>56633668.011011049</v>
      </c>
      <c r="R186" s="291">
        <f t="shared" si="39"/>
        <v>3290313.9180004438</v>
      </c>
      <c r="S186" s="287">
        <f t="shared" si="49"/>
        <v>56633668.011011049</v>
      </c>
      <c r="T186" s="50"/>
      <c r="U186" s="103"/>
      <c r="V186" s="5"/>
      <c r="W186" s="341">
        <f t="shared" si="52"/>
        <v>-439302.35075063654</v>
      </c>
    </row>
    <row r="187" spans="1:23" x14ac:dyDescent="0.25">
      <c r="A187" s="196">
        <f t="shared" si="35"/>
        <v>43251</v>
      </c>
      <c r="B187" s="170"/>
      <c r="C187" s="288">
        <f>'CDM Activity'!H169</f>
        <v>3163695.694125514</v>
      </c>
      <c r="D187" s="402">
        <f t="shared" si="51"/>
        <v>1.0461248909402159</v>
      </c>
      <c r="E187" s="170">
        <f t="shared" si="36"/>
        <v>3309620.812985084</v>
      </c>
      <c r="F187" s="171"/>
      <c r="G187" s="222">
        <f t="shared" si="42"/>
        <v>232.2</v>
      </c>
      <c r="H187" s="222">
        <f t="shared" si="42"/>
        <v>3.9</v>
      </c>
      <c r="I187" s="169">
        <v>1</v>
      </c>
      <c r="J187" s="169">
        <v>31</v>
      </c>
      <c r="K187" s="287">
        <v>185</v>
      </c>
      <c r="L187" s="287">
        <f>L175*'Rate Class Customer Model'!$J$19</f>
        <v>33579.152721931212</v>
      </c>
      <c r="M187" s="289">
        <v>162.02996079568879</v>
      </c>
      <c r="N187" s="169">
        <v>336</v>
      </c>
      <c r="O187" s="169"/>
      <c r="P187" s="293"/>
      <c r="Q187" s="287">
        <f t="shared" si="50"/>
        <v>51059663.058289126</v>
      </c>
      <c r="R187" s="291">
        <f t="shared" si="39"/>
        <v>3309620.812985084</v>
      </c>
      <c r="S187" s="287">
        <f t="shared" si="49"/>
        <v>51059663.058289126</v>
      </c>
      <c r="T187" s="50"/>
      <c r="U187" s="103"/>
      <c r="V187" s="5"/>
      <c r="W187" s="341">
        <f t="shared" si="52"/>
        <v>-439302.35075063654</v>
      </c>
    </row>
    <row r="188" spans="1:23" x14ac:dyDescent="0.25">
      <c r="A188" s="196">
        <f t="shared" si="35"/>
        <v>43281</v>
      </c>
      <c r="B188" s="170"/>
      <c r="C188" s="288">
        <f>'CDM Activity'!H170</f>
        <v>3182151.3251422732</v>
      </c>
      <c r="D188" s="402">
        <f t="shared" si="51"/>
        <v>1.0461248909402159</v>
      </c>
      <c r="E188" s="170">
        <f t="shared" si="36"/>
        <v>3328927.7079697242</v>
      </c>
      <c r="F188" s="171"/>
      <c r="G188" s="222">
        <f t="shared" si="42"/>
        <v>101.74</v>
      </c>
      <c r="H188" s="222">
        <f t="shared" si="42"/>
        <v>9.5400000000000009</v>
      </c>
      <c r="I188" s="169">
        <v>0</v>
      </c>
      <c r="J188" s="169">
        <v>30</v>
      </c>
      <c r="K188" s="287">
        <v>186</v>
      </c>
      <c r="L188" s="287">
        <f>L176*'Rate Class Customer Model'!$J$19</f>
        <v>33579.152721931212</v>
      </c>
      <c r="M188" s="289">
        <v>162.36371598573695</v>
      </c>
      <c r="N188" s="169">
        <v>352</v>
      </c>
      <c r="O188" s="169"/>
      <c r="P188" s="293"/>
      <c r="Q188" s="287">
        <f t="shared" si="50"/>
        <v>47478308.594703272</v>
      </c>
      <c r="R188" s="291">
        <f t="shared" si="39"/>
        <v>3328927.7079697242</v>
      </c>
      <c r="S188" s="287">
        <f t="shared" si="49"/>
        <v>47478308.594703272</v>
      </c>
      <c r="T188" s="50"/>
      <c r="U188" s="103"/>
      <c r="V188" s="5"/>
      <c r="W188" s="341">
        <f t="shared" si="52"/>
        <v>-439302.35075063654</v>
      </c>
    </row>
    <row r="189" spans="1:23" x14ac:dyDescent="0.25">
      <c r="A189" s="196">
        <f t="shared" si="35"/>
        <v>43312</v>
      </c>
      <c r="B189" s="170"/>
      <c r="C189" s="288">
        <f>'CDM Activity'!H171</f>
        <v>3200606.9561590324</v>
      </c>
      <c r="D189" s="402">
        <f t="shared" si="51"/>
        <v>1.0461248909402159</v>
      </c>
      <c r="E189" s="170">
        <f t="shared" si="36"/>
        <v>3348234.6029543639</v>
      </c>
      <c r="F189" s="171"/>
      <c r="G189" s="222">
        <f t="shared" si="42"/>
        <v>40.76</v>
      </c>
      <c r="H189" s="222">
        <f t="shared" si="42"/>
        <v>36.08</v>
      </c>
      <c r="I189" s="169">
        <v>0</v>
      </c>
      <c r="J189" s="169">
        <v>31</v>
      </c>
      <c r="K189" s="287">
        <v>187</v>
      </c>
      <c r="L189" s="287">
        <f>L177*'Rate Class Customer Model'!$J$19</f>
        <v>33613.251377702843</v>
      </c>
      <c r="M189" s="289">
        <v>162.6981586568308</v>
      </c>
      <c r="N189" s="169">
        <v>320</v>
      </c>
      <c r="O189" s="169"/>
      <c r="P189" s="293"/>
      <c r="Q189" s="287">
        <f t="shared" si="50"/>
        <v>49259542.216764137</v>
      </c>
      <c r="R189" s="291">
        <f t="shared" si="39"/>
        <v>3348234.6029543639</v>
      </c>
      <c r="S189" s="287">
        <f t="shared" si="49"/>
        <v>49259542.216764137</v>
      </c>
      <c r="T189" s="50"/>
      <c r="U189" s="103"/>
      <c r="V189" s="5"/>
      <c r="W189" s="341">
        <f t="shared" si="52"/>
        <v>-439302.35075063654</v>
      </c>
    </row>
    <row r="190" spans="1:23" x14ac:dyDescent="0.25">
      <c r="A190" s="196">
        <f t="shared" si="35"/>
        <v>43343</v>
      </c>
      <c r="B190" s="170"/>
      <c r="C190" s="288">
        <f>'CDM Activity'!H172</f>
        <v>3219062.5871757916</v>
      </c>
      <c r="D190" s="402">
        <f t="shared" si="51"/>
        <v>1.0461248909402159</v>
      </c>
      <c r="E190" s="170">
        <f t="shared" si="36"/>
        <v>3367541.4979390041</v>
      </c>
      <c r="F190" s="171"/>
      <c r="G190" s="222">
        <f t="shared" si="42"/>
        <v>42.03</v>
      </c>
      <c r="H190" s="222">
        <f t="shared" si="42"/>
        <v>33.799999999999997</v>
      </c>
      <c r="I190" s="169">
        <v>0</v>
      </c>
      <c r="J190" s="169">
        <v>31</v>
      </c>
      <c r="K190" s="287">
        <v>188</v>
      </c>
      <c r="L190" s="287">
        <f>L178*'Rate Class Customer Model'!$J$19</f>
        <v>33613.251377702843</v>
      </c>
      <c r="M190" s="289">
        <v>163.03329022506875</v>
      </c>
      <c r="N190" s="169">
        <v>352</v>
      </c>
      <c r="O190" s="169"/>
      <c r="P190" s="293"/>
      <c r="Q190" s="287">
        <f t="shared" si="50"/>
        <v>49043996.641928658</v>
      </c>
      <c r="R190" s="291">
        <f t="shared" si="39"/>
        <v>3367541.4979390041</v>
      </c>
      <c r="S190" s="287">
        <f t="shared" si="49"/>
        <v>49043996.641928658</v>
      </c>
      <c r="T190" s="50"/>
      <c r="U190" s="103"/>
      <c r="V190" s="5"/>
      <c r="W190" s="341">
        <f t="shared" si="52"/>
        <v>-439302.35075063654</v>
      </c>
    </row>
    <row r="191" spans="1:23" x14ac:dyDescent="0.25">
      <c r="A191" s="196">
        <f t="shared" si="35"/>
        <v>43373</v>
      </c>
      <c r="B191" s="170"/>
      <c r="C191" s="288">
        <f>'CDM Activity'!H173</f>
        <v>3237518.2181925508</v>
      </c>
      <c r="D191" s="402">
        <f t="shared" si="51"/>
        <v>1.0461248909402159</v>
      </c>
      <c r="E191" s="170">
        <f t="shared" si="36"/>
        <v>3386848.3929236443</v>
      </c>
      <c r="F191" s="171"/>
      <c r="G191" s="222">
        <f t="shared" si="42"/>
        <v>129.35999999999999</v>
      </c>
      <c r="H191" s="222">
        <f t="shared" si="42"/>
        <v>11.58</v>
      </c>
      <c r="I191" s="169">
        <v>1</v>
      </c>
      <c r="J191" s="169">
        <v>30</v>
      </c>
      <c r="K191" s="287">
        <v>189</v>
      </c>
      <c r="L191" s="287">
        <f>L179*'Rate Class Customer Model'!$J$19</f>
        <v>33613.251377702843</v>
      </c>
      <c r="M191" s="289">
        <v>163.36911210946616</v>
      </c>
      <c r="N191" s="169">
        <v>336</v>
      </c>
      <c r="O191" s="169"/>
      <c r="P191" s="293"/>
      <c r="Q191" s="287">
        <f t="shared" si="50"/>
        <v>45840217.788257554</v>
      </c>
      <c r="R191" s="291">
        <f t="shared" si="39"/>
        <v>3386848.3929236443</v>
      </c>
      <c r="S191" s="287">
        <f t="shared" si="49"/>
        <v>45840217.788257554</v>
      </c>
      <c r="T191" s="50"/>
      <c r="U191" s="103"/>
      <c r="V191" s="5"/>
      <c r="W191" s="341">
        <f t="shared" si="52"/>
        <v>-439302.35075063654</v>
      </c>
    </row>
    <row r="192" spans="1:23" x14ac:dyDescent="0.25">
      <c r="A192" s="196">
        <f t="shared" si="35"/>
        <v>43404</v>
      </c>
      <c r="B192" s="170"/>
      <c r="C192" s="288">
        <f>'CDM Activity'!H174</f>
        <v>3255973.84920931</v>
      </c>
      <c r="D192" s="402">
        <f t="shared" si="51"/>
        <v>1.0461248909402159</v>
      </c>
      <c r="E192" s="170">
        <f t="shared" si="36"/>
        <v>3406155.2879082845</v>
      </c>
      <c r="F192" s="171"/>
      <c r="G192" s="222">
        <f t="shared" si="42"/>
        <v>306.13</v>
      </c>
      <c r="H192" s="222">
        <f t="shared" si="42"/>
        <v>0.47000000000000003</v>
      </c>
      <c r="I192" s="169">
        <v>1</v>
      </c>
      <c r="J192" s="169">
        <v>31</v>
      </c>
      <c r="K192" s="287">
        <v>190</v>
      </c>
      <c r="L192" s="287">
        <f>L180*'Rate Class Customer Model'!$J$19</f>
        <v>33702.50962369328</v>
      </c>
      <c r="M192" s="289">
        <v>163.70562573196125</v>
      </c>
      <c r="N192" s="169">
        <v>320</v>
      </c>
      <c r="O192" s="169"/>
      <c r="P192" s="293"/>
      <c r="Q192" s="287">
        <f t="shared" si="50"/>
        <v>54057685.429068878</v>
      </c>
      <c r="R192" s="291">
        <f t="shared" si="39"/>
        <v>3406155.2879082845</v>
      </c>
      <c r="S192" s="287">
        <f t="shared" si="49"/>
        <v>54057685.429068878</v>
      </c>
      <c r="T192" s="50"/>
      <c r="U192" s="103"/>
      <c r="V192" s="5"/>
      <c r="W192" s="341">
        <f t="shared" si="52"/>
        <v>-439302.35075063654</v>
      </c>
    </row>
    <row r="193" spans="1:24" x14ac:dyDescent="0.25">
      <c r="A193" s="196">
        <f t="shared" si="35"/>
        <v>43434</v>
      </c>
      <c r="B193" s="170"/>
      <c r="C193" s="288">
        <f>'CDM Activity'!H175</f>
        <v>3274429.4802260692</v>
      </c>
      <c r="D193" s="402">
        <f t="shared" si="51"/>
        <v>1.0461248909402159</v>
      </c>
      <c r="E193" s="170">
        <f t="shared" si="36"/>
        <v>3425462.1828929246</v>
      </c>
      <c r="F193" s="171"/>
      <c r="G193" s="222">
        <f t="shared" si="42"/>
        <v>480.06200000000001</v>
      </c>
      <c r="H193" s="222">
        <f t="shared" si="42"/>
        <v>0</v>
      </c>
      <c r="I193" s="169">
        <v>1</v>
      </c>
      <c r="J193" s="169">
        <v>30</v>
      </c>
      <c r="K193" s="287">
        <v>191</v>
      </c>
      <c r="L193" s="287">
        <f>L181*'Rate Class Customer Model'!$J$19</f>
        <v>33702.50962369328</v>
      </c>
      <c r="M193" s="289">
        <v>164.04283251742123</v>
      </c>
      <c r="N193" s="169">
        <v>336</v>
      </c>
      <c r="O193" s="169"/>
      <c r="P193" s="293"/>
      <c r="Q193" s="287">
        <f t="shared" si="50"/>
        <v>58954341.208953634</v>
      </c>
      <c r="R193" s="291">
        <f t="shared" si="39"/>
        <v>3425462.1828929246</v>
      </c>
      <c r="S193" s="287">
        <f t="shared" si="49"/>
        <v>58954341.208953634</v>
      </c>
      <c r="T193" s="50"/>
      <c r="U193" s="103"/>
      <c r="V193" s="5"/>
      <c r="W193" s="341">
        <f t="shared" si="52"/>
        <v>-439302.35075063654</v>
      </c>
    </row>
    <row r="194" spans="1:24" x14ac:dyDescent="0.25">
      <c r="A194" s="196">
        <f t="shared" si="35"/>
        <v>43465</v>
      </c>
      <c r="B194" s="170"/>
      <c r="C194" s="288">
        <f>'CDM Activity'!H176</f>
        <v>3292885.1112428284</v>
      </c>
      <c r="D194" s="402">
        <f t="shared" si="51"/>
        <v>1.0461248909402159</v>
      </c>
      <c r="E194" s="170">
        <f t="shared" si="36"/>
        <v>3444769.0778775644</v>
      </c>
      <c r="F194" s="171"/>
      <c r="G194" s="222">
        <f t="shared" si="42"/>
        <v>702.73799999999994</v>
      </c>
      <c r="H194" s="222">
        <f t="shared" si="42"/>
        <v>0</v>
      </c>
      <c r="I194" s="169">
        <v>0</v>
      </c>
      <c r="J194" s="169">
        <v>31</v>
      </c>
      <c r="K194" s="287">
        <v>192</v>
      </c>
      <c r="L194" s="287">
        <f>L182*'Rate Class Customer Model'!$J$19</f>
        <v>33702.50962369328</v>
      </c>
      <c r="M194" s="289">
        <v>163.7392481028441</v>
      </c>
      <c r="N194" s="169">
        <v>336</v>
      </c>
      <c r="O194" s="169"/>
      <c r="P194" s="293"/>
      <c r="Q194" s="287">
        <f t="shared" si="50"/>
        <v>72231268.525670096</v>
      </c>
      <c r="R194" s="291">
        <f t="shared" si="39"/>
        <v>3444769.0778775644</v>
      </c>
      <c r="S194" s="287">
        <f t="shared" si="49"/>
        <v>72231268.525670096</v>
      </c>
      <c r="T194" s="50"/>
      <c r="U194" s="103"/>
      <c r="V194" s="5"/>
      <c r="W194" s="341">
        <f t="shared" si="52"/>
        <v>-439302.35075063654</v>
      </c>
    </row>
    <row r="195" spans="1:24" x14ac:dyDescent="0.25">
      <c r="A195" s="51"/>
      <c r="B195" s="194"/>
      <c r="C195" s="194"/>
      <c r="D195" s="194"/>
      <c r="E195" s="194"/>
      <c r="F195" s="194"/>
      <c r="G195" s="182"/>
      <c r="H195" s="182"/>
      <c r="I195" s="182"/>
      <c r="J195" s="181"/>
      <c r="K195" s="16"/>
      <c r="L195" s="32"/>
      <c r="M195" s="182"/>
      <c r="N195" s="182"/>
      <c r="O195" s="182"/>
      <c r="P195" s="183"/>
      <c r="Q195" s="16"/>
      <c r="R195" s="183"/>
      <c r="S195" s="16"/>
      <c r="T195" s="50"/>
      <c r="U195" s="103"/>
      <c r="W195" s="341"/>
    </row>
    <row r="196" spans="1:24" x14ac:dyDescent="0.25">
      <c r="A196" s="51"/>
      <c r="B196" s="194"/>
      <c r="C196" s="194"/>
      <c r="D196" s="194"/>
      <c r="E196" s="194"/>
      <c r="F196" s="194"/>
      <c r="G196" s="182"/>
      <c r="H196" s="182"/>
      <c r="I196" s="182"/>
      <c r="J196" s="400"/>
      <c r="K196" s="16"/>
      <c r="L196" s="32"/>
      <c r="M196" s="182"/>
      <c r="N196" s="182"/>
      <c r="O196" s="182"/>
      <c r="P196" s="183"/>
      <c r="Q196" s="16"/>
      <c r="R196" s="183"/>
      <c r="S196" s="16"/>
    </row>
    <row r="197" spans="1:24" x14ac:dyDescent="0.25">
      <c r="A197" s="51"/>
      <c r="I197" s="10"/>
      <c r="N197" s="16"/>
      <c r="X197" s="224" t="s">
        <v>220</v>
      </c>
    </row>
    <row r="198" spans="1:24" x14ac:dyDescent="0.25">
      <c r="A198" s="51"/>
      <c r="G198" s="17"/>
      <c r="H198" s="56" t="s">
        <v>67</v>
      </c>
      <c r="I198" s="10"/>
      <c r="K198" s="105">
        <f>SUM(K3:K197)</f>
        <v>18528</v>
      </c>
      <c r="N198" s="16"/>
      <c r="Q198" s="50">
        <f>SUM(Q3:Q194)</f>
        <v>11703639788.723871</v>
      </c>
      <c r="R198" s="50">
        <f>SUM(R3:R194)</f>
        <v>216765811.16380966</v>
      </c>
      <c r="S198" s="50">
        <f>Q198-R198</f>
        <v>11486873977.560062</v>
      </c>
      <c r="T198" s="50"/>
      <c r="X198" s="198" t="s">
        <v>221</v>
      </c>
    </row>
    <row r="199" spans="1:24" x14ac:dyDescent="0.25">
      <c r="A199" s="51"/>
      <c r="I199" s="10"/>
      <c r="N199" s="16"/>
      <c r="R199" s="198"/>
      <c r="W199" s="224" t="s">
        <v>67</v>
      </c>
      <c r="X199" s="198" t="s">
        <v>222</v>
      </c>
    </row>
    <row r="200" spans="1:24" x14ac:dyDescent="0.25">
      <c r="A200" s="52">
        <v>2003</v>
      </c>
      <c r="B200" s="158">
        <f>SUM(B3:B14)</f>
        <v>755126020</v>
      </c>
      <c r="C200" s="158">
        <f>SUM(C3:C14)</f>
        <v>0</v>
      </c>
      <c r="E200" s="158">
        <f t="shared" ref="E200:F200" si="53">SUM(E3:E14)</f>
        <v>0</v>
      </c>
      <c r="F200" s="158">
        <f t="shared" si="53"/>
        <v>755126020</v>
      </c>
      <c r="I200" s="10"/>
      <c r="N200" s="16"/>
      <c r="Q200" s="158">
        <f>SUM(Q3:Q14)</f>
        <v>753235094.02196586</v>
      </c>
      <c r="R200" s="158">
        <f>SUM(R3:R14)</f>
        <v>0</v>
      </c>
      <c r="S200" s="158">
        <f>Q200-R200</f>
        <v>753235094.02196586</v>
      </c>
      <c r="T200" s="37">
        <f>S200-F200</f>
        <v>-1890925.9780341387</v>
      </c>
      <c r="U200" s="5">
        <f t="shared" ref="U200:U214" si="54">T200/B200</f>
        <v>-2.504119746839261E-3</v>
      </c>
      <c r="V200" s="5">
        <f t="shared" ref="V200:V214" si="55">ABS(U200)</f>
        <v>2.504119746839261E-3</v>
      </c>
      <c r="W200" s="158" t="e">
        <f>#REF!</f>
        <v>#REF!</v>
      </c>
      <c r="X200" s="193" t="e">
        <f>W200/S200</f>
        <v>#REF!</v>
      </c>
    </row>
    <row r="201" spans="1:24" x14ac:dyDescent="0.25">
      <c r="A201" s="41">
        <v>2004</v>
      </c>
      <c r="B201" s="158">
        <f>SUM(B15:B26)</f>
        <v>757685752</v>
      </c>
      <c r="C201" s="158">
        <f>SUM(C15:C26)</f>
        <v>0</v>
      </c>
      <c r="E201" s="158">
        <f t="shared" ref="E201:F201" si="56">SUM(E15:E26)</f>
        <v>0</v>
      </c>
      <c r="F201" s="158">
        <f t="shared" si="56"/>
        <v>757685752</v>
      </c>
      <c r="I201" s="10"/>
      <c r="N201" s="16"/>
      <c r="Q201" s="158">
        <f>SUM(Q15:Q26)</f>
        <v>747644480.47249103</v>
      </c>
      <c r="R201" s="158">
        <f>SUM(R15:R26)</f>
        <v>0</v>
      </c>
      <c r="S201" s="158">
        <f t="shared" ref="S201:S215" si="57">Q201-R201</f>
        <v>747644480.47249103</v>
      </c>
      <c r="T201" s="37">
        <f t="shared" ref="T201:T214" si="58">S201-F201</f>
        <v>-10041271.527508974</v>
      </c>
      <c r="U201" s="5">
        <f t="shared" si="54"/>
        <v>-1.3252554242974566E-2</v>
      </c>
      <c r="V201" s="5">
        <f t="shared" si="55"/>
        <v>1.3252554242974566E-2</v>
      </c>
      <c r="W201" s="158" t="e">
        <f>#REF!</f>
        <v>#REF!</v>
      </c>
      <c r="X201" s="193" t="e">
        <f t="shared" ref="X201:X215" si="59">W201/S201</f>
        <v>#REF!</v>
      </c>
    </row>
    <row r="202" spans="1:24" x14ac:dyDescent="0.25">
      <c r="A202" s="52">
        <v>2005</v>
      </c>
      <c r="B202" s="158">
        <f>SUM(B27:B38)</f>
        <v>749219032</v>
      </c>
      <c r="C202" s="158">
        <f>SUM(C27:C38)</f>
        <v>0</v>
      </c>
      <c r="E202" s="158">
        <f t="shared" ref="E202:F202" si="60">SUM(E27:E38)</f>
        <v>0</v>
      </c>
      <c r="F202" s="158">
        <f t="shared" si="60"/>
        <v>749219032</v>
      </c>
      <c r="I202" s="10"/>
      <c r="N202" s="16"/>
      <c r="Q202" s="158">
        <f>SUM(Q27:Q38)</f>
        <v>744427242.55751419</v>
      </c>
      <c r="R202" s="158">
        <f>SUM(R27:R38)</f>
        <v>0</v>
      </c>
      <c r="S202" s="158">
        <f t="shared" si="57"/>
        <v>744427242.55751419</v>
      </c>
      <c r="T202" s="37">
        <f t="shared" si="58"/>
        <v>-4791789.4424858093</v>
      </c>
      <c r="U202" s="5">
        <f t="shared" si="54"/>
        <v>-6.3957123855948837E-3</v>
      </c>
      <c r="V202" s="5">
        <f t="shared" si="55"/>
        <v>6.3957123855948837E-3</v>
      </c>
      <c r="W202" s="158" t="e">
        <f>#REF!</f>
        <v>#REF!</v>
      </c>
      <c r="X202" s="193" t="e">
        <f t="shared" si="59"/>
        <v>#REF!</v>
      </c>
    </row>
    <row r="203" spans="1:24" x14ac:dyDescent="0.25">
      <c r="A203" s="41">
        <v>2006</v>
      </c>
      <c r="B203" s="158">
        <f>SUM(B39:B50)</f>
        <v>728093333</v>
      </c>
      <c r="C203" s="158">
        <f>SUM(C39:C50)</f>
        <v>1571521.531015906</v>
      </c>
      <c r="E203" s="158">
        <f t="shared" ref="E203:F203" si="61">SUM(E39:E50)</f>
        <v>1641295.9063537153</v>
      </c>
      <c r="F203" s="158">
        <f t="shared" si="61"/>
        <v>729734628.90635371</v>
      </c>
      <c r="I203" s="10"/>
      <c r="N203" s="16"/>
      <c r="Q203" s="158">
        <f>SUM(Q39:Q50)</f>
        <v>740072934.40111983</v>
      </c>
      <c r="R203" s="158">
        <f>SUM(R39:R50)</f>
        <v>1641295.9063537153</v>
      </c>
      <c r="S203" s="158">
        <f t="shared" si="57"/>
        <v>738431638.49476612</v>
      </c>
      <c r="T203" s="37">
        <f t="shared" si="58"/>
        <v>8697009.5884124041</v>
      </c>
      <c r="U203" s="5">
        <f t="shared" si="54"/>
        <v>1.1944910349031316E-2</v>
      </c>
      <c r="V203" s="5">
        <f t="shared" si="55"/>
        <v>1.1944910349031316E-2</v>
      </c>
      <c r="W203" s="158" t="e">
        <f>#REF!</f>
        <v>#REF!</v>
      </c>
      <c r="X203" s="193" t="e">
        <f t="shared" si="59"/>
        <v>#REF!</v>
      </c>
    </row>
    <row r="204" spans="1:24" x14ac:dyDescent="0.25">
      <c r="A204" s="52">
        <v>2007</v>
      </c>
      <c r="B204" s="158">
        <f>SUM(B51:B62)</f>
        <v>738093576</v>
      </c>
      <c r="C204" s="158">
        <f>SUM(C51:C62)</f>
        <v>4551503.5039854906</v>
      </c>
      <c r="E204" s="158">
        <f t="shared" ref="E204:F204" si="62">SUM(E51:E62)</f>
        <v>4786879.1706504142</v>
      </c>
      <c r="F204" s="158">
        <f t="shared" si="62"/>
        <v>742880455.17065036</v>
      </c>
      <c r="Q204" s="158">
        <f>SUM(Q51:Q62)</f>
        <v>729863752.29660726</v>
      </c>
      <c r="R204" s="158">
        <f>SUM(R51:R62)</f>
        <v>4786879.1706504142</v>
      </c>
      <c r="S204" s="158">
        <f t="shared" si="57"/>
        <v>725076873.12595689</v>
      </c>
      <c r="T204" s="37">
        <f t="shared" si="58"/>
        <v>-17803582.04469347</v>
      </c>
      <c r="U204" s="5">
        <f t="shared" si="54"/>
        <v>-2.4121036442530251E-2</v>
      </c>
      <c r="V204" s="5">
        <f t="shared" si="55"/>
        <v>2.4121036442530251E-2</v>
      </c>
      <c r="W204" s="158" t="e">
        <f>#REF!</f>
        <v>#REF!</v>
      </c>
      <c r="X204" s="193" t="e">
        <f t="shared" si="59"/>
        <v>#REF!</v>
      </c>
    </row>
    <row r="205" spans="1:24" x14ac:dyDescent="0.25">
      <c r="A205" s="41">
        <v>2008</v>
      </c>
      <c r="B205" s="158">
        <f>SUM(B63:B74)</f>
        <v>740966486</v>
      </c>
      <c r="C205" s="158">
        <f>SUM(C63:C74)</f>
        <v>6625848.8160930118</v>
      </c>
      <c r="E205" s="158">
        <f t="shared" ref="E205:F205" si="63">SUM(E63:E74)</f>
        <v>6908036.310214702</v>
      </c>
      <c r="F205" s="158">
        <f t="shared" si="63"/>
        <v>747874522.31021476</v>
      </c>
      <c r="Q205" s="158">
        <f>SUM(Q63:Q74)</f>
        <v>735151792.24819148</v>
      </c>
      <c r="R205" s="158">
        <f>SUM(R63:R74)</f>
        <v>6908036.310214702</v>
      </c>
      <c r="S205" s="158">
        <f t="shared" si="57"/>
        <v>728243755.93797672</v>
      </c>
      <c r="T205" s="37">
        <f t="shared" si="58"/>
        <v>-19630766.37223804</v>
      </c>
      <c r="U205" s="5">
        <f t="shared" si="54"/>
        <v>-2.6493460558805949E-2</v>
      </c>
      <c r="V205" s="5">
        <f t="shared" si="55"/>
        <v>2.6493460558805949E-2</v>
      </c>
      <c r="W205" s="158" t="e">
        <f>#REF!</f>
        <v>#REF!</v>
      </c>
      <c r="X205" s="193" t="e">
        <f t="shared" si="59"/>
        <v>#REF!</v>
      </c>
    </row>
    <row r="206" spans="1:24" x14ac:dyDescent="0.25">
      <c r="A206" s="52">
        <v>2009</v>
      </c>
      <c r="B206" s="158">
        <f>SUM(B75:B86)</f>
        <v>732869984</v>
      </c>
      <c r="C206" s="158">
        <f>SUM(C75:C86)</f>
        <v>8277543.6652882788</v>
      </c>
      <c r="E206" s="158">
        <f t="shared" ref="E206:F206" si="64">SUM(E75:E86)</f>
        <v>8571255.1976394188</v>
      </c>
      <c r="F206" s="158">
        <f t="shared" si="64"/>
        <v>741441239.19763947</v>
      </c>
      <c r="Q206" s="158">
        <f>SUM(Q75:Q86)</f>
        <v>736579999.87043953</v>
      </c>
      <c r="R206" s="158">
        <f>SUM(R75:R86)</f>
        <v>8571255.1976394188</v>
      </c>
      <c r="S206" s="158">
        <f t="shared" si="57"/>
        <v>728008744.67280006</v>
      </c>
      <c r="T206" s="37">
        <f t="shared" si="58"/>
        <v>-13432494.524839401</v>
      </c>
      <c r="U206" s="5">
        <f t="shared" si="54"/>
        <v>-1.832861874288387E-2</v>
      </c>
      <c r="V206" s="5">
        <f t="shared" si="55"/>
        <v>1.832861874288387E-2</v>
      </c>
      <c r="W206" s="158" t="e">
        <f>#REF!</f>
        <v>#REF!</v>
      </c>
      <c r="X206" s="193" t="e">
        <f t="shared" si="59"/>
        <v>#REF!</v>
      </c>
    </row>
    <row r="207" spans="1:24" x14ac:dyDescent="0.25">
      <c r="A207" s="41">
        <v>2010</v>
      </c>
      <c r="B207" s="158">
        <f>SUM(B87:B98)</f>
        <v>714199062</v>
      </c>
      <c r="C207" s="158">
        <f>SUM(C87:C98)</f>
        <v>7031261.5937940693</v>
      </c>
      <c r="E207" s="158">
        <f t="shared" ref="E207:F207" si="65">SUM(E87:E98)</f>
        <v>7344296.444761537</v>
      </c>
      <c r="F207" s="158">
        <f t="shared" si="65"/>
        <v>721543358.44476163</v>
      </c>
      <c r="Q207" s="158">
        <f>SUM(Q87:Q98)</f>
        <v>739463655.588467</v>
      </c>
      <c r="R207" s="158">
        <f>SUM(R87:R98)</f>
        <v>7344296.444761537</v>
      </c>
      <c r="S207" s="158">
        <f t="shared" si="57"/>
        <v>732119359.14370549</v>
      </c>
      <c r="T207" s="37">
        <f t="shared" si="58"/>
        <v>10576000.698943853</v>
      </c>
      <c r="U207" s="5">
        <f t="shared" si="54"/>
        <v>1.4808197408335232E-2</v>
      </c>
      <c r="V207" s="5">
        <f t="shared" si="55"/>
        <v>1.4808197408335232E-2</v>
      </c>
      <c r="W207" s="158" t="e">
        <f>#REF!</f>
        <v>#REF!</v>
      </c>
      <c r="X207" s="193" t="e">
        <f t="shared" si="59"/>
        <v>#REF!</v>
      </c>
    </row>
    <row r="208" spans="1:24" x14ac:dyDescent="0.25">
      <c r="A208" s="52">
        <v>2011</v>
      </c>
      <c r="B208" s="158">
        <f>SUM(B99:B110)</f>
        <v>745049194</v>
      </c>
      <c r="C208" s="158">
        <f>SUM(C99:C110)</f>
        <v>8934158.3337433916</v>
      </c>
      <c r="E208" s="158">
        <f t="shared" ref="E208:F208" si="66">SUM(E99:E110)</f>
        <v>9349790.9295413587</v>
      </c>
      <c r="F208" s="158">
        <f t="shared" si="66"/>
        <v>754398984.92954135</v>
      </c>
      <c r="Q208" s="194">
        <f>SUM(Q99:Q110)</f>
        <v>738154626.14873171</v>
      </c>
      <c r="R208" s="194">
        <f>SUM(R99:R110)</f>
        <v>9349790.9295413587</v>
      </c>
      <c r="S208" s="158">
        <f t="shared" si="57"/>
        <v>728804835.21919036</v>
      </c>
      <c r="T208" s="37">
        <f t="shared" si="58"/>
        <v>-25594149.71035099</v>
      </c>
      <c r="U208" s="5">
        <f t="shared" si="54"/>
        <v>-3.4352295011476776E-2</v>
      </c>
      <c r="V208" s="5">
        <f t="shared" si="55"/>
        <v>3.4352295011476776E-2</v>
      </c>
      <c r="W208" s="158" t="e">
        <f>#REF!</f>
        <v>#REF!</v>
      </c>
      <c r="X208" s="193" t="e">
        <f t="shared" si="59"/>
        <v>#REF!</v>
      </c>
    </row>
    <row r="209" spans="1:24" x14ac:dyDescent="0.25">
      <c r="A209" s="41">
        <v>2012</v>
      </c>
      <c r="B209" s="158">
        <f>SUM(B111:B122)</f>
        <v>706953513</v>
      </c>
      <c r="C209" s="158">
        <f>SUM(C111:C122)</f>
        <v>12424509.453383327</v>
      </c>
      <c r="E209" s="158">
        <f t="shared" ref="E209:F209" si="67">SUM(E111:E122)</f>
        <v>12978716.989591224</v>
      </c>
      <c r="F209" s="158">
        <f t="shared" si="67"/>
        <v>719932229.98959112</v>
      </c>
      <c r="Q209" s="194">
        <f>SUM(Q111:Q122)</f>
        <v>734933251.84521163</v>
      </c>
      <c r="R209" s="194">
        <f>SUM(R111:R122)</f>
        <v>12978716.989591224</v>
      </c>
      <c r="S209" s="158">
        <f t="shared" si="57"/>
        <v>721954534.85562038</v>
      </c>
      <c r="T209" s="37">
        <f t="shared" si="58"/>
        <v>2022304.8660292625</v>
      </c>
      <c r="U209" s="5">
        <f t="shared" si="54"/>
        <v>2.860591013187684E-3</v>
      </c>
      <c r="V209" s="5">
        <f t="shared" si="55"/>
        <v>2.860591013187684E-3</v>
      </c>
      <c r="W209" s="158" t="e">
        <f>#REF!</f>
        <v>#REF!</v>
      </c>
      <c r="X209" s="193" t="e">
        <f t="shared" si="59"/>
        <v>#REF!</v>
      </c>
    </row>
    <row r="210" spans="1:24" x14ac:dyDescent="0.25">
      <c r="A210" s="52">
        <v>2013</v>
      </c>
      <c r="B210" s="158">
        <f>SUM(B123:B134)</f>
        <v>730568311</v>
      </c>
      <c r="C210" s="158">
        <f>SUM(C123:C134)</f>
        <v>14122594.063692499</v>
      </c>
      <c r="E210" s="158">
        <f t="shared" ref="E210:F210" si="68">SUM(E123:E134)</f>
        <v>14991074.66035445</v>
      </c>
      <c r="F210" s="158">
        <f t="shared" si="68"/>
        <v>745559385.6603545</v>
      </c>
      <c r="Q210" s="158">
        <f>SUM(Q123:Q134)</f>
        <v>738141490.00041509</v>
      </c>
      <c r="R210" s="158">
        <f>SUM(R123:R134)</f>
        <v>14991074.66035445</v>
      </c>
      <c r="S210" s="158">
        <f t="shared" si="57"/>
        <v>723150415.34006059</v>
      </c>
      <c r="T210" s="37">
        <f t="shared" si="58"/>
        <v>-22408970.320293903</v>
      </c>
      <c r="U210" s="5">
        <f t="shared" si="54"/>
        <v>-3.0673340169409435E-2</v>
      </c>
      <c r="V210" s="5">
        <f t="shared" si="55"/>
        <v>3.0673340169409435E-2</v>
      </c>
      <c r="W210" s="158" t="e">
        <f>#REF!</f>
        <v>#REF!</v>
      </c>
      <c r="X210" s="193" t="e">
        <f t="shared" si="59"/>
        <v>#REF!</v>
      </c>
    </row>
    <row r="211" spans="1:24" x14ac:dyDescent="0.25">
      <c r="A211" s="41">
        <v>2014</v>
      </c>
      <c r="B211" s="158">
        <f>SUM(B135:B146)</f>
        <v>730490284.99000001</v>
      </c>
      <c r="C211" s="158">
        <f>SUM(C135:C146)</f>
        <v>19103457.294930223</v>
      </c>
      <c r="E211" s="158">
        <f t="shared" ref="E211:F211" si="69">SUM(E135:E146)</f>
        <v>19883203.848297957</v>
      </c>
      <c r="F211" s="158">
        <f t="shared" si="69"/>
        <v>750373488.83829808</v>
      </c>
      <c r="Q211" s="158">
        <f>SUM(Q135:Q146)</f>
        <v>727460940.92550325</v>
      </c>
      <c r="R211" s="158">
        <f>SUM(R135:R146)</f>
        <v>19883203.848297957</v>
      </c>
      <c r="S211" s="158">
        <f t="shared" si="57"/>
        <v>707577737.0772053</v>
      </c>
      <c r="T211" s="37">
        <f t="shared" si="58"/>
        <v>-42795751.761092782</v>
      </c>
      <c r="U211" s="5">
        <f t="shared" si="54"/>
        <v>-5.858497045128893E-2</v>
      </c>
      <c r="V211" s="5">
        <f t="shared" si="55"/>
        <v>5.858497045128893E-2</v>
      </c>
      <c r="W211" s="158" t="e">
        <f>#REF!</f>
        <v>#REF!</v>
      </c>
      <c r="X211" s="193" t="e">
        <f t="shared" si="59"/>
        <v>#REF!</v>
      </c>
    </row>
    <row r="212" spans="1:24" x14ac:dyDescent="0.25">
      <c r="A212" s="52">
        <v>2015</v>
      </c>
      <c r="B212" s="158">
        <f>SUM(B147:B158)</f>
        <v>698517377.1099999</v>
      </c>
      <c r="C212" s="158">
        <f>SUM(C147:C158)</f>
        <v>21558438.379207514</v>
      </c>
      <c r="E212" s="158">
        <f t="shared" ref="E212:F212" si="70">SUM(E147:E158)</f>
        <v>22496600.618206907</v>
      </c>
      <c r="F212" s="158">
        <f t="shared" si="70"/>
        <v>721013977.72820687</v>
      </c>
      <c r="Q212" s="158">
        <f>SUM(Q147:Q158)</f>
        <v>718678264.12614655</v>
      </c>
      <c r="R212" s="158">
        <f>SUM(R147:R158)</f>
        <v>22496600.618206907</v>
      </c>
      <c r="S212" s="158">
        <f t="shared" si="57"/>
        <v>696181663.5079397</v>
      </c>
      <c r="T212" s="37">
        <f t="shared" si="58"/>
        <v>-24832314.220267177</v>
      </c>
      <c r="U212" s="5">
        <f t="shared" si="54"/>
        <v>-3.5550030727949489E-2</v>
      </c>
      <c r="V212" s="5">
        <f t="shared" si="55"/>
        <v>3.5550030727949489E-2</v>
      </c>
      <c r="W212" s="158" t="e">
        <f>#REF!</f>
        <v>#REF!</v>
      </c>
      <c r="X212" s="193" t="e">
        <f t="shared" si="59"/>
        <v>#REF!</v>
      </c>
    </row>
    <row r="213" spans="1:24" x14ac:dyDescent="0.25">
      <c r="A213" s="41">
        <v>2016</v>
      </c>
      <c r="B213" s="158">
        <f>SUM(B159:B170)</f>
        <v>669958461.73000014</v>
      </c>
      <c r="C213" s="158">
        <f>SUM(C159:C170)</f>
        <v>28525604.312059022</v>
      </c>
      <c r="E213" s="158">
        <f t="shared" ref="E213:F213" si="71">SUM(E159:E170)</f>
        <v>30007352.553922918</v>
      </c>
      <c r="F213" s="158">
        <f t="shared" si="71"/>
        <v>699965814.28392291</v>
      </c>
      <c r="Q213" s="158">
        <f>SUM(Q159:Q170)</f>
        <v>712175927.62076783</v>
      </c>
      <c r="R213" s="158">
        <f>SUM(R159:R170)</f>
        <v>30007352.553922918</v>
      </c>
      <c r="S213" s="158">
        <f t="shared" si="57"/>
        <v>682168575.06684494</v>
      </c>
      <c r="T213" s="37">
        <f t="shared" si="58"/>
        <v>-17797239.217077971</v>
      </c>
      <c r="U213" s="5">
        <f t="shared" si="54"/>
        <v>-2.6564690549800731E-2</v>
      </c>
      <c r="V213" s="5">
        <f t="shared" si="55"/>
        <v>2.6564690549800731E-2</v>
      </c>
      <c r="W213" s="158" t="e">
        <f>#REF!</f>
        <v>#REF!</v>
      </c>
      <c r="X213" s="193" t="e">
        <f t="shared" si="59"/>
        <v>#REF!</v>
      </c>
    </row>
    <row r="214" spans="1:24" x14ac:dyDescent="0.25">
      <c r="A214" s="41">
        <v>2017</v>
      </c>
      <c r="B214" s="158">
        <f>SUM(B171:B182)</f>
        <v>652970473</v>
      </c>
      <c r="C214" s="158">
        <f>SUM(C171:C182)</f>
        <v>35985475.514002092</v>
      </c>
      <c r="E214" s="158">
        <f t="shared" ref="E214:F214" si="72">SUM(E171:E182)</f>
        <v>37744334.668730587</v>
      </c>
      <c r="F214" s="158">
        <f t="shared" si="72"/>
        <v>690714807.66873062</v>
      </c>
      <c r="H214" s="158"/>
      <c r="I214" s="50"/>
      <c r="Q214" s="158">
        <f>SUM(Q171:Q182)</f>
        <v>708053168.9468658</v>
      </c>
      <c r="R214" s="158">
        <f>SUM(R171:R182)</f>
        <v>37744334.668730587</v>
      </c>
      <c r="S214" s="158">
        <f t="shared" si="57"/>
        <v>670308834.27813518</v>
      </c>
      <c r="T214" s="37">
        <f t="shared" si="58"/>
        <v>-20405973.390595436</v>
      </c>
      <c r="U214" s="5">
        <f t="shared" si="54"/>
        <v>-3.125098949243825E-2</v>
      </c>
      <c r="V214" s="5">
        <f t="shared" si="55"/>
        <v>3.125098949243825E-2</v>
      </c>
      <c r="W214" s="158" t="e">
        <f>#REF!</f>
        <v>#REF!</v>
      </c>
      <c r="X214" s="193" t="e">
        <f t="shared" si="59"/>
        <v>#REF!</v>
      </c>
    </row>
    <row r="215" spans="1:24" x14ac:dyDescent="0.25">
      <c r="A215" s="41">
        <v>2018</v>
      </c>
      <c r="B215" s="158">
        <f>SUM(B183:B194)</f>
        <v>0</v>
      </c>
      <c r="C215" s="158">
        <f>SUM(C183:C194)</f>
        <v>38296549.687807836</v>
      </c>
      <c r="E215" s="158">
        <f t="shared" ref="E215:F215" si="73">SUM(E183:E194)</f>
        <v>40062973.865544535</v>
      </c>
      <c r="F215" s="158">
        <f t="shared" si="73"/>
        <v>0</v>
      </c>
      <c r="Q215" s="158">
        <f>SUM(Q183:Q194)</f>
        <v>699603167.65343368</v>
      </c>
      <c r="R215" s="158">
        <f>SUM(R183:R194)</f>
        <v>40062973.865544535</v>
      </c>
      <c r="S215" s="158">
        <f t="shared" si="57"/>
        <v>659540193.78788912</v>
      </c>
      <c r="T215" s="37"/>
      <c r="U215" s="5"/>
      <c r="V215" s="5"/>
      <c r="W215" s="158" t="e">
        <f>#REF!</f>
        <v>#REF!</v>
      </c>
      <c r="X215" s="193" t="e">
        <f t="shared" si="59"/>
        <v>#REF!</v>
      </c>
    </row>
    <row r="216" spans="1:24" x14ac:dyDescent="0.25">
      <c r="Q216" s="158"/>
      <c r="S216" s="158"/>
    </row>
    <row r="217" spans="1:24" x14ac:dyDescent="0.25">
      <c r="A217" s="398" t="s">
        <v>319</v>
      </c>
      <c r="B217" s="194">
        <f>SUM(B200:B214)</f>
        <v>10850760859.83</v>
      </c>
      <c r="C217" s="194">
        <f>SUM(C200:C215)</f>
        <v>207008466.14900264</v>
      </c>
      <c r="D217" s="194"/>
      <c r="E217" s="194">
        <f t="shared" ref="E217:F217" si="74">SUM(E200:E215)</f>
        <v>216765811.16380972</v>
      </c>
      <c r="F217" s="194">
        <f t="shared" si="74"/>
        <v>11027463697.128265</v>
      </c>
      <c r="L217" s="194">
        <f>Q217-F217</f>
        <v>-23427076.057828903</v>
      </c>
      <c r="Q217" s="194">
        <f>SUM(Q200:Q214)</f>
        <v>11004036621.070436</v>
      </c>
      <c r="S217"/>
      <c r="T217"/>
    </row>
    <row r="218" spans="1:24" x14ac:dyDescent="0.25">
      <c r="S218"/>
      <c r="T218"/>
    </row>
    <row r="219" spans="1:24" x14ac:dyDescent="0.25">
      <c r="L219" s="194">
        <f>Q219-Q198</f>
        <v>0</v>
      </c>
      <c r="Q219" s="158">
        <f>SUM(Q200:Q215)</f>
        <v>11703639788.723869</v>
      </c>
      <c r="R219" s="158">
        <f>SUM(R200:R215)</f>
        <v>216765811.16380972</v>
      </c>
      <c r="S219" s="158">
        <f>SUM(S200:S215)</f>
        <v>11486873977.560062</v>
      </c>
      <c r="T219"/>
    </row>
    <row r="220" spans="1:24" x14ac:dyDescent="0.25">
      <c r="L220" s="403"/>
      <c r="Q220" s="403" t="s">
        <v>141</v>
      </c>
      <c r="S220"/>
      <c r="T220"/>
      <c r="U220"/>
      <c r="V220"/>
      <c r="W220"/>
    </row>
    <row r="223" spans="1:24" x14ac:dyDescent="0.25">
      <c r="B223" s="440" t="s">
        <v>118</v>
      </c>
      <c r="C223" s="440"/>
      <c r="D223" s="440"/>
      <c r="E223" s="440"/>
      <c r="F223" s="440"/>
      <c r="G223" s="441"/>
      <c r="H223" s="441"/>
    </row>
    <row r="224" spans="1:24" x14ac:dyDescent="0.25">
      <c r="G224" s="104">
        <f>'Weather Analysis '!Z8</f>
        <v>810.83473684210594</v>
      </c>
      <c r="H224" s="104">
        <f>'Weather Analysis '!Z28</f>
        <v>0</v>
      </c>
      <c r="I224" s="16">
        <f>I183</f>
        <v>0</v>
      </c>
      <c r="J224" s="16">
        <f t="shared" ref="J224:L224" si="75">J183</f>
        <v>31</v>
      </c>
      <c r="K224" s="16">
        <f t="shared" si="75"/>
        <v>181</v>
      </c>
      <c r="L224" s="16">
        <f t="shared" si="75"/>
        <v>33625.286197386944</v>
      </c>
      <c r="M224" s="16">
        <v>352</v>
      </c>
      <c r="N224" s="16">
        <v>31</v>
      </c>
      <c r="O224" s="16" t="e">
        <f>#REF!</f>
        <v>#REF!</v>
      </c>
      <c r="P224" s="105" t="e">
        <f>#REF!</f>
        <v>#REF!</v>
      </c>
      <c r="Q224" s="401">
        <f t="shared" ref="Q224:Q235" si="76">+$Z$43+E224*$Z$44+F224*$Z$45+G224*$Z$46+H224*$Z$47+I224*$Z$48+ J224*$Z$49+U183</f>
        <v>-2542169170.6962781</v>
      </c>
      <c r="R224" s="105"/>
      <c r="S224" s="401">
        <f t="shared" ref="S224:S235" si="77">+$Z$43+G224*$Z$44+H224*$Z$45+I224*$Z$46+J224*$Z$47+K224*$Z$48+ L224*$Z$49+W183</f>
        <v>76766152.883598313</v>
      </c>
    </row>
    <row r="225" spans="7:20" x14ac:dyDescent="0.25">
      <c r="G225" s="104">
        <f>'Weather Analysis '!Z9</f>
        <v>801.32526315789437</v>
      </c>
      <c r="H225" s="104">
        <f>'Weather Analysis '!Z29</f>
        <v>0</v>
      </c>
      <c r="I225" s="16">
        <f t="shared" ref="I225:L235" si="78">I184</f>
        <v>0</v>
      </c>
      <c r="J225" s="16">
        <f t="shared" si="78"/>
        <v>28</v>
      </c>
      <c r="K225" s="16">
        <f t="shared" si="78"/>
        <v>182</v>
      </c>
      <c r="L225" s="16">
        <f t="shared" si="78"/>
        <v>33625.286197386944</v>
      </c>
      <c r="M225" s="16">
        <v>304</v>
      </c>
      <c r="N225" s="16">
        <v>28</v>
      </c>
      <c r="O225" s="16" t="e">
        <f t="shared" ref="O225:P235" si="79">O224</f>
        <v>#REF!</v>
      </c>
      <c r="P225" s="105" t="e">
        <f t="shared" si="79"/>
        <v>#REF!</v>
      </c>
      <c r="Q225" s="401">
        <f t="shared" si="76"/>
        <v>-2514775224.246943</v>
      </c>
      <c r="R225" s="105"/>
      <c r="S225" s="401">
        <f t="shared" si="77"/>
        <v>70988851.030469939</v>
      </c>
    </row>
    <row r="226" spans="7:20" x14ac:dyDescent="0.25">
      <c r="G226" s="104">
        <f>'Weather Analysis '!Z10</f>
        <v>704.08894736842103</v>
      </c>
      <c r="H226" s="104">
        <f>'Weather Analysis '!Z30</f>
        <v>0</v>
      </c>
      <c r="I226" s="16">
        <f t="shared" si="78"/>
        <v>1</v>
      </c>
      <c r="J226" s="16">
        <f t="shared" si="78"/>
        <v>31</v>
      </c>
      <c r="K226" s="16">
        <f t="shared" si="78"/>
        <v>183</v>
      </c>
      <c r="L226" s="16">
        <f t="shared" si="78"/>
        <v>33625.286197386944</v>
      </c>
      <c r="M226" s="16">
        <v>336</v>
      </c>
      <c r="N226" s="16">
        <v>31</v>
      </c>
      <c r="O226" s="16" t="e">
        <f t="shared" si="79"/>
        <v>#REF!</v>
      </c>
      <c r="P226" s="105" t="e">
        <f t="shared" si="79"/>
        <v>#REF!</v>
      </c>
      <c r="Q226" s="401">
        <f t="shared" si="76"/>
        <v>-2234530010.7291737</v>
      </c>
      <c r="R226" s="105"/>
      <c r="S226" s="401">
        <f t="shared" si="77"/>
        <v>69573623.014313772</v>
      </c>
    </row>
    <row r="227" spans="7:20" x14ac:dyDescent="0.25">
      <c r="G227" s="104">
        <f>'Weather Analysis '!Z11</f>
        <v>464.47105263157937</v>
      </c>
      <c r="H227" s="104">
        <f>'Weather Analysis '!Z31</f>
        <v>-6.6842105263155815E-2</v>
      </c>
      <c r="I227" s="16">
        <f t="shared" si="78"/>
        <v>1</v>
      </c>
      <c r="J227" s="16">
        <f t="shared" si="78"/>
        <v>30</v>
      </c>
      <c r="K227" s="16">
        <f t="shared" si="78"/>
        <v>184</v>
      </c>
      <c r="L227" s="16">
        <f t="shared" si="78"/>
        <v>33579.152721931212</v>
      </c>
      <c r="M227" s="16">
        <v>320</v>
      </c>
      <c r="N227" s="16">
        <v>30</v>
      </c>
      <c r="O227" s="16" t="e">
        <f t="shared" si="79"/>
        <v>#REF!</v>
      </c>
      <c r="P227" s="105" t="e">
        <f t="shared" si="79"/>
        <v>#REF!</v>
      </c>
      <c r="Q227" s="401">
        <f t="shared" si="76"/>
        <v>-1543918799.7025359</v>
      </c>
      <c r="R227" s="105"/>
      <c r="S227" s="401">
        <f t="shared" si="77"/>
        <v>58081789.096141443</v>
      </c>
    </row>
    <row r="228" spans="7:20" x14ac:dyDescent="0.25">
      <c r="G228" s="104">
        <f>'Weather Analysis '!Z12</f>
        <v>255.98210526315779</v>
      </c>
      <c r="H228" s="104">
        <f>'Weather Analysis '!Z32</f>
        <v>2.9473684210526585</v>
      </c>
      <c r="I228" s="16">
        <f t="shared" si="78"/>
        <v>1</v>
      </c>
      <c r="J228" s="16">
        <f t="shared" si="78"/>
        <v>31</v>
      </c>
      <c r="K228" s="16">
        <f t="shared" si="78"/>
        <v>185</v>
      </c>
      <c r="L228" s="16">
        <f t="shared" si="78"/>
        <v>33579.152721931212</v>
      </c>
      <c r="M228" s="16">
        <v>336</v>
      </c>
      <c r="N228" s="16">
        <v>31</v>
      </c>
      <c r="O228" s="16" t="e">
        <f t="shared" si="79"/>
        <v>#REF!</v>
      </c>
      <c r="P228" s="105" t="e">
        <f t="shared" si="79"/>
        <v>#REF!</v>
      </c>
      <c r="Q228" s="401">
        <f t="shared" si="76"/>
        <v>-937551273.83837509</v>
      </c>
      <c r="R228" s="105"/>
      <c r="S228" s="401">
        <f t="shared" si="77"/>
        <v>51907094.75189583</v>
      </c>
    </row>
    <row r="229" spans="7:20" x14ac:dyDescent="0.25">
      <c r="G229" s="104">
        <f>'Weather Analysis '!Z13</f>
        <v>108.26842105263131</v>
      </c>
      <c r="H229" s="104">
        <f>'Weather Analysis '!Z33</f>
        <v>2.3105263157895024</v>
      </c>
      <c r="I229" s="16">
        <f t="shared" si="78"/>
        <v>0</v>
      </c>
      <c r="J229" s="16">
        <f t="shared" si="78"/>
        <v>30</v>
      </c>
      <c r="K229" s="16">
        <f t="shared" si="78"/>
        <v>186</v>
      </c>
      <c r="L229" s="16">
        <f t="shared" si="78"/>
        <v>33579.152721931212</v>
      </c>
      <c r="M229" s="16">
        <v>336</v>
      </c>
      <c r="N229" s="16">
        <v>30</v>
      </c>
      <c r="O229" s="16" t="e">
        <f t="shared" si="79"/>
        <v>#REF!</v>
      </c>
      <c r="P229" s="105" t="e">
        <f t="shared" si="79"/>
        <v>#REF!</v>
      </c>
      <c r="Q229" s="401">
        <f t="shared" si="76"/>
        <v>-512809476.49992567</v>
      </c>
      <c r="R229" s="105"/>
      <c r="S229" s="401">
        <f t="shared" si="77"/>
        <v>47121903.40942882</v>
      </c>
    </row>
    <row r="230" spans="7:20" x14ac:dyDescent="0.25">
      <c r="G230" s="104">
        <f>'Weather Analysis '!Z14</f>
        <v>47.185263157894951</v>
      </c>
      <c r="H230" s="104">
        <f>'Weather Analysis '!Z34</f>
        <v>27.098421052631693</v>
      </c>
      <c r="I230" s="16">
        <f t="shared" si="78"/>
        <v>0</v>
      </c>
      <c r="J230" s="16">
        <f t="shared" si="78"/>
        <v>31</v>
      </c>
      <c r="K230" s="16">
        <f t="shared" si="78"/>
        <v>187</v>
      </c>
      <c r="L230" s="16">
        <f t="shared" si="78"/>
        <v>33613.251377702843</v>
      </c>
      <c r="M230" s="16">
        <v>352</v>
      </c>
      <c r="N230" s="16">
        <v>31</v>
      </c>
      <c r="O230" s="16" t="e">
        <f t="shared" si="79"/>
        <v>#REF!</v>
      </c>
      <c r="P230" s="105" t="e">
        <f t="shared" si="79"/>
        <v>#REF!</v>
      </c>
      <c r="Q230" s="401">
        <f t="shared" si="76"/>
        <v>-292649524.45546162</v>
      </c>
      <c r="R230" s="105"/>
      <c r="S230" s="401">
        <f t="shared" si="77"/>
        <v>48750998.564672902</v>
      </c>
    </row>
    <row r="231" spans="7:20" x14ac:dyDescent="0.25">
      <c r="G231" s="104">
        <f>'Weather Analysis '!Z15</f>
        <v>48.300526315789284</v>
      </c>
      <c r="H231" s="104">
        <f>'Weather Analysis '!Z35</f>
        <v>26.10684210526324</v>
      </c>
      <c r="I231" s="16">
        <f t="shared" si="78"/>
        <v>0</v>
      </c>
      <c r="J231" s="16">
        <f t="shared" si="78"/>
        <v>31</v>
      </c>
      <c r="K231" s="16">
        <f t="shared" si="78"/>
        <v>188</v>
      </c>
      <c r="L231" s="16">
        <f t="shared" si="78"/>
        <v>33613.251377702843</v>
      </c>
      <c r="M231" s="16">
        <v>320</v>
      </c>
      <c r="N231" s="16">
        <v>31</v>
      </c>
      <c r="O231" s="16" t="e">
        <f t="shared" si="79"/>
        <v>#REF!</v>
      </c>
      <c r="P231" s="105" t="e">
        <f t="shared" si="79"/>
        <v>#REF!</v>
      </c>
      <c r="Q231" s="401">
        <f t="shared" si="76"/>
        <v>-297627435.88176852</v>
      </c>
      <c r="R231" s="105"/>
      <c r="S231" s="401">
        <f t="shared" si="77"/>
        <v>48638331.270229384</v>
      </c>
    </row>
    <row r="232" spans="7:20" x14ac:dyDescent="0.25">
      <c r="G232" s="104">
        <f>'Weather Analysis '!Z16</f>
        <v>127.10578947368413</v>
      </c>
      <c r="H232" s="104">
        <f>'Weather Analysis '!Z36</f>
        <v>13.282105263157888</v>
      </c>
      <c r="I232" s="16">
        <f t="shared" si="78"/>
        <v>1</v>
      </c>
      <c r="J232" s="16">
        <f t="shared" si="78"/>
        <v>30</v>
      </c>
      <c r="K232" s="16">
        <f t="shared" si="78"/>
        <v>189</v>
      </c>
      <c r="L232" s="16">
        <f t="shared" si="78"/>
        <v>33613.251377702843</v>
      </c>
      <c r="M232" s="16">
        <v>336</v>
      </c>
      <c r="N232" s="16">
        <v>30</v>
      </c>
      <c r="O232" s="16" t="e">
        <f t="shared" si="79"/>
        <v>#REF!</v>
      </c>
      <c r="P232" s="105" t="e">
        <f t="shared" si="79"/>
        <v>#REF!</v>
      </c>
      <c r="Q232" s="401">
        <f t="shared" si="76"/>
        <v>-547676460.05681932</v>
      </c>
      <c r="R232" s="105"/>
      <c r="S232" s="401">
        <f t="shared" si="77"/>
        <v>45896146.584677532</v>
      </c>
    </row>
    <row r="233" spans="7:20" x14ac:dyDescent="0.25">
      <c r="G233" s="104">
        <f>'Weather Analysis '!Z17</f>
        <v>293.91157894736853</v>
      </c>
      <c r="H233" s="104">
        <f>'Weather Analysis '!Z37</f>
        <v>0.71842105263157841</v>
      </c>
      <c r="I233" s="16">
        <f t="shared" si="78"/>
        <v>1</v>
      </c>
      <c r="J233" s="16">
        <f t="shared" si="78"/>
        <v>31</v>
      </c>
      <c r="K233" s="16">
        <f t="shared" si="78"/>
        <v>190</v>
      </c>
      <c r="L233" s="16">
        <f t="shared" si="78"/>
        <v>33702.50962369328</v>
      </c>
      <c r="M233" s="16">
        <v>352</v>
      </c>
      <c r="N233" s="16">
        <v>31</v>
      </c>
      <c r="O233" s="16" t="e">
        <f t="shared" si="79"/>
        <v>#REF!</v>
      </c>
      <c r="P233" s="105" t="e">
        <f t="shared" si="79"/>
        <v>#REF!</v>
      </c>
      <c r="Q233" s="401">
        <f t="shared" si="76"/>
        <v>-1050851929.7444907</v>
      </c>
      <c r="R233" s="105"/>
      <c r="S233" s="401">
        <f t="shared" si="77"/>
        <v>53601930.920446113</v>
      </c>
    </row>
    <row r="234" spans="7:20" x14ac:dyDescent="0.25">
      <c r="G234" s="104">
        <f>'Weather Analysis '!Z18</f>
        <v>494.0389473684213</v>
      </c>
      <c r="H234" s="104">
        <f>'Weather Analysis '!Z38</f>
        <v>0</v>
      </c>
      <c r="I234" s="16">
        <f t="shared" si="78"/>
        <v>1</v>
      </c>
      <c r="J234" s="16">
        <f t="shared" si="78"/>
        <v>30</v>
      </c>
      <c r="K234" s="16">
        <f t="shared" si="78"/>
        <v>191</v>
      </c>
      <c r="L234" s="16">
        <f t="shared" si="78"/>
        <v>33702.50962369328</v>
      </c>
      <c r="M234" s="16">
        <v>304</v>
      </c>
      <c r="N234" s="16">
        <v>30</v>
      </c>
      <c r="O234" s="16" t="e">
        <f t="shared" si="79"/>
        <v>#REF!</v>
      </c>
      <c r="P234" s="105" t="e">
        <f t="shared" si="79"/>
        <v>#REF!</v>
      </c>
      <c r="Q234" s="401">
        <f t="shared" si="76"/>
        <v>-1629034062.4055583</v>
      </c>
      <c r="R234" s="105"/>
      <c r="S234" s="401">
        <f t="shared" si="77"/>
        <v>59499712.389062151</v>
      </c>
    </row>
    <row r="235" spans="7:20" x14ac:dyDescent="0.25">
      <c r="G235" s="104">
        <f>'Weather Analysis '!Z19</f>
        <v>695.58368421052637</v>
      </c>
      <c r="H235" s="104">
        <f>'Weather Analysis '!Z39</f>
        <v>0</v>
      </c>
      <c r="I235" s="16">
        <f t="shared" si="78"/>
        <v>0</v>
      </c>
      <c r="J235" s="16">
        <f t="shared" si="78"/>
        <v>31</v>
      </c>
      <c r="K235" s="16">
        <f t="shared" si="78"/>
        <v>192</v>
      </c>
      <c r="L235" s="16">
        <f t="shared" si="78"/>
        <v>33702.50962369328</v>
      </c>
      <c r="M235" s="16">
        <v>336</v>
      </c>
      <c r="N235" s="16">
        <v>31</v>
      </c>
      <c r="O235" s="16" t="e">
        <f t="shared" si="79"/>
        <v>#REF!</v>
      </c>
      <c r="P235" s="105" t="e">
        <f t="shared" si="79"/>
        <v>#REF!</v>
      </c>
      <c r="Q235" s="401">
        <f t="shared" si="76"/>
        <v>-2209939890.9143991</v>
      </c>
      <c r="R235" s="105"/>
      <c r="S235" s="401">
        <f t="shared" si="77"/>
        <v>71952111.88709037</v>
      </c>
      <c r="T235" s="50">
        <f>SUM(S224:S235) + SUM(W182:W194)</f>
        <v>697507017.59301901</v>
      </c>
    </row>
    <row r="243" spans="24:24" x14ac:dyDescent="0.25">
      <c r="X243" s="5"/>
    </row>
    <row r="244" spans="24:24" x14ac:dyDescent="0.25">
      <c r="X244" s="5"/>
    </row>
    <row r="245" spans="24:24" x14ac:dyDescent="0.25">
      <c r="X245" s="5"/>
    </row>
    <row r="246" spans="24:24" x14ac:dyDescent="0.25">
      <c r="X246" s="5"/>
    </row>
    <row r="247" spans="24:24" x14ac:dyDescent="0.25">
      <c r="X247" s="5"/>
    </row>
    <row r="248" spans="24:24" x14ac:dyDescent="0.25">
      <c r="X248" s="5"/>
    </row>
    <row r="249" spans="24:24" x14ac:dyDescent="0.25">
      <c r="X249" s="5"/>
    </row>
    <row r="250" spans="24:24" x14ac:dyDescent="0.25">
      <c r="X250" s="5"/>
    </row>
    <row r="251" spans="24:24" x14ac:dyDescent="0.25">
      <c r="X251" s="5"/>
    </row>
    <row r="252" spans="24:24" x14ac:dyDescent="0.25">
      <c r="X252" s="5"/>
    </row>
    <row r="253" spans="24:24" x14ac:dyDescent="0.25">
      <c r="X253" s="5"/>
    </row>
    <row r="254" spans="24:24" x14ac:dyDescent="0.25">
      <c r="X254" s="5"/>
    </row>
    <row r="255" spans="24:24" x14ac:dyDescent="0.25">
      <c r="X255" s="5"/>
    </row>
    <row r="256" spans="24:24" x14ac:dyDescent="0.25">
      <c r="X256" s="5"/>
    </row>
    <row r="257" spans="24:24" x14ac:dyDescent="0.25">
      <c r="X257" s="5"/>
    </row>
    <row r="258" spans="24:24" x14ac:dyDescent="0.25">
      <c r="X258" s="5"/>
    </row>
    <row r="259" spans="24:24" x14ac:dyDescent="0.25">
      <c r="X259" s="5"/>
    </row>
    <row r="260" spans="24:24" x14ac:dyDescent="0.25">
      <c r="X260" s="5"/>
    </row>
    <row r="261" spans="24:24" x14ac:dyDescent="0.25">
      <c r="X261" s="5"/>
    </row>
    <row r="266" spans="24:24" x14ac:dyDescent="0.25">
      <c r="X266" s="17"/>
    </row>
  </sheetData>
  <dataConsolidate/>
  <mergeCells count="1">
    <mergeCell ref="B223:H223"/>
  </mergeCells>
  <printOptions gridLines="1"/>
  <pageMargins left="0.38" right="0.75" top="0.73" bottom="0.74" header="0.5" footer="0.5"/>
  <pageSetup scale="17" orientation="landscape" r:id="rId1"/>
  <headerFooter alignWithMargins="0">
    <oddFooter>&amp;L&amp;Z&amp;F</oddFooter>
  </headerFooter>
  <rowBreaks count="1" manualBreakCount="1">
    <brk id="37" max="12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86"/>
  <sheetViews>
    <sheetView zoomScale="80" zoomScaleNormal="80" workbookViewId="0">
      <pane xSplit="1" ySplit="2" topLeftCell="B66" activePane="bottomRight" state="frozen"/>
      <selection activeCell="M35" sqref="M35"/>
      <selection pane="topRight" activeCell="M35" sqref="M35"/>
      <selection pane="bottomLeft" activeCell="M35" sqref="M35"/>
      <selection pane="bottomRight" activeCell="J90" sqref="J90"/>
    </sheetView>
  </sheetViews>
  <sheetFormatPr defaultRowHeight="13.2" x14ac:dyDescent="0.25"/>
  <cols>
    <col min="1" max="1" width="28.5546875" customWidth="1"/>
    <col min="2" max="5" width="18" style="1" customWidth="1"/>
    <col min="6" max="6" width="15.6640625" style="1" customWidth="1"/>
    <col min="7" max="7" width="15.6640625" style="6" customWidth="1"/>
    <col min="8" max="8" width="15" style="6" customWidth="1"/>
    <col min="9" max="10" width="14.109375" style="6" bestFit="1" customWidth="1"/>
    <col min="11" max="11" width="14.6640625" style="6" customWidth="1"/>
    <col min="12" max="13" width="12.5546875" style="6" customWidth="1"/>
    <col min="14" max="14" width="12.6640625" style="6" bestFit="1" customWidth="1"/>
    <col min="15" max="15" width="11.6640625" style="6" bestFit="1" customWidth="1"/>
    <col min="16" max="16" width="10.6640625" style="6" bestFit="1" customWidth="1"/>
    <col min="17" max="17" width="10.109375" style="6" bestFit="1" customWidth="1"/>
    <col min="18" max="18" width="11.109375" style="6" bestFit="1" customWidth="1"/>
    <col min="19" max="19" width="10.5546875" bestFit="1" customWidth="1"/>
    <col min="20" max="20" width="11" customWidth="1"/>
  </cols>
  <sheetData>
    <row r="2" spans="1:18" ht="40.799999999999997" x14ac:dyDescent="0.3">
      <c r="B2" s="2" t="s">
        <v>9</v>
      </c>
      <c r="C2" s="2" t="s">
        <v>10</v>
      </c>
      <c r="D2" s="2" t="s">
        <v>44</v>
      </c>
      <c r="E2" s="2" t="s">
        <v>11</v>
      </c>
      <c r="F2" s="2" t="s">
        <v>0</v>
      </c>
      <c r="G2" s="7" t="s">
        <v>3</v>
      </c>
      <c r="H2" s="49" t="s">
        <v>138</v>
      </c>
      <c r="I2" s="112" t="s">
        <v>288</v>
      </c>
      <c r="J2" s="112" t="s">
        <v>318</v>
      </c>
      <c r="K2" s="160" t="s">
        <v>140</v>
      </c>
      <c r="L2" s="112" t="s">
        <v>66</v>
      </c>
      <c r="M2" s="112" t="s">
        <v>139</v>
      </c>
      <c r="O2" s="116"/>
    </row>
    <row r="4" spans="1:18" x14ac:dyDescent="0.25">
      <c r="A4" s="17"/>
      <c r="B4" s="41" t="s">
        <v>137</v>
      </c>
    </row>
    <row r="5" spans="1:18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7" spans="1:18" x14ac:dyDescent="0.25">
      <c r="B7" s="6"/>
      <c r="C7" s="6"/>
      <c r="D7" s="37"/>
      <c r="E7" s="5"/>
    </row>
    <row r="8" spans="1:18" x14ac:dyDescent="0.25">
      <c r="B8" s="6"/>
      <c r="C8" s="6"/>
      <c r="D8" s="37"/>
      <c r="E8" s="5"/>
    </row>
    <row r="9" spans="1:18" x14ac:dyDescent="0.25">
      <c r="B9" s="6"/>
      <c r="C9" s="6"/>
      <c r="D9" s="37"/>
      <c r="E9" s="5"/>
    </row>
    <row r="10" spans="1:18" x14ac:dyDescent="0.25">
      <c r="B10" s="6"/>
      <c r="C10" s="6"/>
      <c r="D10" s="37"/>
      <c r="E10" s="5"/>
      <c r="F10" s="24"/>
    </row>
    <row r="11" spans="1:18" x14ac:dyDescent="0.25">
      <c r="B11" s="6"/>
      <c r="C11" s="6"/>
      <c r="D11" s="37"/>
      <c r="E11" s="5"/>
      <c r="F11" s="24"/>
      <c r="G11" s="27"/>
    </row>
    <row r="12" spans="1:18" x14ac:dyDescent="0.25">
      <c r="A12">
        <f>'Purchased Power Model'!A200</f>
        <v>2003</v>
      </c>
      <c r="B12" s="6">
        <f>'Purchased Power Model'!B200</f>
        <v>755126020</v>
      </c>
      <c r="C12" s="6">
        <f>'Purchased Power Model'!S200</f>
        <v>768656326.90473604</v>
      </c>
      <c r="D12" s="37">
        <f t="shared" ref="D12:D24" si="0">C12-B12</f>
        <v>13530306.904736042</v>
      </c>
      <c r="E12" s="5">
        <f t="shared" ref="E12:E23" si="1">D12/B12</f>
        <v>1.7917945543362474E-2</v>
      </c>
      <c r="F12" s="24">
        <f>1 +(B12-G12)/G12</f>
        <v>1.0498270745113163</v>
      </c>
      <c r="G12" s="27">
        <f>SUM(H12:M12)</f>
        <v>719286098</v>
      </c>
      <c r="H12" s="190">
        <v>351037890</v>
      </c>
      <c r="I12" s="191">
        <v>96164282</v>
      </c>
      <c r="J12" s="191">
        <v>263763186</v>
      </c>
      <c r="K12" s="192">
        <v>276562</v>
      </c>
      <c r="L12" s="192">
        <v>7192541</v>
      </c>
      <c r="M12" s="195">
        <v>851637</v>
      </c>
    </row>
    <row r="13" spans="1:18" x14ac:dyDescent="0.25">
      <c r="A13">
        <f>'Purchased Power Model'!A201</f>
        <v>2004</v>
      </c>
      <c r="B13" s="6">
        <f>'Purchased Power Model'!B201</f>
        <v>757685752</v>
      </c>
      <c r="C13" s="6">
        <f>'Purchased Power Model'!S201</f>
        <v>757594250.17188394</v>
      </c>
      <c r="D13" s="37">
        <f t="shared" si="0"/>
        <v>-91501.828116059303</v>
      </c>
      <c r="E13" s="5">
        <f t="shared" si="1"/>
        <v>-1.2076487894160546E-4</v>
      </c>
      <c r="F13" s="24">
        <f t="shared" ref="F13:F23" si="2">1 +(B13-G13)/G13</f>
        <v>1.0417672113986574</v>
      </c>
      <c r="G13" s="27">
        <f t="shared" ref="G13:G26" si="3">SUM(H13:M13)</f>
        <v>727308120</v>
      </c>
      <c r="H13" s="190">
        <v>356490492</v>
      </c>
      <c r="I13" s="191">
        <v>95721847</v>
      </c>
      <c r="J13" s="191">
        <v>266586772</v>
      </c>
      <c r="K13" s="192">
        <v>291228</v>
      </c>
      <c r="L13" s="192">
        <v>7375127</v>
      </c>
      <c r="M13" s="195">
        <v>842654</v>
      </c>
    </row>
    <row r="14" spans="1:18" x14ac:dyDescent="0.25">
      <c r="A14">
        <f>'Purchased Power Model'!A202</f>
        <v>2005</v>
      </c>
      <c r="B14" s="6">
        <f>'Purchased Power Model'!B202</f>
        <v>749219032</v>
      </c>
      <c r="C14" s="6">
        <f>'Purchased Power Model'!S202</f>
        <v>750911727.29060423</v>
      </c>
      <c r="D14" s="37">
        <f t="shared" si="0"/>
        <v>1692695.2906042337</v>
      </c>
      <c r="E14" s="5">
        <f t="shared" si="1"/>
        <v>2.2592796209216343E-3</v>
      </c>
      <c r="F14" s="24">
        <f t="shared" si="2"/>
        <v>1.043794563850647</v>
      </c>
      <c r="G14" s="27">
        <f t="shared" si="3"/>
        <v>717783995</v>
      </c>
      <c r="H14" s="190">
        <v>347274259</v>
      </c>
      <c r="I14" s="191">
        <v>95591622</v>
      </c>
      <c r="J14" s="191">
        <v>266071754</v>
      </c>
      <c r="K14" s="192">
        <v>281406</v>
      </c>
      <c r="L14" s="192">
        <v>7719127</v>
      </c>
      <c r="M14" s="195">
        <v>845827</v>
      </c>
    </row>
    <row r="15" spans="1:18" x14ac:dyDescent="0.25">
      <c r="A15">
        <f>'Purchased Power Model'!A203</f>
        <v>2006</v>
      </c>
      <c r="B15" s="6">
        <f>'Purchased Power Model'!B203</f>
        <v>728093333</v>
      </c>
      <c r="C15" s="6">
        <f>'Purchased Power Model'!S203</f>
        <v>726441624.6923728</v>
      </c>
      <c r="D15" s="37">
        <f t="shared" si="0"/>
        <v>-1651708.3076272011</v>
      </c>
      <c r="E15" s="5">
        <f t="shared" si="1"/>
        <v>-2.2685392555671169E-3</v>
      </c>
      <c r="F15" s="193">
        <f t="shared" si="2"/>
        <v>1.0443992487285263</v>
      </c>
      <c r="G15" s="194">
        <f t="shared" si="3"/>
        <v>697140805</v>
      </c>
      <c r="H15" s="190">
        <v>335395539</v>
      </c>
      <c r="I15" s="191">
        <v>86770873</v>
      </c>
      <c r="J15" s="191">
        <v>266238407</v>
      </c>
      <c r="K15" s="192">
        <v>274009</v>
      </c>
      <c r="L15" s="192">
        <v>7605824</v>
      </c>
      <c r="M15" s="195">
        <v>856153</v>
      </c>
    </row>
    <row r="16" spans="1:18" x14ac:dyDescent="0.25">
      <c r="A16">
        <f>'Purchased Power Model'!A204</f>
        <v>2007</v>
      </c>
      <c r="B16" s="6">
        <f>'Purchased Power Model'!B204</f>
        <v>738093576</v>
      </c>
      <c r="C16" s="6">
        <f>'Purchased Power Model'!S204</f>
        <v>728638475.67092574</v>
      </c>
      <c r="D16" s="37">
        <f t="shared" si="0"/>
        <v>-9455100.3290742636</v>
      </c>
      <c r="E16" s="5">
        <f t="shared" si="1"/>
        <v>-1.2810164776551671E-2</v>
      </c>
      <c r="F16" s="24">
        <f t="shared" si="2"/>
        <v>1.0517138274108369</v>
      </c>
      <c r="G16" s="27">
        <f t="shared" si="3"/>
        <v>701800772</v>
      </c>
      <c r="H16" s="190">
        <v>338874337</v>
      </c>
      <c r="I16" s="191">
        <v>94225468</v>
      </c>
      <c r="J16" s="191">
        <v>259930403</v>
      </c>
      <c r="K16" s="192">
        <v>269054</v>
      </c>
      <c r="L16" s="192">
        <v>7637528</v>
      </c>
      <c r="M16" s="195">
        <v>863982</v>
      </c>
    </row>
    <row r="17" spans="1:18" x14ac:dyDescent="0.25">
      <c r="A17">
        <f>'Purchased Power Model'!A205</f>
        <v>2008</v>
      </c>
      <c r="B17" s="6">
        <f>'Purchased Power Model'!B205</f>
        <v>740966486</v>
      </c>
      <c r="C17" s="6">
        <f>'Purchased Power Model'!S205</f>
        <v>738275421.79925954</v>
      </c>
      <c r="D17" s="37">
        <f t="shared" si="0"/>
        <v>-2691064.2007404566</v>
      </c>
      <c r="E17" s="5">
        <f t="shared" si="1"/>
        <v>-3.6318298486990633E-3</v>
      </c>
      <c r="F17" s="24">
        <f>1 +(B17-G17)/G17</f>
        <v>1.0425888821121767</v>
      </c>
      <c r="G17" s="27">
        <f>SUM(H17:M17)</f>
        <v>710698626</v>
      </c>
      <c r="H17" s="190">
        <v>347363230</v>
      </c>
      <c r="I17" s="191">
        <v>93474158</v>
      </c>
      <c r="J17" s="191">
        <v>261123945</v>
      </c>
      <c r="K17" s="192">
        <v>268763</v>
      </c>
      <c r="L17" s="192">
        <v>7620205</v>
      </c>
      <c r="M17" s="195">
        <v>848325</v>
      </c>
    </row>
    <row r="18" spans="1:18" x14ac:dyDescent="0.25">
      <c r="A18">
        <f>'Purchased Power Model'!A206</f>
        <v>2009</v>
      </c>
      <c r="B18" s="6">
        <f>'Purchased Power Model'!B206</f>
        <v>732869984</v>
      </c>
      <c r="C18" s="6">
        <f>'Purchased Power Model'!S206</f>
        <v>737513680.63064003</v>
      </c>
      <c r="D18" s="37">
        <f t="shared" si="0"/>
        <v>4643696.6306400299</v>
      </c>
      <c r="E18" s="5">
        <f t="shared" si="1"/>
        <v>6.336317125849201E-3</v>
      </c>
      <c r="F18" s="24">
        <f t="shared" si="2"/>
        <v>1.0354829336126383</v>
      </c>
      <c r="G18" s="27">
        <f t="shared" si="3"/>
        <v>707756700</v>
      </c>
      <c r="H18" s="190">
        <v>348619359</v>
      </c>
      <c r="I18" s="191">
        <v>91450221</v>
      </c>
      <c r="J18" s="191">
        <v>258998141</v>
      </c>
      <c r="K18" s="192">
        <v>262522</v>
      </c>
      <c r="L18" s="192">
        <v>7603009</v>
      </c>
      <c r="M18" s="195">
        <v>823448</v>
      </c>
    </row>
    <row r="19" spans="1:18" x14ac:dyDescent="0.25">
      <c r="A19">
        <f>'Purchased Power Model'!A207</f>
        <v>2010</v>
      </c>
      <c r="B19" s="6">
        <f>'Purchased Power Model'!B207</f>
        <v>714199062</v>
      </c>
      <c r="C19" s="6">
        <f>'Purchased Power Model'!S207</f>
        <v>724028404.90524507</v>
      </c>
      <c r="D19" s="37">
        <f t="shared" si="0"/>
        <v>9829342.9052450657</v>
      </c>
      <c r="E19" s="5">
        <f t="shared" si="1"/>
        <v>1.3762749670546425E-2</v>
      </c>
      <c r="F19" s="24">
        <f t="shared" si="2"/>
        <v>1.0445204387280596</v>
      </c>
      <c r="G19" s="27">
        <f t="shared" si="3"/>
        <v>683757862</v>
      </c>
      <c r="H19" s="190">
        <v>326493714</v>
      </c>
      <c r="I19" s="191">
        <v>91377364</v>
      </c>
      <c r="J19" s="191">
        <v>257036820</v>
      </c>
      <c r="K19" s="192">
        <v>258147</v>
      </c>
      <c r="L19" s="192">
        <v>7754588</v>
      </c>
      <c r="M19" s="195">
        <v>837229</v>
      </c>
    </row>
    <row r="20" spans="1:18" x14ac:dyDescent="0.25">
      <c r="A20">
        <f>'Purchased Power Model'!A208</f>
        <v>2011</v>
      </c>
      <c r="B20" s="6">
        <f>'Purchased Power Model'!B208</f>
        <v>745049194</v>
      </c>
      <c r="C20" s="27">
        <f>'Purchased Power Model'!S208</f>
        <v>728744313.26114869</v>
      </c>
      <c r="D20" s="37">
        <f t="shared" si="0"/>
        <v>-16304880.738851309</v>
      </c>
      <c r="E20" s="5">
        <f t="shared" si="1"/>
        <v>-2.1884300889333366E-2</v>
      </c>
      <c r="F20" s="24">
        <f t="shared" si="2"/>
        <v>1.0465217405234657</v>
      </c>
      <c r="G20" s="27">
        <f>SUM(H20:M20)</f>
        <v>711929017</v>
      </c>
      <c r="H20" s="190">
        <v>345282279</v>
      </c>
      <c r="I20" s="191">
        <v>101728299</v>
      </c>
      <c r="J20" s="191">
        <v>255968368</v>
      </c>
      <c r="K20" s="192">
        <v>260362</v>
      </c>
      <c r="L20" s="192">
        <v>7814836</v>
      </c>
      <c r="M20" s="195">
        <v>874873</v>
      </c>
    </row>
    <row r="21" spans="1:18" x14ac:dyDescent="0.25">
      <c r="A21">
        <f>'Purchased Power Model'!A209</f>
        <v>2012</v>
      </c>
      <c r="B21" s="194">
        <f>'Purchased Power Model'!B209</f>
        <v>706953513</v>
      </c>
      <c r="C21" s="27">
        <f>'Purchased Power Model'!S209</f>
        <v>690424216.97638214</v>
      </c>
      <c r="D21" s="37">
        <f t="shared" si="0"/>
        <v>-16529296.023617864</v>
      </c>
      <c r="E21" s="5">
        <f t="shared" si="1"/>
        <v>-2.3381022542026557E-2</v>
      </c>
      <c r="F21" s="24">
        <f t="shared" si="2"/>
        <v>1.0446059893380324</v>
      </c>
      <c r="G21" s="27">
        <f t="shared" si="3"/>
        <v>676765709</v>
      </c>
      <c r="H21" s="67">
        <v>316127645</v>
      </c>
      <c r="I21" s="67">
        <v>97479014</v>
      </c>
      <c r="J21" s="67">
        <v>254314087</v>
      </c>
      <c r="K21" s="67">
        <v>246512</v>
      </c>
      <c r="L21" s="67">
        <v>7736459</v>
      </c>
      <c r="M21" s="67">
        <v>861992</v>
      </c>
    </row>
    <row r="22" spans="1:18" x14ac:dyDescent="0.25">
      <c r="A22">
        <f>'Purchased Power Model'!A210</f>
        <v>2013</v>
      </c>
      <c r="B22" s="194">
        <f>'Purchased Power Model'!B210</f>
        <v>730568311</v>
      </c>
      <c r="C22" s="27">
        <f>'Purchased Power Model'!S210</f>
        <v>713407470.02798212</v>
      </c>
      <c r="D22" s="37">
        <f t="shared" si="0"/>
        <v>-17160840.972017884</v>
      </c>
      <c r="E22" s="5">
        <f t="shared" si="1"/>
        <v>-2.3489714395808065E-2</v>
      </c>
      <c r="F22" s="24">
        <f t="shared" si="2"/>
        <v>1.0614958266693164</v>
      </c>
      <c r="G22" s="27">
        <f>SUM(H22:M22)</f>
        <v>688244167</v>
      </c>
      <c r="H22" s="67">
        <v>324185392</v>
      </c>
      <c r="I22" s="67">
        <v>95827695</v>
      </c>
      <c r="J22" s="67">
        <v>259048750</v>
      </c>
      <c r="K22" s="67">
        <v>237315</v>
      </c>
      <c r="L22" s="67">
        <v>8087592</v>
      </c>
      <c r="M22" s="67">
        <f>1447923-590500</f>
        <v>857423</v>
      </c>
    </row>
    <row r="23" spans="1:18" x14ac:dyDescent="0.25">
      <c r="A23">
        <f>'Purchased Power Model'!A211</f>
        <v>2014</v>
      </c>
      <c r="B23" s="194">
        <f>'Purchased Power Model'!B211</f>
        <v>730490284.99000001</v>
      </c>
      <c r="C23" s="27">
        <f>'Purchased Power Model'!S211</f>
        <v>737572548.30719113</v>
      </c>
      <c r="D23" s="37">
        <f t="shared" si="0"/>
        <v>7082263.317191124</v>
      </c>
      <c r="E23" s="5">
        <f t="shared" si="1"/>
        <v>9.6952190367433511E-3</v>
      </c>
      <c r="F23" s="24">
        <f t="shared" si="2"/>
        <v>1.0408170385773401</v>
      </c>
      <c r="G23" s="27">
        <f t="shared" si="3"/>
        <v>701843127</v>
      </c>
      <c r="H23" s="67">
        <v>334950383</v>
      </c>
      <c r="I23" s="67">
        <v>99153426</v>
      </c>
      <c r="J23" s="67">
        <v>258807830</v>
      </c>
      <c r="K23" s="67">
        <v>243349</v>
      </c>
      <c r="L23" s="67">
        <v>7812115</v>
      </c>
      <c r="M23" s="67">
        <v>876024</v>
      </c>
    </row>
    <row r="24" spans="1:18" x14ac:dyDescent="0.25">
      <c r="A24">
        <f>'Purchased Power Model'!A212</f>
        <v>2015</v>
      </c>
      <c r="B24" s="194">
        <f>'Purchased Power Model'!B212</f>
        <v>698517377.1099999</v>
      </c>
      <c r="C24" s="27">
        <f>'Purchased Power Model'!S212</f>
        <v>708683636.16478336</v>
      </c>
      <c r="D24" s="37">
        <f t="shared" si="0"/>
        <v>10166259.054783463</v>
      </c>
      <c r="E24" s="5">
        <f t="shared" ref="E24" si="4">D24/B24</f>
        <v>1.4554053181675564E-2</v>
      </c>
      <c r="F24" s="193">
        <f t="shared" ref="F24" si="5">1 +(B24-G24)/G24</f>
        <v>1.0435171705156632</v>
      </c>
      <c r="G24" s="27">
        <f t="shared" si="3"/>
        <v>669387526</v>
      </c>
      <c r="H24" s="67">
        <v>310458240</v>
      </c>
      <c r="I24" s="67">
        <v>95701162</v>
      </c>
      <c r="J24" s="67">
        <v>254784565</v>
      </c>
      <c r="K24" s="67">
        <v>235238</v>
      </c>
      <c r="L24" s="67">
        <v>7295612</v>
      </c>
      <c r="M24" s="67">
        <v>912709</v>
      </c>
    </row>
    <row r="25" spans="1:18" x14ac:dyDescent="0.25">
      <c r="A25">
        <f>'Purchased Power Model'!A213</f>
        <v>2016</v>
      </c>
      <c r="B25" s="6">
        <f>'Purchased Power Model'!B213</f>
        <v>669958461.73000014</v>
      </c>
      <c r="C25" s="27">
        <f>'Purchased Power Model'!S213</f>
        <v>675150954.70934606</v>
      </c>
      <c r="D25" s="37">
        <f t="shared" ref="D25" si="6">C25-B25</f>
        <v>5192492.9793459177</v>
      </c>
      <c r="E25" s="5">
        <f t="shared" ref="E25" si="7">D25/B25</f>
        <v>7.7504700305413019E-3</v>
      </c>
      <c r="F25" s="193">
        <f>1 +(B25-G25)/G25</f>
        <v>1.0519444996030285</v>
      </c>
      <c r="G25" s="27">
        <f t="shared" si="3"/>
        <v>636876243.92999995</v>
      </c>
      <c r="H25" s="67">
        <v>288746486.39999998</v>
      </c>
      <c r="I25" s="67">
        <v>92174996</v>
      </c>
      <c r="J25" s="67">
        <v>249955178</v>
      </c>
      <c r="K25" s="67">
        <v>227055.8</v>
      </c>
      <c r="L25" s="67">
        <v>4869277.0999999996</v>
      </c>
      <c r="M25" s="67">
        <f>1489410.2-586159.57</f>
        <v>903250.63</v>
      </c>
    </row>
    <row r="26" spans="1:18" x14ac:dyDescent="0.25">
      <c r="A26">
        <v>2017</v>
      </c>
      <c r="B26" s="194">
        <f>'Purchased Power Model'!B214</f>
        <v>652970473</v>
      </c>
      <c r="C26" s="194">
        <f>'Purchased Power Model'!S214</f>
        <v>664717808.31750035</v>
      </c>
      <c r="D26" s="37">
        <f t="shared" ref="D26" si="8">C26-B26</f>
        <v>11747335.317500353</v>
      </c>
      <c r="E26" s="5">
        <f t="shared" ref="E26" si="9">D26/B26</f>
        <v>1.7990607237611422E-2</v>
      </c>
      <c r="F26" s="193">
        <f>1 +(B26-G26)/G26</f>
        <v>1.0488769185235338</v>
      </c>
      <c r="G26" s="194">
        <f t="shared" si="3"/>
        <v>622542513.29999995</v>
      </c>
      <c r="H26" s="67">
        <v>282820546.89999998</v>
      </c>
      <c r="I26" s="67">
        <v>91035995.200000003</v>
      </c>
      <c r="J26" s="67">
        <v>245166375.80000001</v>
      </c>
      <c r="K26" s="67">
        <v>213661.2</v>
      </c>
      <c r="L26" s="67">
        <v>2398221.2999999998</v>
      </c>
      <c r="M26" s="67">
        <v>907712.9</v>
      </c>
      <c r="N26" s="158"/>
      <c r="O26" s="158"/>
      <c r="P26" s="158"/>
      <c r="Q26" s="158"/>
      <c r="R26" s="158"/>
    </row>
    <row r="27" spans="1:18" x14ac:dyDescent="0.25">
      <c r="A27">
        <v>2018</v>
      </c>
      <c r="B27" s="75">
        <f>'Purchased Power Model'!B215</f>
        <v>0</v>
      </c>
      <c r="C27" s="75">
        <f>'Purchased Power Model'!S215</f>
        <v>659540193.78788912</v>
      </c>
      <c r="D27" s="75"/>
      <c r="E27" s="75"/>
      <c r="F27" s="75"/>
      <c r="G27" s="75">
        <f>C27/F29</f>
        <v>630460282.03680384</v>
      </c>
      <c r="H27" s="75"/>
      <c r="I27" s="75"/>
      <c r="J27" s="75"/>
      <c r="K27" s="75"/>
      <c r="L27" s="75"/>
      <c r="M27" s="75"/>
      <c r="N27" s="158"/>
      <c r="O27" s="158"/>
      <c r="P27" s="158"/>
      <c r="Q27" s="158"/>
      <c r="R27" s="158"/>
    </row>
    <row r="28" spans="1:18" x14ac:dyDescent="0.25">
      <c r="H28" s="53"/>
      <c r="I28" s="53"/>
      <c r="J28" s="53"/>
      <c r="K28" s="53"/>
      <c r="L28" s="53"/>
      <c r="M28" s="53"/>
    </row>
    <row r="29" spans="1:18" x14ac:dyDescent="0.25">
      <c r="A29" s="18" t="s">
        <v>16</v>
      </c>
      <c r="C29" s="55"/>
      <c r="D29" s="64"/>
      <c r="F29" s="24">
        <f>AVERAGE(F12:F26)</f>
        <v>1.0461248909402159</v>
      </c>
    </row>
    <row r="30" spans="1:18" x14ac:dyDescent="0.25">
      <c r="C30" s="161"/>
      <c r="D30" s="64"/>
      <c r="K30" s="158"/>
      <c r="L30" s="158"/>
    </row>
    <row r="31" spans="1:18" x14ac:dyDescent="0.25">
      <c r="C31" s="55"/>
      <c r="F31" s="24"/>
    </row>
    <row r="32" spans="1:18" x14ac:dyDescent="0.25">
      <c r="A32" s="21" t="s">
        <v>18</v>
      </c>
      <c r="B32" s="12"/>
      <c r="N32" s="61"/>
    </row>
    <row r="35" spans="1:16" x14ac:dyDescent="0.25">
      <c r="H35" s="27"/>
      <c r="I35" s="27"/>
      <c r="J35" s="27"/>
      <c r="K35" s="27"/>
      <c r="L35" s="27"/>
      <c r="M35" s="27"/>
    </row>
    <row r="36" spans="1:16" x14ac:dyDescent="0.25">
      <c r="A36">
        <f t="shared" ref="A36:A49" si="10">A12</f>
        <v>2003</v>
      </c>
      <c r="H36" s="27">
        <f>H12/'Rate Class Customer Model'!B4</f>
        <v>12298.132357062781</v>
      </c>
      <c r="I36" s="27">
        <f>I12/'Rate Class Customer Model'!C4</f>
        <v>29772.223529411764</v>
      </c>
      <c r="J36" s="27">
        <f>J12/'Rate Class Customer Model'!D4</f>
        <v>629506.41050119337</v>
      </c>
      <c r="K36" s="27">
        <f>K12/'Rate Class Customer Model'!E4</f>
        <v>593.48068669527902</v>
      </c>
      <c r="L36" s="27">
        <f>L12/'Rate Class Customer Model'!F4</f>
        <v>834.49831767026342</v>
      </c>
      <c r="M36" s="194">
        <f>M12/'Rate Class Customer Model'!G4</f>
        <v>70969.75</v>
      </c>
    </row>
    <row r="37" spans="1:16" x14ac:dyDescent="0.25">
      <c r="A37">
        <f t="shared" si="10"/>
        <v>2004</v>
      </c>
      <c r="H37" s="27">
        <f>H13/'Rate Class Customer Model'!B5</f>
        <v>12482.160084033614</v>
      </c>
      <c r="I37" s="27">
        <f>I13/'Rate Class Customer Model'!C5</f>
        <v>29480.088389282413</v>
      </c>
      <c r="J37" s="27">
        <f>J13/'Rate Class Customer Model'!D5</f>
        <v>628742.38679245277</v>
      </c>
      <c r="K37" s="27">
        <f>K13/'Rate Class Customer Model'!E5</f>
        <v>624.95278969957087</v>
      </c>
      <c r="L37" s="27">
        <f>L13/'Rate Class Customer Model'!F5</f>
        <v>854.09693109438331</v>
      </c>
      <c r="M37" s="194">
        <f>M13/'Rate Class Customer Model'!G5</f>
        <v>44350.210526315786</v>
      </c>
    </row>
    <row r="38" spans="1:16" x14ac:dyDescent="0.25">
      <c r="A38">
        <f t="shared" si="10"/>
        <v>2005</v>
      </c>
      <c r="H38" s="27">
        <f>H14/'Rate Class Customer Model'!B6</f>
        <v>12152.654640257559</v>
      </c>
      <c r="I38" s="27">
        <f>I14/'Rate Class Customer Model'!C6</f>
        <v>29197.196701282835</v>
      </c>
      <c r="J38" s="27">
        <f>J14/'Rate Class Customer Model'!D6</f>
        <v>617335.85614849185</v>
      </c>
      <c r="K38" s="27">
        <f>K14/'Rate Class Customer Model'!E6</f>
        <v>613.0849673202614</v>
      </c>
      <c r="L38" s="27">
        <f>L14/'Rate Class Customer Model'!F6</f>
        <v>893.2107151122425</v>
      </c>
      <c r="M38" s="194">
        <f>M14/'Rate Class Customer Model'!G6</f>
        <v>31326.925925925927</v>
      </c>
    </row>
    <row r="39" spans="1:16" x14ac:dyDescent="0.25">
      <c r="A39">
        <f t="shared" si="10"/>
        <v>2006</v>
      </c>
      <c r="H39" s="27">
        <f>H15/'Rate Class Customer Model'!B7</f>
        <v>11728.757133864876</v>
      </c>
      <c r="I39" s="27">
        <f>I15/'Rate Class Customer Model'!C7</f>
        <v>26286.238412602241</v>
      </c>
      <c r="J39" s="27">
        <f>J15/'Rate Class Customer Model'!D7</f>
        <v>616292.60879629629</v>
      </c>
      <c r="K39" s="27">
        <f>K15/'Rate Class Customer Model'!E7</f>
        <v>610.26503340757233</v>
      </c>
      <c r="L39" s="27">
        <f>L15/'Rate Class Customer Model'!F7</f>
        <v>877.96652429874177</v>
      </c>
      <c r="M39" s="194">
        <f>M15/'Rate Class Customer Model'!G7</f>
        <v>30576.892857142859</v>
      </c>
    </row>
    <row r="40" spans="1:16" x14ac:dyDescent="0.25">
      <c r="A40">
        <f t="shared" si="10"/>
        <v>2007</v>
      </c>
      <c r="H40" s="27">
        <f>H16/'Rate Class Customer Model'!B8</f>
        <v>11836.337303527767</v>
      </c>
      <c r="I40" s="27">
        <f>I16/'Rate Class Customer Model'!C8</f>
        <v>28535.877649909147</v>
      </c>
      <c r="J40" s="27">
        <f>J16/'Rate Class Customer Model'!D8</f>
        <v>605898.37529137533</v>
      </c>
      <c r="K40" s="27">
        <f>K16/'Rate Class Customer Model'!E8</f>
        <v>607.34537246049661</v>
      </c>
      <c r="L40" s="27">
        <f>L16/'Rate Class Customer Model'!F8</f>
        <v>877.17101182956242</v>
      </c>
      <c r="M40" s="27">
        <f>M16/'Rate Class Customer Model'!G8</f>
        <v>31999.333333333332</v>
      </c>
    </row>
    <row r="41" spans="1:16" x14ac:dyDescent="0.25">
      <c r="A41">
        <f t="shared" si="10"/>
        <v>2008</v>
      </c>
      <c r="F41" s="24"/>
      <c r="H41" s="27">
        <f>H17/'Rate Class Customer Model'!B9</f>
        <v>12069.604933981931</v>
      </c>
      <c r="I41" s="27">
        <f>I17/'Rate Class Customer Model'!C9</f>
        <v>28112.528721804512</v>
      </c>
      <c r="J41" s="27">
        <f>J17/'Rate Class Customer Model'!D9</f>
        <v>612967.00704225351</v>
      </c>
      <c r="K41" s="27">
        <f>K17/'Rate Class Customer Model'!E9</f>
        <v>617.84597701149426</v>
      </c>
      <c r="L41" s="27">
        <f>L17/'Rate Class Customer Model'!F9</f>
        <v>871.77725660679562</v>
      </c>
      <c r="M41" s="27">
        <f>M17/'Rate Class Customer Model'!G9</f>
        <v>38560.227272727272</v>
      </c>
    </row>
    <row r="42" spans="1:16" x14ac:dyDescent="0.25">
      <c r="A42">
        <f t="shared" si="10"/>
        <v>2009</v>
      </c>
      <c r="F42" s="24"/>
      <c r="H42" s="27">
        <f>H18/'Rate Class Customer Model'!B10</f>
        <v>12033.390597494046</v>
      </c>
      <c r="I42" s="27">
        <f>I18/'Rate Class Customer Model'!C10</f>
        <v>27282.285501193317</v>
      </c>
      <c r="J42" s="27">
        <f>J18/'Rate Class Customer Model'!D10</f>
        <v>598148.13163972285</v>
      </c>
      <c r="K42" s="27">
        <f>K18/'Rate Class Customer Model'!E10</f>
        <v>620.61938534278954</v>
      </c>
      <c r="L42" s="27">
        <f>L18/'Rate Class Customer Model'!F10</f>
        <v>864.07648596431409</v>
      </c>
      <c r="M42" s="27">
        <f>M18/'Rate Class Customer Model'!G10</f>
        <v>48438.117647058825</v>
      </c>
    </row>
    <row r="43" spans="1:16" x14ac:dyDescent="0.25">
      <c r="A43">
        <f t="shared" si="10"/>
        <v>2010</v>
      </c>
      <c r="F43" s="24"/>
      <c r="H43" s="27">
        <f>H19/'Rate Class Customer Model'!B11</f>
        <v>11236.318752796227</v>
      </c>
      <c r="I43" s="27">
        <f>I19/'Rate Class Customer Model'!C11</f>
        <v>27317.597608370703</v>
      </c>
      <c r="J43" s="27">
        <f>J19/'Rate Class Customer Model'!D11</f>
        <v>590889.24137931038</v>
      </c>
      <c r="K43" s="27">
        <f>K19/'Rate Class Customer Model'!E11</f>
        <v>628.09489051094886</v>
      </c>
      <c r="L43" s="27">
        <f>L19/'Rate Class Customer Model'!F11</f>
        <v>876.62084557992318</v>
      </c>
      <c r="M43" s="27">
        <f>M19/'Rate Class Customer Model'!G11</f>
        <v>52326.8125</v>
      </c>
    </row>
    <row r="44" spans="1:16" x14ac:dyDescent="0.25">
      <c r="A44">
        <f t="shared" si="10"/>
        <v>2011</v>
      </c>
      <c r="F44" s="24"/>
      <c r="H44" s="27">
        <f>H20/'Rate Class Customer Model'!B12</f>
        <v>11855.592604037907</v>
      </c>
      <c r="I44" s="27">
        <f>I20/'Rate Class Customer Model'!C12</f>
        <v>30222.311051693403</v>
      </c>
      <c r="J44" s="27">
        <f>J20/'Rate Class Customer Model'!D12</f>
        <v>635157.2406947891</v>
      </c>
      <c r="K44" s="27">
        <f>K20/'Rate Class Customer Model'!E12</f>
        <v>647.66666666666663</v>
      </c>
      <c r="L44" s="27">
        <f>L20/'Rate Class Customer Model'!F12</f>
        <v>883.43160750621746</v>
      </c>
      <c r="M44" s="27">
        <f>M20/'Rate Class Customer Model'!G12</f>
        <v>46045.947368421053</v>
      </c>
    </row>
    <row r="45" spans="1:16" x14ac:dyDescent="0.25">
      <c r="A45">
        <f t="shared" si="10"/>
        <v>2012</v>
      </c>
      <c r="F45" s="24"/>
      <c r="H45" s="27">
        <f>H21/'Rate Class Customer Model'!B13</f>
        <v>10779.406178606745</v>
      </c>
      <c r="I45" s="27">
        <f>I21/'Rate Class Customer Model'!C13</f>
        <v>28271.175754060325</v>
      </c>
      <c r="J45" s="27">
        <f>J21/'Rate Class Customer Model'!D13</f>
        <v>694847.23224043718</v>
      </c>
      <c r="K45" s="27">
        <f>K21/'Rate Class Customer Model'!E13</f>
        <v>628.85714285714289</v>
      </c>
      <c r="L45" s="27">
        <f>L21/'Rate Class Customer Model'!F13</f>
        <v>874.57144472077778</v>
      </c>
      <c r="M45" s="27">
        <f>M21/'Rate Class Customer Model'!G13</f>
        <v>41047.238095238092</v>
      </c>
      <c r="P45" s="25"/>
    </row>
    <row r="46" spans="1:16" x14ac:dyDescent="0.25">
      <c r="A46">
        <f t="shared" si="10"/>
        <v>2013</v>
      </c>
      <c r="F46" s="24"/>
      <c r="H46" s="27">
        <f>H22/'Rate Class Customer Model'!B14</f>
        <v>10987.845444685467</v>
      </c>
      <c r="I46" s="27">
        <f>I22/'Rate Class Customer Model'!C14</f>
        <v>27584.253022452504</v>
      </c>
      <c r="J46" s="27">
        <f>J22/'Rate Class Customer Model'!D14</f>
        <v>694500.67024128686</v>
      </c>
      <c r="K46" s="27">
        <f>K22/'Rate Class Customer Model'!E14</f>
        <v>634.5320855614973</v>
      </c>
      <c r="L46" s="27">
        <f>L22/'Rate Class Customer Model'!F14</f>
        <v>914.26543070314267</v>
      </c>
      <c r="M46" s="27">
        <f>M22/'Rate Class Customer Model'!G14</f>
        <v>40829.666666666664</v>
      </c>
      <c r="P46" s="25"/>
    </row>
    <row r="47" spans="1:16" x14ac:dyDescent="0.25">
      <c r="A47">
        <f t="shared" si="10"/>
        <v>2014</v>
      </c>
      <c r="F47" s="24"/>
      <c r="H47" s="27">
        <f>H23/'Rate Class Customer Model'!B15</f>
        <v>11348.864369451785</v>
      </c>
      <c r="I47" s="27">
        <f>I23/'Rate Class Customer Model'!C15</f>
        <v>28623.968244803695</v>
      </c>
      <c r="J47" s="27">
        <f>J23/'Rate Class Customer Model'!D15</f>
        <v>699480.62162162166</v>
      </c>
      <c r="K47" s="27">
        <f>K23/'Rate Class Customer Model'!E15</f>
        <v>672.23480662983422</v>
      </c>
      <c r="L47" s="27">
        <f>L23/'Rate Class Customer Model'!F15</f>
        <v>883.12401085236263</v>
      </c>
      <c r="M47" s="27">
        <f>M23/'Rate Class Customer Model'!G15</f>
        <v>41715.428571428572</v>
      </c>
      <c r="P47" s="25"/>
    </row>
    <row r="48" spans="1:16" x14ac:dyDescent="0.25">
      <c r="A48">
        <f t="shared" si="10"/>
        <v>2015</v>
      </c>
      <c r="H48" s="194">
        <f>H24/'Rate Class Customer Model'!B16</f>
        <v>10500.515456943787</v>
      </c>
      <c r="I48" s="194">
        <f>I24/'Rate Class Customer Model'!C16</f>
        <v>27893.081317400174</v>
      </c>
      <c r="J48" s="194">
        <f>J24/'Rate Class Customer Model'!D16</f>
        <v>683068.53887399461</v>
      </c>
      <c r="K48" s="194">
        <f>K24/'Rate Class Customer Model'!E16</f>
        <v>653.43888888888887</v>
      </c>
      <c r="L48" s="194">
        <f>L24/'Rate Class Customer Model'!F16</f>
        <v>825.38884489195607</v>
      </c>
      <c r="M48" s="194">
        <f>M24/'Rate Class Customer Model'!G16</f>
        <v>43462.333333333336</v>
      </c>
    </row>
    <row r="49" spans="1:15" x14ac:dyDescent="0.25">
      <c r="A49">
        <f t="shared" si="10"/>
        <v>2016</v>
      </c>
      <c r="H49" s="194">
        <f>H25/'Rate Class Customer Model'!B17</f>
        <v>9748.3621336934502</v>
      </c>
      <c r="I49" s="194">
        <f>I25/'Rate Class Customer Model'!C17</f>
        <v>26999.120093731693</v>
      </c>
      <c r="J49" s="194">
        <f>J25/'Rate Class Customer Model'!D17</f>
        <v>692396.6149584488</v>
      </c>
      <c r="K49" s="194">
        <f>K25/'Rate Class Customer Model'!E17</f>
        <v>627.22596685082874</v>
      </c>
      <c r="L49" s="194">
        <f>L25/'Rate Class Customer Model'!F17</f>
        <v>548.83646302975649</v>
      </c>
      <c r="M49" s="194">
        <f>M25/'Rate Class Customer Model'!G17</f>
        <v>43011.934761904762</v>
      </c>
    </row>
    <row r="50" spans="1:15" x14ac:dyDescent="0.25">
      <c r="A50">
        <v>2017</v>
      </c>
      <c r="H50" s="194">
        <f>H26/'Rate Class Customer Model'!B18</f>
        <v>9513.28826734838</v>
      </c>
      <c r="I50" s="194">
        <f>I26/'Rate Class Customer Model'!C18</f>
        <v>26642.082294410302</v>
      </c>
      <c r="J50" s="194">
        <f>J26/'Rate Class Customer Model'!D18</f>
        <v>679131.23490304709</v>
      </c>
      <c r="K50" s="194">
        <f>K26/'Rate Class Customer Model'!E18</f>
        <v>591.85927977839333</v>
      </c>
      <c r="L50" s="194">
        <f>L26/'Rate Class Customer Model'!F18</f>
        <v>297.17736059479552</v>
      </c>
      <c r="M50" s="194">
        <f>M26/'Rate Class Customer Model'!G18</f>
        <v>43224.423809523811</v>
      </c>
    </row>
    <row r="51" spans="1:15" x14ac:dyDescent="0.25">
      <c r="A51" s="38">
        <v>2018</v>
      </c>
      <c r="D51" s="6"/>
      <c r="H51" s="194">
        <f t="shared" ref="H51:M51" si="11">+H50*H68</f>
        <v>9513.28826734838</v>
      </c>
      <c r="I51" s="194">
        <f t="shared" si="11"/>
        <v>26642.082294410302</v>
      </c>
      <c r="J51" s="194">
        <f t="shared" si="11"/>
        <v>679131.23490304709</v>
      </c>
      <c r="K51" s="194">
        <f t="shared" si="11"/>
        <v>591.85927977839333</v>
      </c>
      <c r="L51" s="194">
        <f t="shared" si="11"/>
        <v>297.17736059479552</v>
      </c>
      <c r="M51" s="194">
        <f t="shared" si="11"/>
        <v>43224.423809523811</v>
      </c>
    </row>
    <row r="52" spans="1:15" x14ac:dyDescent="0.25">
      <c r="A52" s="38"/>
      <c r="D52" s="6"/>
      <c r="H52" s="25"/>
      <c r="I52" s="25"/>
      <c r="J52" s="25"/>
      <c r="K52" s="25"/>
      <c r="L52" s="25"/>
      <c r="M52" s="25"/>
    </row>
    <row r="53" spans="1:15" x14ac:dyDescent="0.25">
      <c r="A53" s="38">
        <f t="shared" ref="A53:A64" si="12">A36</f>
        <v>2003</v>
      </c>
      <c r="D53" s="6"/>
      <c r="H53" s="25"/>
      <c r="I53" s="25"/>
      <c r="J53" s="25"/>
      <c r="K53" s="25"/>
      <c r="L53" s="25"/>
      <c r="M53" s="25"/>
    </row>
    <row r="54" spans="1:15" x14ac:dyDescent="0.25">
      <c r="A54" s="38">
        <f t="shared" si="12"/>
        <v>2004</v>
      </c>
      <c r="D54" s="6"/>
      <c r="H54" s="25">
        <f t="shared" ref="H54:M60" si="13">H37/H36</f>
        <v>1.0149638759469966</v>
      </c>
      <c r="I54" s="25">
        <f t="shared" si="13"/>
        <v>0.99018766133336489</v>
      </c>
      <c r="J54" s="25">
        <f t="shared" si="13"/>
        <v>0.99878631306052579</v>
      </c>
      <c r="K54" s="25">
        <f t="shared" si="13"/>
        <v>1.0530297003926787</v>
      </c>
      <c r="L54" s="25">
        <f t="shared" si="13"/>
        <v>1.0234855038160351</v>
      </c>
      <c r="M54" s="25">
        <f t="shared" ref="M54" si="14">M37/M36</f>
        <v>0.62491710237553022</v>
      </c>
    </row>
    <row r="55" spans="1:15" x14ac:dyDescent="0.25">
      <c r="A55" s="38">
        <f t="shared" si="12"/>
        <v>2005</v>
      </c>
      <c r="D55" s="6"/>
      <c r="H55" s="25">
        <f t="shared" si="13"/>
        <v>0.97360188929177904</v>
      </c>
      <c r="I55" s="25">
        <f t="shared" si="13"/>
        <v>0.99040397422612803</v>
      </c>
      <c r="J55" s="25">
        <f t="shared" si="13"/>
        <v>0.98185818089638954</v>
      </c>
      <c r="K55" s="25">
        <f t="shared" si="13"/>
        <v>0.98101004975909523</v>
      </c>
      <c r="L55" s="25">
        <f t="shared" si="13"/>
        <v>1.0457954859616945</v>
      </c>
      <c r="M55" s="25">
        <f t="shared" ref="M55" si="15">M38/M37</f>
        <v>0.70635348861168723</v>
      </c>
    </row>
    <row r="56" spans="1:15" x14ac:dyDescent="0.25">
      <c r="A56" s="38">
        <f t="shared" si="12"/>
        <v>2006</v>
      </c>
      <c r="D56" s="6"/>
      <c r="H56" s="25">
        <f t="shared" si="13"/>
        <v>0.96511893747161581</v>
      </c>
      <c r="I56" s="25">
        <f t="shared" si="13"/>
        <v>0.9003000761181742</v>
      </c>
      <c r="J56" s="25">
        <f t="shared" si="13"/>
        <v>0.99831008138956279</v>
      </c>
      <c r="K56" s="25">
        <f t="shared" si="13"/>
        <v>0.99540041908870358</v>
      </c>
      <c r="L56" s="25">
        <f t="shared" si="13"/>
        <v>0.98293326473184428</v>
      </c>
      <c r="M56" s="25">
        <f t="shared" ref="M56" si="16">M39/M38</f>
        <v>0.97605787843478298</v>
      </c>
    </row>
    <row r="57" spans="1:15" x14ac:dyDescent="0.25">
      <c r="A57" s="38">
        <f t="shared" si="12"/>
        <v>2007</v>
      </c>
      <c r="D57" s="6"/>
      <c r="H57" s="25">
        <f t="shared" si="13"/>
        <v>1.0091723418291501</v>
      </c>
      <c r="I57" s="25">
        <f t="shared" si="13"/>
        <v>1.0855823949397179</v>
      </c>
      <c r="J57" s="25">
        <f t="shared" si="13"/>
        <v>0.98313425577953573</v>
      </c>
      <c r="K57" s="25">
        <f t="shared" si="13"/>
        <v>0.99521574924459777</v>
      </c>
      <c r="L57" s="25">
        <f t="shared" si="13"/>
        <v>0.99909391480522025</v>
      </c>
      <c r="M57" s="25">
        <f t="shared" ref="M57" si="17">M40/M39</f>
        <v>1.0465201118647407</v>
      </c>
    </row>
    <row r="58" spans="1:15" x14ac:dyDescent="0.25">
      <c r="A58" s="38">
        <f t="shared" si="12"/>
        <v>2008</v>
      </c>
      <c r="D58" s="6"/>
      <c r="H58" s="25">
        <f t="shared" si="13"/>
        <v>1.0197077545588904</v>
      </c>
      <c r="I58" s="25">
        <f t="shared" si="13"/>
        <v>0.9851643277526464</v>
      </c>
      <c r="J58" s="25">
        <f t="shared" si="13"/>
        <v>1.0116663652505733</v>
      </c>
      <c r="K58" s="25">
        <f t="shared" si="13"/>
        <v>1.0172893464363733</v>
      </c>
      <c r="L58" s="25">
        <f t="shared" si="13"/>
        <v>0.9938509650341536</v>
      </c>
      <c r="M58" s="25">
        <f t="shared" ref="M58" si="18">M41/M40</f>
        <v>1.2050322071103754</v>
      </c>
    </row>
    <row r="59" spans="1:15" x14ac:dyDescent="0.25">
      <c r="A59" s="38">
        <f t="shared" si="12"/>
        <v>2009</v>
      </c>
      <c r="D59" s="6"/>
      <c r="H59" s="25">
        <f t="shared" si="13"/>
        <v>0.99699954251311707</v>
      </c>
      <c r="I59" s="25">
        <f t="shared" si="13"/>
        <v>0.9704671454913536</v>
      </c>
      <c r="J59" s="25">
        <f t="shared" si="13"/>
        <v>0.97582435068726436</v>
      </c>
      <c r="K59" s="25">
        <f t="shared" si="13"/>
        <v>1.0044888344902887</v>
      </c>
      <c r="L59" s="25">
        <f t="shared" si="13"/>
        <v>0.99116658460160445</v>
      </c>
      <c r="M59" s="25">
        <f t="shared" si="13"/>
        <v>1.2561678463269315</v>
      </c>
    </row>
    <row r="60" spans="1:15" x14ac:dyDescent="0.25">
      <c r="A60" s="38">
        <f t="shared" si="12"/>
        <v>2010</v>
      </c>
      <c r="D60" s="6"/>
      <c r="H60" s="25">
        <f t="shared" si="13"/>
        <v>0.93376165776054765</v>
      </c>
      <c r="I60" s="25">
        <f t="shared" si="13"/>
        <v>1.001294323643664</v>
      </c>
      <c r="J60" s="25">
        <f t="shared" si="13"/>
        <v>0.98786439365694678</v>
      </c>
      <c r="K60" s="25">
        <f t="shared" si="13"/>
        <v>1.012045233108583</v>
      </c>
      <c r="L60" s="25">
        <f t="shared" si="13"/>
        <v>1.0145176495592396</v>
      </c>
      <c r="M60" s="25">
        <f t="shared" ref="M60" si="19">M43/M42</f>
        <v>1.0802817087417784</v>
      </c>
    </row>
    <row r="61" spans="1:15" x14ac:dyDescent="0.25">
      <c r="A61" s="38">
        <f t="shared" si="12"/>
        <v>2011</v>
      </c>
      <c r="D61" s="6"/>
      <c r="H61" s="25">
        <f t="shared" ref="H61:M61" si="20">H44/H43</f>
        <v>1.0551135887888166</v>
      </c>
      <c r="I61" s="25">
        <f t="shared" si="20"/>
        <v>1.1063312186146499</v>
      </c>
      <c r="J61" s="25">
        <f t="shared" si="20"/>
        <v>1.0749175923598544</v>
      </c>
      <c r="K61" s="25">
        <f t="shared" si="20"/>
        <v>1.0311605403123028</v>
      </c>
      <c r="L61" s="25">
        <f t="shared" si="20"/>
        <v>1.0077693360369371</v>
      </c>
      <c r="M61" s="25">
        <f t="shared" si="20"/>
        <v>0.87996851267065146</v>
      </c>
    </row>
    <row r="62" spans="1:15" x14ac:dyDescent="0.25">
      <c r="A62" s="38">
        <f t="shared" si="12"/>
        <v>2012</v>
      </c>
      <c r="D62" s="6"/>
      <c r="H62" s="25">
        <f t="shared" ref="H62:M62" si="21">H45/H44</f>
        <v>0.90922542116835026</v>
      </c>
      <c r="I62" s="25">
        <f t="shared" si="21"/>
        <v>0.93544056593502123</v>
      </c>
      <c r="J62" s="25">
        <f t="shared" si="21"/>
        <v>1.0939767158764562</v>
      </c>
      <c r="K62" s="25">
        <f t="shared" si="21"/>
        <v>0.97095801779280944</v>
      </c>
      <c r="L62" s="25">
        <f t="shared" si="21"/>
        <v>0.98997074282812847</v>
      </c>
      <c r="M62" s="25">
        <f t="shared" si="21"/>
        <v>0.89144084205310226</v>
      </c>
      <c r="O62" s="72"/>
    </row>
    <row r="63" spans="1:15" x14ac:dyDescent="0.25">
      <c r="A63" s="38">
        <f t="shared" si="12"/>
        <v>2013</v>
      </c>
      <c r="D63" s="6"/>
      <c r="H63" s="25">
        <f>H46/H45</f>
        <v>1.0193368041453339</v>
      </c>
      <c r="I63" s="25">
        <f t="shared" ref="I63:M63" si="22">I46/I45</f>
        <v>0.97570236421776113</v>
      </c>
      <c r="J63" s="25">
        <f t="shared" si="22"/>
        <v>0.99950124000921348</v>
      </c>
      <c r="K63" s="25">
        <f t="shared" si="22"/>
        <v>1.0090242160223719</v>
      </c>
      <c r="L63" s="25">
        <f t="shared" si="22"/>
        <v>1.0453867848326992</v>
      </c>
      <c r="M63" s="25">
        <f t="shared" si="22"/>
        <v>0.99469948677017883</v>
      </c>
      <c r="O63" s="25"/>
    </row>
    <row r="64" spans="1:15" x14ac:dyDescent="0.25">
      <c r="A64" s="38">
        <f t="shared" si="12"/>
        <v>2014</v>
      </c>
      <c r="D64" s="6"/>
      <c r="H64" s="25">
        <f>H47/H46</f>
        <v>1.0328562070320104</v>
      </c>
      <c r="I64" s="25">
        <f t="shared" ref="I64:M66" si="23">I47/I46</f>
        <v>1.0376923464813386</v>
      </c>
      <c r="J64" s="25">
        <f t="shared" si="23"/>
        <v>1.0071705494230907</v>
      </c>
      <c r="K64" s="25">
        <f t="shared" si="23"/>
        <v>1.0594181475235784</v>
      </c>
      <c r="L64" s="25">
        <f t="shared" si="23"/>
        <v>0.96593831637402083</v>
      </c>
      <c r="M64" s="25">
        <f t="shared" si="23"/>
        <v>1.0216940763193898</v>
      </c>
      <c r="O64" s="25"/>
    </row>
    <row r="65" spans="1:22" x14ac:dyDescent="0.25">
      <c r="A65" s="38">
        <v>2015</v>
      </c>
      <c r="B65" s="198"/>
      <c r="C65" s="198"/>
      <c r="D65" s="158"/>
      <c r="E65" s="198"/>
      <c r="F65" s="198"/>
      <c r="G65" s="158"/>
      <c r="H65" s="25">
        <f>H48/H47</f>
        <v>0.92524812308167725</v>
      </c>
      <c r="I65" s="25">
        <f t="shared" si="23"/>
        <v>0.97446591188361165</v>
      </c>
      <c r="J65" s="25">
        <f t="shared" si="23"/>
        <v>0.97653675850293242</v>
      </c>
      <c r="K65" s="25">
        <f t="shared" si="23"/>
        <v>0.97203965406793447</v>
      </c>
      <c r="L65" s="25">
        <f t="shared" si="23"/>
        <v>0.93462394267291804</v>
      </c>
      <c r="M65" s="25">
        <f t="shared" si="23"/>
        <v>1.0418767065742491</v>
      </c>
      <c r="N65" s="158"/>
      <c r="O65" s="25"/>
      <c r="P65" s="158"/>
      <c r="Q65" s="158"/>
      <c r="R65" s="158"/>
    </row>
    <row r="66" spans="1:22" x14ac:dyDescent="0.25">
      <c r="A66" s="38">
        <v>2016</v>
      </c>
      <c r="B66" s="198"/>
      <c r="C66" s="198"/>
      <c r="D66" s="158"/>
      <c r="E66" s="198"/>
      <c r="F66" s="198"/>
      <c r="G66" s="158"/>
      <c r="H66" s="25">
        <f>H49/H48</f>
        <v>0.92836986657136411</v>
      </c>
      <c r="I66" s="25">
        <f t="shared" si="23"/>
        <v>0.96795043138131842</v>
      </c>
      <c r="J66" s="25">
        <f t="shared" si="23"/>
        <v>1.0136561348584889</v>
      </c>
      <c r="K66" s="25">
        <f t="shared" si="23"/>
        <v>0.95988466177360099</v>
      </c>
      <c r="L66" s="25">
        <f t="shared" si="23"/>
        <v>0.66494291318124066</v>
      </c>
      <c r="M66" s="25">
        <f t="shared" si="23"/>
        <v>0.98963703655820201</v>
      </c>
      <c r="N66" s="158"/>
      <c r="O66" s="25"/>
      <c r="P66" s="158"/>
      <c r="Q66" s="158"/>
      <c r="R66" s="158"/>
    </row>
    <row r="67" spans="1:22" x14ac:dyDescent="0.25">
      <c r="A67" s="3"/>
      <c r="D67" s="6"/>
      <c r="E67" s="6"/>
      <c r="F67" s="6"/>
    </row>
    <row r="68" spans="1:22" x14ac:dyDescent="0.25">
      <c r="A68" t="s">
        <v>21</v>
      </c>
      <c r="D68" s="6"/>
      <c r="H68" s="25">
        <v>1</v>
      </c>
      <c r="I68" s="25">
        <v>1</v>
      </c>
      <c r="J68" s="25">
        <v>1</v>
      </c>
      <c r="K68" s="25">
        <v>1</v>
      </c>
      <c r="L68" s="25">
        <v>1</v>
      </c>
      <c r="M68" s="25">
        <v>1</v>
      </c>
    </row>
    <row r="69" spans="1:22" x14ac:dyDescent="0.25">
      <c r="A69" s="3"/>
      <c r="D69" s="6"/>
      <c r="H69" s="12"/>
      <c r="I69" s="12"/>
      <c r="K69" s="11"/>
      <c r="L69" s="11"/>
      <c r="M69" s="11"/>
    </row>
    <row r="70" spans="1:22" x14ac:dyDescent="0.25">
      <c r="A70" t="s">
        <v>17</v>
      </c>
      <c r="D70" s="6"/>
      <c r="H70" s="25">
        <f>GEOMEAN(H54:H66)</f>
        <v>0.98228584081936232</v>
      </c>
      <c r="I70" s="25">
        <f t="shared" ref="I70:L70" si="24">GEOMEAN(I54:I66)</f>
        <v>0.99250731989097052</v>
      </c>
      <c r="J70" s="25">
        <f t="shared" si="24"/>
        <v>1.0073517305192901</v>
      </c>
      <c r="K70" s="25">
        <f t="shared" si="24"/>
        <v>1.0042630763406732</v>
      </c>
      <c r="L70" s="25">
        <f t="shared" si="24"/>
        <v>0.96828085609375492</v>
      </c>
      <c r="M70" s="25">
        <f>GEOMEAN(M54:M66)</f>
        <v>0.96221126862615247</v>
      </c>
      <c r="O70" s="25"/>
      <c r="S70" s="57">
        <f>AVERAGE(L12:L25)</f>
        <v>7437417.1499999994</v>
      </c>
      <c r="T70" s="106" t="s">
        <v>278</v>
      </c>
    </row>
    <row r="71" spans="1:22" x14ac:dyDescent="0.25">
      <c r="D71" s="6"/>
      <c r="H71" s="25"/>
      <c r="I71" s="25"/>
      <c r="J71" s="25"/>
      <c r="K71" s="25"/>
      <c r="L71" s="25"/>
      <c r="M71" s="25"/>
    </row>
    <row r="72" spans="1:22" x14ac:dyDescent="0.25">
      <c r="A72" s="18" t="s">
        <v>47</v>
      </c>
    </row>
    <row r="73" spans="1:22" x14ac:dyDescent="0.25">
      <c r="A73" s="18">
        <v>2018</v>
      </c>
      <c r="B73" s="198"/>
      <c r="C73" s="198"/>
      <c r="D73" s="198"/>
      <c r="E73" s="198"/>
      <c r="F73" s="198"/>
      <c r="G73" s="158">
        <f>SUM(H73:M73)</f>
        <v>621362339.37523508</v>
      </c>
      <c r="H73" s="158">
        <f>H51*'Rate Class Customer Model'!B19</f>
        <v>283643461.61472178</v>
      </c>
      <c r="I73" s="158">
        <f>I51*'Rate Class Customer Model'!C19+192360</f>
        <v>91595061.933817983</v>
      </c>
      <c r="J73" s="158">
        <f>J51*'Rate Class Customer Model'!D19</f>
        <v>242571062.95680615</v>
      </c>
      <c r="K73" s="158">
        <f>K51*'Rate Class Customer Model'!E19</f>
        <v>209800.13099560147</v>
      </c>
      <c r="L73" s="158">
        <f>L51*'Rate Class Customer Model'!F19</f>
        <v>2398221.2999999998</v>
      </c>
      <c r="M73" s="158">
        <f>(M51*'Rate Class Customer Model'!G19)</f>
        <v>944731.43889360514</v>
      </c>
      <c r="N73" s="158"/>
      <c r="O73" s="158"/>
      <c r="P73" s="158"/>
      <c r="Q73" s="158"/>
      <c r="R73" s="158"/>
      <c r="S73" s="57">
        <f>L73-S70</f>
        <v>-5039195.8499999996</v>
      </c>
      <c r="T73" s="57">
        <f>S73*F29</f>
        <v>-5271628.2090076385</v>
      </c>
      <c r="U73" s="57">
        <f>T73/12</f>
        <v>-439302.35075063654</v>
      </c>
      <c r="V73" s="106" t="s">
        <v>279</v>
      </c>
    </row>
    <row r="75" spans="1:22" x14ac:dyDescent="0.25">
      <c r="A75" s="18" t="s">
        <v>46</v>
      </c>
      <c r="N75" s="6" t="s">
        <v>20</v>
      </c>
    </row>
    <row r="76" spans="1:22" x14ac:dyDescent="0.25">
      <c r="A76" s="18">
        <v>2018</v>
      </c>
      <c r="B76" s="198"/>
      <c r="C76" s="198"/>
      <c r="D76" s="198"/>
      <c r="E76" s="198"/>
      <c r="F76" s="198"/>
      <c r="G76" s="194">
        <f>G27</f>
        <v>630460282.03680384</v>
      </c>
      <c r="H76" s="158">
        <f t="shared" ref="H76:M76" si="25">H73+H82-H85</f>
        <v>285978989.05512553</v>
      </c>
      <c r="I76" s="158">
        <f t="shared" si="25"/>
        <v>91654269.719868049</v>
      </c>
      <c r="J76" s="158">
        <f t="shared" si="25"/>
        <v>242774403.3919211</v>
      </c>
      <c r="K76" s="158">
        <f t="shared" si="25"/>
        <v>209800.13099560147</v>
      </c>
      <c r="L76" s="158">
        <f t="shared" si="25"/>
        <v>2398221.2999999998</v>
      </c>
      <c r="M76" s="158">
        <f t="shared" si="25"/>
        <v>944731.43889360514</v>
      </c>
      <c r="N76" s="158">
        <f>SUM(H76:M76)</f>
        <v>623960415.03680384</v>
      </c>
      <c r="O76" s="158">
        <f>G76-N76</f>
        <v>6499867</v>
      </c>
      <c r="P76" s="158">
        <f>G85</f>
        <v>6499867</v>
      </c>
      <c r="Q76" s="158">
        <f>O76-P76</f>
        <v>0</v>
      </c>
      <c r="R76"/>
    </row>
    <row r="78" spans="1:22" x14ac:dyDescent="0.25">
      <c r="A78" t="s">
        <v>48</v>
      </c>
      <c r="H78" s="162">
        <v>0.92649999999999999</v>
      </c>
      <c r="I78" s="163">
        <v>0.92649999999999999</v>
      </c>
      <c r="J78" s="163">
        <v>0.85299999999999998</v>
      </c>
      <c r="K78" s="164"/>
      <c r="L78" s="164"/>
      <c r="M78" s="164"/>
      <c r="N78" s="6" t="s">
        <v>20</v>
      </c>
    </row>
    <row r="79" spans="1:22" x14ac:dyDescent="0.25">
      <c r="A79" s="18">
        <v>2018</v>
      </c>
      <c r="B79" s="198"/>
      <c r="C79" s="198"/>
      <c r="D79" s="198"/>
      <c r="E79" s="198"/>
      <c r="F79" s="198"/>
      <c r="G79" s="158">
        <f>G76-G73</f>
        <v>9097942.6615687609</v>
      </c>
      <c r="H79" s="158">
        <f t="shared" ref="H79:M79" si="26">H73*H$78</f>
        <v>262795667.18603972</v>
      </c>
      <c r="I79" s="158">
        <f t="shared" si="26"/>
        <v>84862824.881682366</v>
      </c>
      <c r="J79" s="158">
        <f t="shared" si="26"/>
        <v>206913116.70215565</v>
      </c>
      <c r="K79" s="158">
        <f t="shared" si="26"/>
        <v>0</v>
      </c>
      <c r="L79" s="158">
        <f t="shared" si="26"/>
        <v>0</v>
      </c>
      <c r="M79" s="158">
        <f t="shared" si="26"/>
        <v>0</v>
      </c>
      <c r="N79" s="158">
        <f>SUM(H79:M79)</f>
        <v>554571608.76987767</v>
      </c>
      <c r="O79" s="158"/>
      <c r="P79" s="158"/>
      <c r="Q79" s="158"/>
      <c r="R79" s="158"/>
    </row>
    <row r="80" spans="1:22" ht="12" customHeight="1" x14ac:dyDescent="0.25"/>
    <row r="81" spans="1:18" x14ac:dyDescent="0.25">
      <c r="A81" t="s">
        <v>49</v>
      </c>
    </row>
    <row r="82" spans="1:18" x14ac:dyDescent="0.25">
      <c r="A82" s="18">
        <v>2018</v>
      </c>
      <c r="B82" s="198"/>
      <c r="C82" s="198"/>
      <c r="D82" s="198"/>
      <c r="E82" s="198"/>
      <c r="F82" s="198"/>
      <c r="G82" s="26"/>
      <c r="H82" s="158">
        <f>H79/$N$79*$G$79</f>
        <v>4311255.5240082853</v>
      </c>
      <c r="I82" s="158">
        <f t="shared" ref="I82:M82" si="27">I79/$N$79*$G$79</f>
        <v>1392204.5461088042</v>
      </c>
      <c r="J82" s="158">
        <f t="shared" si="27"/>
        <v>3394482.5914516728</v>
      </c>
      <c r="K82" s="158">
        <f t="shared" si="27"/>
        <v>0</v>
      </c>
      <c r="L82" s="158">
        <f t="shared" si="27"/>
        <v>0</v>
      </c>
      <c r="M82" s="158">
        <f t="shared" si="27"/>
        <v>0</v>
      </c>
      <c r="N82" s="158">
        <f>SUM(H82:M82)</f>
        <v>9097942.6615687627</v>
      </c>
      <c r="O82" s="158"/>
      <c r="P82" s="158"/>
      <c r="Q82" s="158"/>
      <c r="R82" s="158"/>
    </row>
    <row r="83" spans="1:18" x14ac:dyDescent="0.25">
      <c r="G83" s="26"/>
    </row>
    <row r="84" spans="1:18" x14ac:dyDescent="0.25">
      <c r="A84" s="106" t="s">
        <v>104</v>
      </c>
    </row>
    <row r="85" spans="1:18" x14ac:dyDescent="0.25">
      <c r="A85" s="18">
        <v>2018</v>
      </c>
      <c r="G85" s="158">
        <f>'CDM Activity'!S6*0.5</f>
        <v>6499867</v>
      </c>
      <c r="H85" s="194">
        <f>'CDM Activity'!S11*0.5</f>
        <v>1975728.0836045395</v>
      </c>
      <c r="I85" s="194">
        <f>'CDM Activity'!S16*0.5</f>
        <v>1332996.7600587378</v>
      </c>
      <c r="J85" s="194">
        <f>'CDM Activity'!S21*0.5</f>
        <v>3191142.156336722</v>
      </c>
      <c r="K85" s="194"/>
      <c r="L85" s="194"/>
      <c r="M85" s="194"/>
      <c r="N85" s="158">
        <f>SUM(H85:M85)</f>
        <v>6499866.9999999991</v>
      </c>
    </row>
    <row r="86" spans="1:18" x14ac:dyDescent="0.25">
      <c r="A86" s="18"/>
    </row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109"/>
  <sheetViews>
    <sheetView zoomScaleNormal="100" workbookViewId="0">
      <pane xSplit="1" ySplit="2" topLeftCell="D9" activePane="bottomRight" state="frozen"/>
      <selection activeCell="M35" sqref="M35"/>
      <selection pane="topRight" activeCell="M35" sqref="M35"/>
      <selection pane="bottomLeft" activeCell="M35" sqref="M35"/>
      <selection pane="bottomRight" activeCell="I26" sqref="I26"/>
    </sheetView>
  </sheetViews>
  <sheetFormatPr defaultRowHeight="13.2" x14ac:dyDescent="0.25"/>
  <cols>
    <col min="1" max="1" width="11" customWidth="1"/>
    <col min="2" max="2" width="15" style="6" customWidth="1"/>
    <col min="3" max="3" width="14.109375" style="6" bestFit="1" customWidth="1"/>
    <col min="4" max="4" width="17.88671875" style="6" bestFit="1" customWidth="1"/>
    <col min="5" max="5" width="17.5546875" style="6" customWidth="1"/>
    <col min="6" max="7" width="12.5546875" style="6" customWidth="1"/>
    <col min="8" max="8" width="12.6640625" style="6" bestFit="1" customWidth="1"/>
    <col min="9" max="9" width="11.6640625" style="6" bestFit="1" customWidth="1"/>
    <col min="10" max="10" width="10.6640625" style="6" bestFit="1" customWidth="1"/>
    <col min="11" max="12" width="9.109375" style="6" customWidth="1"/>
    <col min="16" max="17" width="10.44140625" style="54" bestFit="1" customWidth="1"/>
  </cols>
  <sheetData>
    <row r="2" spans="1:17" ht="26.4" x14ac:dyDescent="0.25">
      <c r="B2" s="9" t="str">
        <f>'Rate Class Energy Model'!H2</f>
        <v>Residential</v>
      </c>
      <c r="C2" s="9" t="str">
        <f>'Rate Class Energy Model'!I2</f>
        <v>General Service &lt;50 kW</v>
      </c>
      <c r="D2" s="9" t="str">
        <f>'Rate Class Energy Model'!J2</f>
        <v>General Service 50 to 4,999 kW</v>
      </c>
      <c r="E2" s="9" t="str">
        <f>'Rate Class Energy Model'!K2</f>
        <v>Sentinel Lights</v>
      </c>
      <c r="F2" s="9" t="str">
        <f>'Rate Class Energy Model'!L2</f>
        <v>Street Lights</v>
      </c>
      <c r="G2" s="9" t="str">
        <f>'Rate Class Energy Model'!M2</f>
        <v>USL</v>
      </c>
      <c r="H2" s="6" t="s">
        <v>12</v>
      </c>
      <c r="L2" s="189" t="s">
        <v>171</v>
      </c>
      <c r="M2" s="185"/>
      <c r="N2" s="185"/>
      <c r="O2" s="185"/>
      <c r="P2" s="186"/>
      <c r="Q2" s="186"/>
    </row>
    <row r="3" spans="1:17" x14ac:dyDescent="0.25">
      <c r="A3" s="4"/>
      <c r="B3" s="40"/>
      <c r="C3" s="40"/>
      <c r="D3" s="40"/>
      <c r="E3" s="40"/>
      <c r="F3" s="40"/>
      <c r="G3" s="40"/>
      <c r="H3" s="39"/>
      <c r="L3" s="184">
        <v>2013</v>
      </c>
      <c r="M3" s="335" t="s">
        <v>167</v>
      </c>
      <c r="N3" s="336" t="s">
        <v>168</v>
      </c>
      <c r="O3" s="336" t="s">
        <v>169</v>
      </c>
      <c r="P3" s="337" t="s">
        <v>170</v>
      </c>
      <c r="Q3" s="187" t="s">
        <v>16</v>
      </c>
    </row>
    <row r="4" spans="1:17" x14ac:dyDescent="0.25">
      <c r="A4" s="4">
        <v>2003</v>
      </c>
      <c r="B4" s="40">
        <v>28544</v>
      </c>
      <c r="C4" s="40">
        <v>3230</v>
      </c>
      <c r="D4" s="40">
        <v>419</v>
      </c>
      <c r="E4" s="40">
        <v>466</v>
      </c>
      <c r="F4" s="40">
        <v>8619</v>
      </c>
      <c r="G4" s="40">
        <v>12</v>
      </c>
      <c r="H4" s="39">
        <f t="shared" ref="H4:H16" si="0">SUM(B4:G4)</f>
        <v>41290</v>
      </c>
      <c r="I4" s="158"/>
      <c r="L4" s="188" t="s">
        <v>162</v>
      </c>
      <c r="M4" s="185">
        <f>27098+2345</f>
        <v>29443</v>
      </c>
      <c r="N4" s="185">
        <f>27133+2293</f>
        <v>29426</v>
      </c>
      <c r="O4" s="185">
        <f>27330+2302</f>
        <v>29632</v>
      </c>
      <c r="P4" s="186">
        <f>27246+2270</f>
        <v>29516</v>
      </c>
      <c r="Q4" s="186">
        <f t="shared" ref="Q4:Q9" si="1">AVERAGE(M4:P4)</f>
        <v>29504.25</v>
      </c>
    </row>
    <row r="5" spans="1:17" x14ac:dyDescent="0.25">
      <c r="A5" s="4">
        <v>2004</v>
      </c>
      <c r="B5" s="40">
        <v>28560</v>
      </c>
      <c r="C5" s="40">
        <v>3247</v>
      </c>
      <c r="D5" s="40">
        <v>424</v>
      </c>
      <c r="E5" s="40">
        <v>466</v>
      </c>
      <c r="F5" s="40">
        <v>8635</v>
      </c>
      <c r="G5" s="40">
        <v>19</v>
      </c>
      <c r="H5" s="39">
        <f t="shared" si="0"/>
        <v>41351</v>
      </c>
      <c r="I5" s="158"/>
      <c r="J5" s="158"/>
      <c r="L5" s="188" t="s">
        <v>163</v>
      </c>
      <c r="M5" s="185">
        <f>3266+197</f>
        <v>3463</v>
      </c>
      <c r="N5" s="185">
        <f>3277+190</f>
        <v>3467</v>
      </c>
      <c r="O5" s="185">
        <f>3292+190</f>
        <v>3482</v>
      </c>
      <c r="P5" s="186">
        <f>3298+185</f>
        <v>3483</v>
      </c>
      <c r="Q5" s="186">
        <f t="shared" si="1"/>
        <v>3473.75</v>
      </c>
    </row>
    <row r="6" spans="1:17" x14ac:dyDescent="0.25">
      <c r="A6" s="4">
        <v>2005</v>
      </c>
      <c r="B6" s="40">
        <v>28576</v>
      </c>
      <c r="C6" s="40">
        <v>3274</v>
      </c>
      <c r="D6" s="40">
        <v>431</v>
      </c>
      <c r="E6" s="40">
        <v>459</v>
      </c>
      <c r="F6" s="40">
        <v>8642</v>
      </c>
      <c r="G6" s="40">
        <v>27</v>
      </c>
      <c r="H6" s="39">
        <f t="shared" si="0"/>
        <v>41409</v>
      </c>
      <c r="I6" s="158"/>
      <c r="J6" s="158"/>
      <c r="L6" s="188" t="s">
        <v>164</v>
      </c>
      <c r="M6" s="185">
        <f>331+43</f>
        <v>374</v>
      </c>
      <c r="N6" s="185">
        <f>331+44</f>
        <v>375</v>
      </c>
      <c r="O6" s="185">
        <f>333+42</f>
        <v>375</v>
      </c>
      <c r="P6" s="186">
        <f>327+41</f>
        <v>368</v>
      </c>
      <c r="Q6" s="186">
        <f t="shared" si="1"/>
        <v>373</v>
      </c>
    </row>
    <row r="7" spans="1:17" x14ac:dyDescent="0.25">
      <c r="A7" s="4">
        <v>2006</v>
      </c>
      <c r="B7" s="40">
        <v>28596</v>
      </c>
      <c r="C7" s="40">
        <v>3301</v>
      </c>
      <c r="D7" s="40">
        <v>432</v>
      </c>
      <c r="E7" s="40">
        <v>449</v>
      </c>
      <c r="F7" s="40">
        <v>8663</v>
      </c>
      <c r="G7" s="40">
        <v>28</v>
      </c>
      <c r="H7" s="39">
        <f t="shared" si="0"/>
        <v>41469</v>
      </c>
      <c r="I7" s="158"/>
      <c r="J7" s="158"/>
      <c r="L7" s="188" t="s">
        <v>139</v>
      </c>
      <c r="M7" s="185">
        <v>21</v>
      </c>
      <c r="N7" s="185">
        <v>21</v>
      </c>
      <c r="O7" s="185">
        <v>21</v>
      </c>
      <c r="P7" s="186">
        <v>21</v>
      </c>
      <c r="Q7" s="186">
        <f t="shared" si="1"/>
        <v>21</v>
      </c>
    </row>
    <row r="8" spans="1:17" x14ac:dyDescent="0.25">
      <c r="A8" s="4">
        <v>2007</v>
      </c>
      <c r="B8" s="40">
        <v>28630</v>
      </c>
      <c r="C8" s="40">
        <v>3302</v>
      </c>
      <c r="D8" s="40">
        <v>429</v>
      </c>
      <c r="E8" s="40">
        <v>443</v>
      </c>
      <c r="F8" s="40">
        <v>8707</v>
      </c>
      <c r="G8" s="40">
        <v>27</v>
      </c>
      <c r="H8" s="39">
        <f t="shared" si="0"/>
        <v>41538</v>
      </c>
      <c r="I8" s="158"/>
      <c r="J8" s="158"/>
      <c r="L8" s="188" t="s">
        <v>165</v>
      </c>
      <c r="M8" s="185">
        <v>378</v>
      </c>
      <c r="N8" s="185">
        <v>378</v>
      </c>
      <c r="O8" s="185">
        <v>378</v>
      </c>
      <c r="P8" s="186">
        <v>363</v>
      </c>
      <c r="Q8" s="186">
        <f t="shared" si="1"/>
        <v>374.25</v>
      </c>
    </row>
    <row r="9" spans="1:17" x14ac:dyDescent="0.25">
      <c r="A9" s="4">
        <v>2008</v>
      </c>
      <c r="B9" s="40">
        <v>28780</v>
      </c>
      <c r="C9" s="40">
        <v>3325</v>
      </c>
      <c r="D9" s="40">
        <v>426</v>
      </c>
      <c r="E9" s="40">
        <v>435</v>
      </c>
      <c r="F9" s="40">
        <v>8741</v>
      </c>
      <c r="G9" s="40">
        <v>22</v>
      </c>
      <c r="H9" s="39">
        <f t="shared" si="0"/>
        <v>41729</v>
      </c>
      <c r="I9" s="158"/>
      <c r="J9" s="158"/>
      <c r="L9" s="188" t="s">
        <v>166</v>
      </c>
      <c r="M9" s="185">
        <v>8846</v>
      </c>
      <c r="N9" s="185">
        <v>8846</v>
      </c>
      <c r="O9" s="185">
        <v>8846</v>
      </c>
      <c r="P9" s="186">
        <v>8846</v>
      </c>
      <c r="Q9" s="186">
        <f t="shared" si="1"/>
        <v>8846</v>
      </c>
    </row>
    <row r="10" spans="1:17" x14ac:dyDescent="0.25">
      <c r="A10" s="4">
        <v>2009</v>
      </c>
      <c r="B10" s="40">
        <v>28971</v>
      </c>
      <c r="C10" s="40">
        <v>3352</v>
      </c>
      <c r="D10" s="40">
        <v>433</v>
      </c>
      <c r="E10" s="40">
        <v>423</v>
      </c>
      <c r="F10" s="40">
        <v>8799</v>
      </c>
      <c r="G10" s="40">
        <v>17</v>
      </c>
      <c r="H10" s="39">
        <f t="shared" si="0"/>
        <v>41995</v>
      </c>
      <c r="I10" s="158"/>
      <c r="J10" s="158"/>
      <c r="L10" s="188" t="s">
        <v>12</v>
      </c>
      <c r="M10" s="185">
        <f>SUM(M4:M9)</f>
        <v>42525</v>
      </c>
      <c r="N10" s="185">
        <f>SUM(N4:N9)</f>
        <v>42513</v>
      </c>
      <c r="O10" s="185">
        <f>SUM(O4:O9)</f>
        <v>42734</v>
      </c>
      <c r="P10" s="185">
        <f>SUM(P4:P9)</f>
        <v>42597</v>
      </c>
      <c r="Q10" s="186"/>
    </row>
    <row r="11" spans="1:17" x14ac:dyDescent="0.25">
      <c r="A11" s="4">
        <v>2010</v>
      </c>
      <c r="B11" s="40">
        <v>29057</v>
      </c>
      <c r="C11" s="40">
        <v>3345</v>
      </c>
      <c r="D11" s="40">
        <v>435</v>
      </c>
      <c r="E11" s="40">
        <v>411</v>
      </c>
      <c r="F11" s="40">
        <v>8846</v>
      </c>
      <c r="G11" s="40">
        <v>16</v>
      </c>
      <c r="H11" s="39">
        <f t="shared" si="0"/>
        <v>42110</v>
      </c>
      <c r="I11" s="158"/>
      <c r="J11" s="158"/>
    </row>
    <row r="12" spans="1:17" x14ac:dyDescent="0.25">
      <c r="A12" s="4">
        <v>2011</v>
      </c>
      <c r="B12" s="40">
        <v>29124</v>
      </c>
      <c r="C12" s="40">
        <v>3366</v>
      </c>
      <c r="D12" s="40">
        <v>403</v>
      </c>
      <c r="E12" s="40">
        <v>402</v>
      </c>
      <c r="F12" s="40">
        <v>8846</v>
      </c>
      <c r="G12" s="40">
        <v>19</v>
      </c>
      <c r="H12" s="39">
        <f t="shared" si="0"/>
        <v>42160</v>
      </c>
      <c r="I12" s="158"/>
      <c r="J12" s="158"/>
      <c r="L12" s="184">
        <v>2012</v>
      </c>
      <c r="M12" s="335" t="s">
        <v>167</v>
      </c>
      <c r="N12" s="336" t="s">
        <v>168</v>
      </c>
      <c r="O12" s="336" t="s">
        <v>169</v>
      </c>
      <c r="P12" s="337" t="s">
        <v>170</v>
      </c>
      <c r="Q12" s="187" t="s">
        <v>16</v>
      </c>
    </row>
    <row r="13" spans="1:17" x14ac:dyDescent="0.25">
      <c r="A13" s="4">
        <v>2012</v>
      </c>
      <c r="B13" s="40">
        <v>29327</v>
      </c>
      <c r="C13" s="40">
        <v>3448</v>
      </c>
      <c r="D13" s="40">
        <v>366</v>
      </c>
      <c r="E13" s="40">
        <v>392</v>
      </c>
      <c r="F13" s="40">
        <v>8846</v>
      </c>
      <c r="G13" s="40">
        <v>21</v>
      </c>
      <c r="H13" s="39">
        <f t="shared" si="0"/>
        <v>42400</v>
      </c>
      <c r="I13" s="158">
        <f t="shared" ref="I13:I19" si="2">SUM(B13:D13)+G13+5</f>
        <v>33167</v>
      </c>
      <c r="J13" s="158"/>
      <c r="L13" s="188" t="s">
        <v>162</v>
      </c>
      <c r="M13" s="185">
        <v>29334</v>
      </c>
      <c r="N13" s="185">
        <v>29345</v>
      </c>
      <c r="O13" s="185">
        <v>29358</v>
      </c>
      <c r="P13" s="186">
        <v>29270</v>
      </c>
      <c r="Q13" s="186">
        <f t="shared" ref="Q13:Q18" si="3">AVERAGE(M13:P13)</f>
        <v>29326.75</v>
      </c>
    </row>
    <row r="14" spans="1:17" x14ac:dyDescent="0.25">
      <c r="A14" s="4">
        <v>2013</v>
      </c>
      <c r="B14" s="40">
        <v>29504</v>
      </c>
      <c r="C14" s="40">
        <v>3474</v>
      </c>
      <c r="D14" s="40">
        <v>373</v>
      </c>
      <c r="E14" s="40">
        <v>374</v>
      </c>
      <c r="F14" s="40">
        <v>8846</v>
      </c>
      <c r="G14" s="40">
        <v>21</v>
      </c>
      <c r="H14" s="39">
        <f t="shared" si="0"/>
        <v>42592</v>
      </c>
      <c r="I14" s="158">
        <f t="shared" si="2"/>
        <v>33377</v>
      </c>
      <c r="J14" s="158"/>
      <c r="K14" s="158"/>
      <c r="L14" s="188" t="s">
        <v>163</v>
      </c>
      <c r="M14" s="185">
        <v>3470</v>
      </c>
      <c r="N14" s="185">
        <v>3466</v>
      </c>
      <c r="O14" s="185">
        <v>3455</v>
      </c>
      <c r="P14" s="186">
        <v>3402</v>
      </c>
      <c r="Q14" s="186">
        <f t="shared" si="3"/>
        <v>3448.25</v>
      </c>
    </row>
    <row r="15" spans="1:17" x14ac:dyDescent="0.25">
      <c r="A15" s="4">
        <v>2014</v>
      </c>
      <c r="B15" s="40">
        <v>29514</v>
      </c>
      <c r="C15" s="40">
        <v>3464</v>
      </c>
      <c r="D15" s="40">
        <v>370</v>
      </c>
      <c r="E15" s="40">
        <v>362</v>
      </c>
      <c r="F15" s="40">
        <v>8846</v>
      </c>
      <c r="G15" s="40">
        <v>21</v>
      </c>
      <c r="H15" s="39">
        <f t="shared" si="0"/>
        <v>42577</v>
      </c>
      <c r="I15" s="158">
        <f t="shared" si="2"/>
        <v>33374</v>
      </c>
      <c r="J15" s="158"/>
      <c r="K15" s="158"/>
      <c r="L15" s="188" t="s">
        <v>164</v>
      </c>
      <c r="M15" s="185">
        <v>373</v>
      </c>
      <c r="N15" s="185">
        <v>373</v>
      </c>
      <c r="O15" s="185">
        <v>373</v>
      </c>
      <c r="P15" s="186">
        <v>357</v>
      </c>
      <c r="Q15" s="186">
        <f t="shared" si="3"/>
        <v>369</v>
      </c>
    </row>
    <row r="16" spans="1:17" x14ac:dyDescent="0.25">
      <c r="A16" s="4">
        <v>2015</v>
      </c>
      <c r="B16" s="67">
        <v>29566</v>
      </c>
      <c r="C16" s="67">
        <v>3431</v>
      </c>
      <c r="D16" s="67">
        <v>373</v>
      </c>
      <c r="E16" s="67">
        <v>360</v>
      </c>
      <c r="F16" s="67">
        <v>8839</v>
      </c>
      <c r="G16" s="67">
        <v>21</v>
      </c>
      <c r="H16" s="67">
        <f t="shared" si="0"/>
        <v>42590</v>
      </c>
      <c r="I16" s="158">
        <f t="shared" si="2"/>
        <v>33396</v>
      </c>
      <c r="J16" s="158"/>
      <c r="K16" s="158"/>
      <c r="L16" s="188" t="s">
        <v>139</v>
      </c>
      <c r="M16" s="185">
        <v>21</v>
      </c>
      <c r="N16" s="185">
        <v>21</v>
      </c>
      <c r="O16" s="185">
        <v>21</v>
      </c>
      <c r="P16" s="186">
        <v>21</v>
      </c>
      <c r="Q16" s="186">
        <f t="shared" si="3"/>
        <v>21</v>
      </c>
    </row>
    <row r="17" spans="1:17" x14ac:dyDescent="0.25">
      <c r="A17" s="4">
        <v>2016</v>
      </c>
      <c r="B17" s="67">
        <v>29620</v>
      </c>
      <c r="C17" s="67">
        <v>3414</v>
      </c>
      <c r="D17" s="67">
        <v>361</v>
      </c>
      <c r="E17" s="67">
        <v>362</v>
      </c>
      <c r="F17" s="67">
        <v>8872</v>
      </c>
      <c r="G17" s="67">
        <v>21</v>
      </c>
      <c r="H17" s="67">
        <f t="shared" ref="H17:H18" si="4">SUM(B17:G17)</f>
        <v>42650</v>
      </c>
      <c r="I17" s="158">
        <f t="shared" si="2"/>
        <v>33421</v>
      </c>
      <c r="J17" s="158"/>
      <c r="K17" s="158"/>
      <c r="L17" s="188" t="s">
        <v>165</v>
      </c>
      <c r="M17" s="185">
        <v>402</v>
      </c>
      <c r="N17" s="185">
        <v>402</v>
      </c>
      <c r="O17" s="185">
        <v>385</v>
      </c>
      <c r="P17" s="186">
        <v>378</v>
      </c>
      <c r="Q17" s="186">
        <f t="shared" si="3"/>
        <v>391.75</v>
      </c>
    </row>
    <row r="18" spans="1:17" x14ac:dyDescent="0.25">
      <c r="A18" s="4">
        <v>2017</v>
      </c>
      <c r="B18" s="67">
        <v>29729</v>
      </c>
      <c r="C18" s="67">
        <v>3417</v>
      </c>
      <c r="D18" s="67">
        <v>361</v>
      </c>
      <c r="E18" s="67">
        <v>361</v>
      </c>
      <c r="F18" s="67">
        <v>8070</v>
      </c>
      <c r="G18" s="67">
        <v>21</v>
      </c>
      <c r="H18" s="67">
        <f t="shared" si="4"/>
        <v>41959</v>
      </c>
      <c r="I18" s="158">
        <f t="shared" si="2"/>
        <v>33533</v>
      </c>
      <c r="J18" s="25">
        <f>I18/I17</f>
        <v>1.003351186379821</v>
      </c>
      <c r="K18" s="158"/>
      <c r="L18" s="188" t="s">
        <v>166</v>
      </c>
      <c r="M18" s="185">
        <v>8846</v>
      </c>
      <c r="N18" s="185">
        <v>8846</v>
      </c>
      <c r="O18" s="185">
        <v>8846</v>
      </c>
      <c r="P18" s="186">
        <v>8846</v>
      </c>
      <c r="Q18" s="186">
        <f t="shared" si="3"/>
        <v>8846</v>
      </c>
    </row>
    <row r="19" spans="1:17" x14ac:dyDescent="0.25">
      <c r="A19" s="4">
        <v>2018</v>
      </c>
      <c r="B19" s="20">
        <f>B18*$B$40</f>
        <v>29815.501606131944</v>
      </c>
      <c r="C19" s="20">
        <f>C18*$C$40</f>
        <v>3430.7641919188468</v>
      </c>
      <c r="D19" s="20">
        <f>D18*$D$40</f>
        <v>357.17848110967191</v>
      </c>
      <c r="E19" s="20">
        <f>E18*$E$40</f>
        <v>354.47637329291484</v>
      </c>
      <c r="F19" s="20">
        <v>8070</v>
      </c>
      <c r="G19" s="20">
        <f>G18*$G$40</f>
        <v>21.856426428186388</v>
      </c>
      <c r="H19" s="20">
        <f t="shared" ref="H19" si="5">SUM(B19:G19)</f>
        <v>42049.777078881569</v>
      </c>
      <c r="I19" s="158">
        <f t="shared" si="2"/>
        <v>33630.300705588656</v>
      </c>
      <c r="J19" s="25">
        <f>I19/I18</f>
        <v>1.002901640342011</v>
      </c>
      <c r="K19" s="158"/>
      <c r="L19" s="188" t="s">
        <v>12</v>
      </c>
      <c r="M19" s="185">
        <f>SUM(M13:M18)</f>
        <v>42446</v>
      </c>
      <c r="N19" s="185">
        <f>SUM(N13:N18)</f>
        <v>42453</v>
      </c>
      <c r="O19" s="185">
        <f>SUM(O13:O18)</f>
        <v>42438</v>
      </c>
      <c r="P19" s="185">
        <f>SUM(P13:P18)</f>
        <v>42274</v>
      </c>
      <c r="Q19" s="186"/>
    </row>
    <row r="20" spans="1:17" x14ac:dyDescent="0.25">
      <c r="A20" s="19"/>
      <c r="B20" s="61"/>
      <c r="C20" s="61"/>
      <c r="D20" s="61"/>
      <c r="E20" s="61"/>
      <c r="F20" s="61"/>
      <c r="G20" s="61"/>
      <c r="L20" s="389"/>
      <c r="M20" s="32"/>
      <c r="N20" s="32"/>
      <c r="O20" s="32"/>
      <c r="P20" s="32"/>
      <c r="Q20" s="377"/>
    </row>
    <row r="21" spans="1:17" x14ac:dyDescent="0.25">
      <c r="A21" s="18" t="s">
        <v>45</v>
      </c>
      <c r="B21" s="5"/>
      <c r="C21" s="5"/>
      <c r="D21" s="5"/>
      <c r="E21" s="5"/>
      <c r="F21" s="5"/>
      <c r="G21" s="5"/>
      <c r="L21" s="184">
        <v>2014</v>
      </c>
      <c r="M21" s="335" t="s">
        <v>167</v>
      </c>
      <c r="N21" s="336" t="s">
        <v>168</v>
      </c>
      <c r="O21" s="336" t="s">
        <v>169</v>
      </c>
      <c r="P21" s="337" t="s">
        <v>170</v>
      </c>
      <c r="Q21" s="187" t="s">
        <v>16</v>
      </c>
    </row>
    <row r="22" spans="1:17" x14ac:dyDescent="0.25">
      <c r="A22" s="4"/>
      <c r="B22" s="24"/>
      <c r="C22" s="24"/>
      <c r="D22" s="24"/>
      <c r="E22" s="24"/>
      <c r="F22" s="24"/>
      <c r="G22" s="24"/>
      <c r="L22" s="188" t="s">
        <v>162</v>
      </c>
      <c r="M22" s="185">
        <f>27171+2183</f>
        <v>29354</v>
      </c>
      <c r="N22" s="185">
        <f>27418+2119</f>
        <v>29537</v>
      </c>
      <c r="O22" s="185">
        <f>27422+2106</f>
        <v>29528</v>
      </c>
      <c r="P22" s="186">
        <f>27583+2052</f>
        <v>29635</v>
      </c>
      <c r="Q22" s="186">
        <f t="shared" ref="Q22:Q27" si="6">AVERAGE(M22:P22)</f>
        <v>29513.5</v>
      </c>
    </row>
    <row r="23" spans="1:17" x14ac:dyDescent="0.25">
      <c r="A23" s="4">
        <v>2002</v>
      </c>
      <c r="B23" s="24"/>
      <c r="C23" s="24"/>
      <c r="D23" s="24"/>
      <c r="E23" s="24"/>
      <c r="F23" s="24"/>
      <c r="G23" s="24"/>
      <c r="L23" s="188" t="s">
        <v>163</v>
      </c>
      <c r="M23" s="185">
        <f>3236+180</f>
        <v>3416</v>
      </c>
      <c r="N23" s="185">
        <f>3296+185</f>
        <v>3481</v>
      </c>
      <c r="O23" s="185">
        <f>3282+194</f>
        <v>3476</v>
      </c>
      <c r="P23" s="186">
        <f>3274+207</f>
        <v>3481</v>
      </c>
      <c r="Q23" s="186">
        <f t="shared" si="6"/>
        <v>3463.5</v>
      </c>
    </row>
    <row r="24" spans="1:17" x14ac:dyDescent="0.25">
      <c r="A24" s="4">
        <v>2003</v>
      </c>
      <c r="B24" s="24"/>
      <c r="C24" s="24"/>
      <c r="D24" s="24"/>
      <c r="E24" s="24"/>
      <c r="F24" s="24"/>
      <c r="G24" s="24"/>
      <c r="L24" s="188" t="s">
        <v>164</v>
      </c>
      <c r="M24" s="185">
        <f>328+41</f>
        <v>369</v>
      </c>
      <c r="N24" s="185">
        <f>326+44</f>
        <v>370</v>
      </c>
      <c r="O24" s="185">
        <f>324+46</f>
        <v>370</v>
      </c>
      <c r="P24" s="186">
        <f>333+38</f>
        <v>371</v>
      </c>
      <c r="Q24" s="186">
        <f t="shared" si="6"/>
        <v>370</v>
      </c>
    </row>
    <row r="25" spans="1:17" x14ac:dyDescent="0.25">
      <c r="A25" s="4">
        <v>2004</v>
      </c>
      <c r="B25" s="24">
        <f t="shared" ref="B25:G38" si="7">B5/B4</f>
        <v>1.0005605381165918</v>
      </c>
      <c r="C25" s="24">
        <f t="shared" si="7"/>
        <v>1.0052631578947369</v>
      </c>
      <c r="D25" s="24">
        <f t="shared" si="7"/>
        <v>1.0119331742243436</v>
      </c>
      <c r="E25" s="24">
        <f t="shared" si="7"/>
        <v>1</v>
      </c>
      <c r="F25" s="24">
        <f t="shared" si="7"/>
        <v>1.0018563638473141</v>
      </c>
      <c r="G25" s="193">
        <f t="shared" si="7"/>
        <v>1.5833333333333333</v>
      </c>
      <c r="H25" s="61"/>
      <c r="L25" s="188" t="s">
        <v>139</v>
      </c>
      <c r="M25" s="185">
        <v>21</v>
      </c>
      <c r="N25" s="185">
        <v>21</v>
      </c>
      <c r="O25" s="185">
        <v>20</v>
      </c>
      <c r="P25" s="186">
        <v>20</v>
      </c>
      <c r="Q25" s="186">
        <f t="shared" si="6"/>
        <v>20.5</v>
      </c>
    </row>
    <row r="26" spans="1:17" x14ac:dyDescent="0.25">
      <c r="A26" s="4">
        <v>2005</v>
      </c>
      <c r="B26" s="24">
        <f t="shared" si="7"/>
        <v>1.0005602240896359</v>
      </c>
      <c r="C26" s="24">
        <f t="shared" si="7"/>
        <v>1.0083153680320296</v>
      </c>
      <c r="D26" s="24">
        <f t="shared" si="7"/>
        <v>1.0165094339622642</v>
      </c>
      <c r="E26" s="24">
        <f t="shared" si="7"/>
        <v>0.98497854077253222</v>
      </c>
      <c r="F26" s="24">
        <f t="shared" si="7"/>
        <v>1.0008106543138391</v>
      </c>
      <c r="G26" s="193">
        <f t="shared" si="7"/>
        <v>1.4210526315789473</v>
      </c>
      <c r="J26" s="388"/>
      <c r="L26" s="188" t="s">
        <v>165</v>
      </c>
      <c r="M26" s="185">
        <v>363</v>
      </c>
      <c r="N26" s="185">
        <v>366</v>
      </c>
      <c r="O26" s="185">
        <v>363</v>
      </c>
      <c r="P26" s="186">
        <v>357</v>
      </c>
      <c r="Q26" s="186">
        <f t="shared" si="6"/>
        <v>362.25</v>
      </c>
    </row>
    <row r="27" spans="1:17" x14ac:dyDescent="0.25">
      <c r="A27" s="4">
        <v>2006</v>
      </c>
      <c r="B27" s="24">
        <f t="shared" si="7"/>
        <v>1.0006998880179172</v>
      </c>
      <c r="C27" s="24">
        <f t="shared" si="7"/>
        <v>1.0082467929138668</v>
      </c>
      <c r="D27" s="24">
        <f t="shared" si="7"/>
        <v>1.0023201856148491</v>
      </c>
      <c r="E27" s="24">
        <f t="shared" si="7"/>
        <v>0.97821350762527237</v>
      </c>
      <c r="F27" s="24">
        <f t="shared" si="7"/>
        <v>1.0024299930571627</v>
      </c>
      <c r="G27" s="193">
        <f t="shared" si="7"/>
        <v>1.037037037037037</v>
      </c>
      <c r="J27" s="388"/>
      <c r="L27" s="188" t="s">
        <v>166</v>
      </c>
      <c r="M27" s="185">
        <v>8846</v>
      </c>
      <c r="N27" s="185">
        <v>8846</v>
      </c>
      <c r="O27" s="185">
        <v>8846</v>
      </c>
      <c r="P27" s="186">
        <v>8846</v>
      </c>
      <c r="Q27" s="186">
        <f t="shared" si="6"/>
        <v>8846</v>
      </c>
    </row>
    <row r="28" spans="1:17" x14ac:dyDescent="0.25">
      <c r="A28" s="4">
        <v>2007</v>
      </c>
      <c r="B28" s="24">
        <f t="shared" si="7"/>
        <v>1.0011889774793676</v>
      </c>
      <c r="C28" s="24">
        <f t="shared" si="7"/>
        <v>1.0003029385034838</v>
      </c>
      <c r="D28" s="24">
        <f t="shared" si="7"/>
        <v>0.99305555555555558</v>
      </c>
      <c r="E28" s="24">
        <f t="shared" si="7"/>
        <v>0.98663697104677062</v>
      </c>
      <c r="F28" s="24">
        <f t="shared" si="7"/>
        <v>1.0050790719150411</v>
      </c>
      <c r="G28" s="193">
        <f t="shared" si="7"/>
        <v>0.9642857142857143</v>
      </c>
      <c r="J28" s="388"/>
      <c r="L28" s="188" t="s">
        <v>12</v>
      </c>
      <c r="M28" s="185">
        <f>SUM(M22:M27)</f>
        <v>42369</v>
      </c>
      <c r="N28" s="185">
        <f>SUM(N22:N27)</f>
        <v>42621</v>
      </c>
      <c r="O28" s="185">
        <f>SUM(O22:O27)</f>
        <v>42603</v>
      </c>
      <c r="P28" s="186">
        <f>SUM(P22:P27)</f>
        <v>42710</v>
      </c>
      <c r="Q28" s="186"/>
    </row>
    <row r="29" spans="1:17" x14ac:dyDescent="0.25">
      <c r="A29" s="4">
        <v>2008</v>
      </c>
      <c r="B29" s="24">
        <f t="shared" si="7"/>
        <v>1.0052392595179882</v>
      </c>
      <c r="C29" s="24">
        <f t="shared" si="7"/>
        <v>1.0069654754694124</v>
      </c>
      <c r="D29" s="24">
        <f t="shared" si="7"/>
        <v>0.99300699300699302</v>
      </c>
      <c r="E29" s="24">
        <f t="shared" si="7"/>
        <v>0.98194130925507905</v>
      </c>
      <c r="F29" s="24">
        <f t="shared" si="7"/>
        <v>1.0039049041001493</v>
      </c>
      <c r="G29" s="193">
        <f t="shared" si="7"/>
        <v>0.81481481481481477</v>
      </c>
      <c r="J29" s="388"/>
      <c r="L29" s="184"/>
      <c r="M29" s="185"/>
      <c r="N29" s="185"/>
      <c r="O29" s="185"/>
      <c r="P29" s="186"/>
      <c r="Q29" s="186"/>
    </row>
    <row r="30" spans="1:17" x14ac:dyDescent="0.25">
      <c r="A30" s="4">
        <v>2009</v>
      </c>
      <c r="B30" s="24">
        <f t="shared" si="7"/>
        <v>1.0066365531619179</v>
      </c>
      <c r="C30" s="24">
        <f t="shared" si="7"/>
        <v>1.0081203007518797</v>
      </c>
      <c r="D30" s="24">
        <f t="shared" si="7"/>
        <v>1.016431924882629</v>
      </c>
      <c r="E30" s="24">
        <f t="shared" si="7"/>
        <v>0.97241379310344822</v>
      </c>
      <c r="F30" s="24">
        <f t="shared" si="7"/>
        <v>1.0066353964077337</v>
      </c>
      <c r="G30" s="24">
        <f t="shared" si="7"/>
        <v>0.77272727272727271</v>
      </c>
      <c r="J30" s="388"/>
      <c r="L30" s="184">
        <v>2015</v>
      </c>
      <c r="M30" s="335" t="s">
        <v>167</v>
      </c>
      <c r="N30" s="336" t="s">
        <v>168</v>
      </c>
      <c r="O30" s="336" t="s">
        <v>169</v>
      </c>
      <c r="P30" s="337" t="s">
        <v>170</v>
      </c>
      <c r="Q30" s="187" t="s">
        <v>16</v>
      </c>
    </row>
    <row r="31" spans="1:17" x14ac:dyDescent="0.25">
      <c r="A31" s="4">
        <v>2010</v>
      </c>
      <c r="B31" s="24">
        <f t="shared" si="7"/>
        <v>1.0029684857271064</v>
      </c>
      <c r="C31" s="24">
        <f t="shared" si="7"/>
        <v>0.99791169451073991</v>
      </c>
      <c r="D31" s="24">
        <f t="shared" si="7"/>
        <v>1.0046189376443417</v>
      </c>
      <c r="E31" s="24">
        <f t="shared" si="7"/>
        <v>0.97163120567375882</v>
      </c>
      <c r="F31" s="24">
        <f t="shared" si="7"/>
        <v>1.0053415160813728</v>
      </c>
      <c r="G31" s="24">
        <f t="shared" si="7"/>
        <v>0.94117647058823528</v>
      </c>
      <c r="L31" s="188" t="s">
        <v>162</v>
      </c>
      <c r="M31" s="185">
        <f>27635+2024</f>
        <v>29659</v>
      </c>
      <c r="N31" s="185">
        <f>27588+1864</f>
        <v>29452</v>
      </c>
      <c r="O31" s="185">
        <f>27817+1742</f>
        <v>29559</v>
      </c>
      <c r="P31" s="186">
        <f>27900+1695</f>
        <v>29595</v>
      </c>
      <c r="Q31" s="186">
        <f t="shared" ref="Q31:Q36" si="8">AVERAGE(M31:P31)</f>
        <v>29566.25</v>
      </c>
    </row>
    <row r="32" spans="1:17" x14ac:dyDescent="0.25">
      <c r="A32" s="4">
        <v>2011</v>
      </c>
      <c r="B32" s="24">
        <f t="shared" si="7"/>
        <v>1.0023058127129436</v>
      </c>
      <c r="C32" s="24">
        <f t="shared" si="7"/>
        <v>1.0062780269058296</v>
      </c>
      <c r="D32" s="24">
        <f t="shared" si="7"/>
        <v>0.9264367816091954</v>
      </c>
      <c r="E32" s="24">
        <f t="shared" si="7"/>
        <v>0.97810218978102192</v>
      </c>
      <c r="F32" s="24">
        <f t="shared" si="7"/>
        <v>1</v>
      </c>
      <c r="G32" s="24">
        <f t="shared" si="7"/>
        <v>1.1875</v>
      </c>
      <c r="L32" s="188" t="s">
        <v>163</v>
      </c>
      <c r="M32" s="185">
        <f>3237+245</f>
        <v>3482</v>
      </c>
      <c r="N32" s="185">
        <f>3145+267</f>
        <v>3412</v>
      </c>
      <c r="O32" s="185">
        <f>3147+267</f>
        <v>3414</v>
      </c>
      <c r="P32" s="186">
        <f>3140+276</f>
        <v>3416</v>
      </c>
      <c r="Q32" s="186">
        <f t="shared" si="8"/>
        <v>3431</v>
      </c>
    </row>
    <row r="33" spans="1:19" x14ac:dyDescent="0.25">
      <c r="A33" s="4">
        <v>2012</v>
      </c>
      <c r="B33" s="24">
        <f t="shared" si="7"/>
        <v>1.0069701964015931</v>
      </c>
      <c r="C33" s="24">
        <f t="shared" si="7"/>
        <v>1.0243612596553773</v>
      </c>
      <c r="D33" s="24">
        <f t="shared" si="7"/>
        <v>0.90818858560794047</v>
      </c>
      <c r="E33" s="24">
        <f t="shared" si="7"/>
        <v>0.97512437810945274</v>
      </c>
      <c r="F33" s="24">
        <f t="shared" si="7"/>
        <v>1</v>
      </c>
      <c r="G33" s="24">
        <f t="shared" si="7"/>
        <v>1.1052631578947369</v>
      </c>
      <c r="L33" s="188" t="s">
        <v>164</v>
      </c>
      <c r="M33" s="185">
        <f>331+41</f>
        <v>372</v>
      </c>
      <c r="N33" s="185">
        <f>323+47</f>
        <v>370</v>
      </c>
      <c r="O33" s="185">
        <f>323+50</f>
        <v>373</v>
      </c>
      <c r="P33" s="186">
        <f>325+50</f>
        <v>375</v>
      </c>
      <c r="Q33" s="186">
        <f t="shared" si="8"/>
        <v>372.5</v>
      </c>
      <c r="S33" s="221"/>
    </row>
    <row r="34" spans="1:19" x14ac:dyDescent="0.25">
      <c r="A34" s="4">
        <v>2013</v>
      </c>
      <c r="B34" s="24">
        <f t="shared" si="7"/>
        <v>1.006035394005524</v>
      </c>
      <c r="C34" s="24">
        <f t="shared" si="7"/>
        <v>1.0075406032482599</v>
      </c>
      <c r="D34" s="24">
        <f t="shared" si="7"/>
        <v>1.0191256830601092</v>
      </c>
      <c r="E34" s="24">
        <f t="shared" si="7"/>
        <v>0.95408163265306123</v>
      </c>
      <c r="F34" s="24">
        <f t="shared" si="7"/>
        <v>1</v>
      </c>
      <c r="G34" s="24">
        <f t="shared" si="7"/>
        <v>1</v>
      </c>
      <c r="L34" s="188" t="s">
        <v>139</v>
      </c>
      <c r="M34" s="185">
        <v>20</v>
      </c>
      <c r="N34" s="185">
        <v>22</v>
      </c>
      <c r="O34" s="185">
        <v>20</v>
      </c>
      <c r="P34" s="186">
        <v>20</v>
      </c>
      <c r="Q34" s="186">
        <f t="shared" si="8"/>
        <v>20.5</v>
      </c>
      <c r="S34" s="221"/>
    </row>
    <row r="35" spans="1:19" x14ac:dyDescent="0.25">
      <c r="A35" s="4">
        <v>2014</v>
      </c>
      <c r="B35" s="24">
        <f t="shared" si="7"/>
        <v>1.0003389370932756</v>
      </c>
      <c r="C35" s="24">
        <f t="shared" si="7"/>
        <v>0.99712147380541161</v>
      </c>
      <c r="D35" s="24">
        <f t="shared" si="7"/>
        <v>0.99195710455764075</v>
      </c>
      <c r="E35" s="24">
        <f t="shared" si="7"/>
        <v>0.96791443850267378</v>
      </c>
      <c r="F35" s="24">
        <f t="shared" si="7"/>
        <v>1</v>
      </c>
      <c r="G35" s="24">
        <f t="shared" si="7"/>
        <v>1</v>
      </c>
      <c r="L35" s="188" t="s">
        <v>165</v>
      </c>
      <c r="M35" s="185">
        <v>353</v>
      </c>
      <c r="N35" s="185">
        <v>354</v>
      </c>
      <c r="O35" s="185">
        <v>367</v>
      </c>
      <c r="P35" s="186">
        <v>365</v>
      </c>
      <c r="Q35" s="186">
        <f t="shared" si="8"/>
        <v>359.75</v>
      </c>
      <c r="R35" s="32"/>
      <c r="S35" s="221"/>
    </row>
    <row r="36" spans="1:19" x14ac:dyDescent="0.25">
      <c r="A36" s="4">
        <v>2015</v>
      </c>
      <c r="B36" s="24">
        <f t="shared" si="7"/>
        <v>1.0017618757199973</v>
      </c>
      <c r="C36" s="24">
        <f t="shared" si="7"/>
        <v>0.99047344110854507</v>
      </c>
      <c r="D36" s="24">
        <f t="shared" si="7"/>
        <v>1.008108108108108</v>
      </c>
      <c r="E36" s="24">
        <f t="shared" si="7"/>
        <v>0.99447513812154698</v>
      </c>
      <c r="F36" s="24">
        <f t="shared" si="7"/>
        <v>0.9992086818901198</v>
      </c>
      <c r="G36" s="24">
        <f t="shared" si="7"/>
        <v>1</v>
      </c>
      <c r="H36" s="158"/>
      <c r="I36" s="158"/>
      <c r="J36" s="158"/>
      <c r="K36" s="158"/>
      <c r="L36" s="188" t="s">
        <v>166</v>
      </c>
      <c r="M36" s="185">
        <v>8846</v>
      </c>
      <c r="N36" s="185">
        <v>8836</v>
      </c>
      <c r="O36" s="185">
        <v>8836</v>
      </c>
      <c r="P36" s="186">
        <v>8836</v>
      </c>
      <c r="Q36" s="186">
        <f t="shared" si="8"/>
        <v>8838.5</v>
      </c>
      <c r="R36" s="32"/>
      <c r="S36" s="221"/>
    </row>
    <row r="37" spans="1:19" x14ac:dyDescent="0.25">
      <c r="A37" s="4">
        <v>2016</v>
      </c>
      <c r="B37" s="24">
        <f t="shared" si="7"/>
        <v>1.0018264222417641</v>
      </c>
      <c r="C37" s="24">
        <f t="shared" si="7"/>
        <v>0.99504517633343048</v>
      </c>
      <c r="D37" s="24">
        <f t="shared" si="7"/>
        <v>0.96782841823056298</v>
      </c>
      <c r="E37" s="24">
        <f t="shared" si="7"/>
        <v>1.0055555555555555</v>
      </c>
      <c r="F37" s="24">
        <f t="shared" si="7"/>
        <v>1.0037334540106346</v>
      </c>
      <c r="G37" s="24">
        <f t="shared" si="7"/>
        <v>1</v>
      </c>
      <c r="H37" s="158"/>
      <c r="I37" s="158"/>
      <c r="J37" s="158"/>
      <c r="K37" s="158"/>
      <c r="L37" s="188" t="s">
        <v>12</v>
      </c>
      <c r="M37" s="185">
        <f>SUM(M31:M36)</f>
        <v>42732</v>
      </c>
      <c r="N37" s="185">
        <f>SUM(N31:N36)</f>
        <v>42446</v>
      </c>
      <c r="O37" s="185">
        <f>SUM(O31:O36)</f>
        <v>42569</v>
      </c>
      <c r="P37" s="186">
        <f>SUM(P31:P36)</f>
        <v>42607</v>
      </c>
      <c r="Q37" s="186"/>
      <c r="R37" s="32"/>
      <c r="S37" s="221"/>
    </row>
    <row r="38" spans="1:19" x14ac:dyDescent="0.25">
      <c r="A38" s="4">
        <v>2017</v>
      </c>
      <c r="B38" s="193">
        <f t="shared" si="7"/>
        <v>1.0036799459824444</v>
      </c>
      <c r="C38" s="193">
        <f t="shared" si="7"/>
        <v>1.0008787346221442</v>
      </c>
      <c r="D38" s="193">
        <f t="shared" si="7"/>
        <v>1</v>
      </c>
      <c r="E38" s="193">
        <f t="shared" si="7"/>
        <v>0.99723756906077343</v>
      </c>
      <c r="F38" s="193">
        <f t="shared" si="7"/>
        <v>0.9096032461677187</v>
      </c>
      <c r="G38" s="193">
        <f t="shared" si="7"/>
        <v>1</v>
      </c>
      <c r="H38" s="158"/>
      <c r="I38" s="158"/>
      <c r="J38" s="158"/>
      <c r="K38" s="158"/>
      <c r="L38" s="188"/>
      <c r="M38" s="185"/>
      <c r="N38" s="185"/>
      <c r="O38" s="185"/>
      <c r="P38" s="186"/>
      <c r="Q38" s="186"/>
      <c r="R38" s="32"/>
      <c r="S38" s="221"/>
    </row>
    <row r="39" spans="1:19" x14ac:dyDescent="0.25">
      <c r="L39" s="184"/>
      <c r="M39" s="185"/>
      <c r="N39" s="185"/>
      <c r="O39" s="185"/>
      <c r="P39" s="186"/>
      <c r="Q39" s="186"/>
      <c r="R39" s="32"/>
      <c r="S39" s="221"/>
    </row>
    <row r="40" spans="1:19" x14ac:dyDescent="0.25">
      <c r="A40" t="s">
        <v>63</v>
      </c>
      <c r="B40" s="25">
        <f>B42</f>
        <v>1.0029096708981784</v>
      </c>
      <c r="C40" s="25">
        <f t="shared" ref="C40:G40" si="9">C42</f>
        <v>1.0040281509859077</v>
      </c>
      <c r="D40" s="25">
        <f t="shared" si="9"/>
        <v>0.98941407509604407</v>
      </c>
      <c r="E40" s="25">
        <f t="shared" si="9"/>
        <v>0.98192901189173087</v>
      </c>
      <c r="F40" s="25">
        <f t="shared" si="9"/>
        <v>0.99530991962429038</v>
      </c>
      <c r="G40" s="25">
        <f t="shared" si="9"/>
        <v>1.0407822108660185</v>
      </c>
      <c r="L40" s="184"/>
      <c r="M40" s="185"/>
      <c r="N40" s="185"/>
      <c r="O40" s="185"/>
      <c r="P40" s="186"/>
      <c r="Q40" s="186"/>
    </row>
    <row r="41" spans="1:19" x14ac:dyDescent="0.25">
      <c r="B41" s="25"/>
      <c r="C41" s="25"/>
      <c r="D41" s="25"/>
      <c r="E41" s="25"/>
      <c r="F41" s="25"/>
      <c r="G41" s="25"/>
      <c r="L41" s="184">
        <v>2016</v>
      </c>
      <c r="M41" s="335" t="s">
        <v>167</v>
      </c>
      <c r="N41" s="336" t="s">
        <v>168</v>
      </c>
      <c r="O41" s="336" t="s">
        <v>169</v>
      </c>
      <c r="P41" s="337" t="s">
        <v>170</v>
      </c>
      <c r="Q41" s="187" t="s">
        <v>16</v>
      </c>
    </row>
    <row r="42" spans="1:19" x14ac:dyDescent="0.25">
      <c r="A42" t="s">
        <v>17</v>
      </c>
      <c r="B42" s="25">
        <f>GEOMEAN(B25:B38)</f>
        <v>1.0029096708981784</v>
      </c>
      <c r="C42" s="25">
        <f t="shared" ref="C42:G42" si="10">GEOMEAN(C25:C38)</f>
        <v>1.0040281509859077</v>
      </c>
      <c r="D42" s="25">
        <f t="shared" si="10"/>
        <v>0.98941407509604407</v>
      </c>
      <c r="E42" s="25">
        <f t="shared" si="10"/>
        <v>0.98192901189173087</v>
      </c>
      <c r="F42" s="25">
        <f t="shared" si="10"/>
        <v>0.99530991962429038</v>
      </c>
      <c r="G42" s="25">
        <f t="shared" si="10"/>
        <v>1.0407822108660185</v>
      </c>
      <c r="L42" s="188" t="s">
        <v>162</v>
      </c>
      <c r="M42" s="185">
        <f>28013+1581</f>
        <v>29594</v>
      </c>
      <c r="N42" s="185">
        <f>28050+1497</f>
        <v>29547</v>
      </c>
      <c r="O42" s="185">
        <f>28224+1386</f>
        <v>29610</v>
      </c>
      <c r="P42" s="186">
        <v>29727</v>
      </c>
      <c r="Q42" s="186">
        <f>AVERAGE(M42:P42)</f>
        <v>29619.5</v>
      </c>
    </row>
    <row r="43" spans="1:19" x14ac:dyDescent="0.25">
      <c r="A43" s="4"/>
      <c r="B43" s="25"/>
      <c r="C43" s="25"/>
      <c r="D43" s="25"/>
      <c r="E43" s="25"/>
      <c r="F43" s="25"/>
      <c r="G43" s="25"/>
      <c r="L43" s="188" t="s">
        <v>163</v>
      </c>
      <c r="M43" s="185">
        <f>3141+275</f>
        <v>3416</v>
      </c>
      <c r="N43" s="185">
        <f>3146+269</f>
        <v>3415</v>
      </c>
      <c r="O43" s="185">
        <f>3135+269</f>
        <v>3404</v>
      </c>
      <c r="P43" s="186">
        <v>3414</v>
      </c>
      <c r="Q43" s="186">
        <f t="shared" ref="Q43:Q47" si="11">AVERAGE(M43:P43)</f>
        <v>3412.25</v>
      </c>
    </row>
    <row r="44" spans="1:19" x14ac:dyDescent="0.25">
      <c r="A44" s="4"/>
      <c r="B44" s="25">
        <f t="shared" ref="B44:G44" si="12">B42-1</f>
        <v>2.9096708981783959E-3</v>
      </c>
      <c r="C44" s="25">
        <f>C42-1</f>
        <v>4.0281509859076969E-3</v>
      </c>
      <c r="D44" s="25">
        <f t="shared" si="12"/>
        <v>-1.0585924903955934E-2</v>
      </c>
      <c r="E44" s="25">
        <f t="shared" si="12"/>
        <v>-1.8070988108269126E-2</v>
      </c>
      <c r="F44" s="25">
        <f t="shared" si="12"/>
        <v>-4.6900803757096154E-3</v>
      </c>
      <c r="G44" s="25">
        <f t="shared" si="12"/>
        <v>4.078221086601852E-2</v>
      </c>
      <c r="L44" s="188" t="s">
        <v>164</v>
      </c>
      <c r="M44" s="185">
        <f>324+52</f>
        <v>376</v>
      </c>
      <c r="N44" s="185">
        <f>319+53</f>
        <v>372</v>
      </c>
      <c r="O44" s="185">
        <f>320+52</f>
        <v>372</v>
      </c>
      <c r="P44" s="186">
        <v>361</v>
      </c>
      <c r="Q44" s="186">
        <f t="shared" si="11"/>
        <v>370.25</v>
      </c>
    </row>
    <row r="45" spans="1:19" x14ac:dyDescent="0.25">
      <c r="A45" s="4"/>
      <c r="B45" s="25"/>
      <c r="C45" s="25"/>
      <c r="D45" s="25"/>
      <c r="E45" s="25"/>
      <c r="F45" s="25"/>
      <c r="G45" s="25"/>
      <c r="L45" s="188" t="s">
        <v>139</v>
      </c>
      <c r="M45" s="185">
        <v>21</v>
      </c>
      <c r="N45" s="185">
        <v>21</v>
      </c>
      <c r="O45" s="185">
        <v>21</v>
      </c>
      <c r="P45" s="186">
        <v>21</v>
      </c>
      <c r="Q45" s="186">
        <f t="shared" si="11"/>
        <v>21</v>
      </c>
    </row>
    <row r="46" spans="1:19" x14ac:dyDescent="0.25">
      <c r="A46" s="4"/>
      <c r="B46" s="63"/>
      <c r="C46" s="25"/>
      <c r="D46" s="25"/>
      <c r="L46" s="188" t="s">
        <v>165</v>
      </c>
      <c r="M46" s="185">
        <v>365</v>
      </c>
      <c r="N46" s="185">
        <v>361</v>
      </c>
      <c r="O46" s="185">
        <v>359</v>
      </c>
      <c r="P46" s="186">
        <v>362</v>
      </c>
      <c r="Q46" s="186">
        <f t="shared" si="11"/>
        <v>361.75</v>
      </c>
    </row>
    <row r="47" spans="1:19" x14ac:dyDescent="0.25">
      <c r="A47" s="4"/>
      <c r="B47" s="25"/>
      <c r="C47" s="25"/>
      <c r="D47" s="25"/>
      <c r="E47" s="25"/>
      <c r="F47" s="25"/>
      <c r="G47" s="25"/>
      <c r="L47" s="188" t="s">
        <v>166</v>
      </c>
      <c r="M47" s="185">
        <v>8836</v>
      </c>
      <c r="N47" s="185">
        <v>8836</v>
      </c>
      <c r="O47" s="185">
        <v>8836</v>
      </c>
      <c r="P47" s="186">
        <v>8980</v>
      </c>
      <c r="Q47" s="186">
        <f t="shared" si="11"/>
        <v>8872</v>
      </c>
    </row>
    <row r="48" spans="1:19" x14ac:dyDescent="0.25">
      <c r="A48" s="4"/>
      <c r="B48" s="25"/>
      <c r="C48" s="25"/>
      <c r="D48" s="25"/>
      <c r="E48" s="25"/>
      <c r="F48" s="25"/>
      <c r="G48" s="25"/>
      <c r="L48" s="188" t="s">
        <v>12</v>
      </c>
      <c r="M48" s="185">
        <f>SUM(M42:M47)</f>
        <v>42608</v>
      </c>
      <c r="N48" s="185">
        <f>SUM(N42:N47)</f>
        <v>42552</v>
      </c>
      <c r="O48" s="185">
        <f>SUM(O42:O47)</f>
        <v>42602</v>
      </c>
      <c r="P48" s="185">
        <f>SUM(P42:P47)</f>
        <v>42865</v>
      </c>
      <c r="Q48" s="186"/>
    </row>
    <row r="49" spans="2:17" x14ac:dyDescent="0.25">
      <c r="B49"/>
      <c r="C49"/>
      <c r="D49"/>
      <c r="E49"/>
      <c r="F49"/>
      <c r="G49"/>
    </row>
    <row r="50" spans="2:17" x14ac:dyDescent="0.25">
      <c r="B50"/>
      <c r="C50"/>
      <c r="D50"/>
      <c r="E50"/>
      <c r="F50"/>
      <c r="G50"/>
      <c r="L50" s="184">
        <v>2017</v>
      </c>
      <c r="M50" s="335" t="s">
        <v>167</v>
      </c>
      <c r="N50" s="336" t="s">
        <v>168</v>
      </c>
      <c r="O50" s="336" t="s">
        <v>169</v>
      </c>
      <c r="P50" s="337" t="s">
        <v>170</v>
      </c>
      <c r="Q50" s="187" t="s">
        <v>16</v>
      </c>
    </row>
    <row r="51" spans="2:17" x14ac:dyDescent="0.25">
      <c r="B51"/>
      <c r="C51"/>
      <c r="D51"/>
      <c r="E51"/>
      <c r="F51"/>
      <c r="G51"/>
      <c r="L51" s="188" t="s">
        <v>162</v>
      </c>
      <c r="M51" s="185">
        <v>29727</v>
      </c>
      <c r="N51" s="185">
        <v>29674</v>
      </c>
      <c r="O51" s="185">
        <v>29713</v>
      </c>
      <c r="P51" s="185">
        <v>29803</v>
      </c>
      <c r="Q51" s="186">
        <f>AVERAGE(M51:P51)</f>
        <v>29729.25</v>
      </c>
    </row>
    <row r="52" spans="2:17" x14ac:dyDescent="0.25">
      <c r="B52"/>
      <c r="C52"/>
      <c r="D52"/>
      <c r="E52"/>
      <c r="F52"/>
      <c r="G52"/>
      <c r="L52" s="188" t="s">
        <v>163</v>
      </c>
      <c r="M52" s="185">
        <v>3414</v>
      </c>
      <c r="N52" s="185">
        <v>3421</v>
      </c>
      <c r="O52" s="185">
        <v>3417</v>
      </c>
      <c r="P52" s="185">
        <v>3414</v>
      </c>
      <c r="Q52" s="186">
        <f t="shared" ref="Q52:Q56" si="13">AVERAGE(M52:P52)</f>
        <v>3416.5</v>
      </c>
    </row>
    <row r="53" spans="2:17" x14ac:dyDescent="0.25">
      <c r="B53"/>
      <c r="C53"/>
      <c r="D53"/>
      <c r="E53"/>
      <c r="F53"/>
      <c r="G53"/>
      <c r="L53" s="188" t="s">
        <v>164</v>
      </c>
      <c r="M53" s="185">
        <v>361</v>
      </c>
      <c r="N53" s="185">
        <v>361</v>
      </c>
      <c r="O53" s="185">
        <v>360</v>
      </c>
      <c r="P53" s="185">
        <v>362</v>
      </c>
      <c r="Q53" s="186">
        <f t="shared" si="13"/>
        <v>361</v>
      </c>
    </row>
    <row r="54" spans="2:17" x14ac:dyDescent="0.25">
      <c r="B54"/>
      <c r="C54"/>
      <c r="D54"/>
      <c r="E54"/>
      <c r="F54"/>
      <c r="G54"/>
      <c r="L54" s="188" t="s">
        <v>139</v>
      </c>
      <c r="M54" s="185">
        <v>21</v>
      </c>
      <c r="N54" s="185">
        <v>21</v>
      </c>
      <c r="O54" s="185">
        <v>21</v>
      </c>
      <c r="P54" s="185">
        <v>21</v>
      </c>
      <c r="Q54" s="186">
        <f t="shared" si="13"/>
        <v>21</v>
      </c>
    </row>
    <row r="55" spans="2:17" x14ac:dyDescent="0.25">
      <c r="B55"/>
      <c r="C55"/>
      <c r="D55"/>
      <c r="E55"/>
      <c r="F55"/>
      <c r="G55"/>
      <c r="L55" s="188" t="s">
        <v>165</v>
      </c>
      <c r="M55" s="185">
        <v>362</v>
      </c>
      <c r="N55" s="185">
        <v>363</v>
      </c>
      <c r="O55" s="185">
        <v>359</v>
      </c>
      <c r="P55" s="185">
        <v>358</v>
      </c>
      <c r="Q55" s="186">
        <f t="shared" si="13"/>
        <v>360.5</v>
      </c>
    </row>
    <row r="56" spans="2:17" x14ac:dyDescent="0.25">
      <c r="B56"/>
      <c r="C56"/>
      <c r="D56"/>
      <c r="E56"/>
      <c r="F56"/>
      <c r="G56"/>
      <c r="L56" s="188" t="s">
        <v>166</v>
      </c>
      <c r="M56" s="185">
        <v>8980</v>
      </c>
      <c r="N56" s="185">
        <v>9317</v>
      </c>
      <c r="O56" s="185">
        <v>9317</v>
      </c>
      <c r="P56" s="185">
        <v>9317</v>
      </c>
      <c r="Q56" s="186">
        <f t="shared" si="13"/>
        <v>9232.75</v>
      </c>
    </row>
    <row r="57" spans="2:17" x14ac:dyDescent="0.25">
      <c r="B57"/>
      <c r="C57"/>
      <c r="D57"/>
      <c r="E57"/>
      <c r="F57"/>
      <c r="G57"/>
      <c r="L57" s="188" t="s">
        <v>12</v>
      </c>
      <c r="M57" s="185">
        <f>SUM(M51:M56)</f>
        <v>42865</v>
      </c>
      <c r="N57" s="185">
        <f>SUM(N51:N56)</f>
        <v>43157</v>
      </c>
      <c r="O57" s="185">
        <f>SUM(O51:O56)</f>
        <v>43187</v>
      </c>
      <c r="P57" s="185">
        <f>SUM(P51:P56)</f>
        <v>43275</v>
      </c>
      <c r="Q57" s="186"/>
    </row>
    <row r="58" spans="2:17" x14ac:dyDescent="0.25">
      <c r="B58"/>
      <c r="C58"/>
      <c r="D58"/>
      <c r="E58"/>
      <c r="F58"/>
      <c r="G58"/>
    </row>
    <row r="59" spans="2:17" x14ac:dyDescent="0.25">
      <c r="B59"/>
      <c r="C59"/>
      <c r="D59"/>
      <c r="E59"/>
      <c r="F59"/>
      <c r="G59"/>
    </row>
    <row r="60" spans="2:17" x14ac:dyDescent="0.25">
      <c r="B60"/>
      <c r="C60"/>
      <c r="D60"/>
      <c r="E60"/>
      <c r="F60"/>
      <c r="G60"/>
    </row>
    <row r="61" spans="2:17" x14ac:dyDescent="0.25">
      <c r="B61"/>
      <c r="C61"/>
      <c r="D61"/>
      <c r="E61"/>
      <c r="F61"/>
      <c r="G61"/>
    </row>
    <row r="62" spans="2:17" x14ac:dyDescent="0.25">
      <c r="B62"/>
      <c r="C62"/>
      <c r="D62"/>
      <c r="E62"/>
      <c r="F62"/>
      <c r="G62"/>
    </row>
    <row r="63" spans="2:17" x14ac:dyDescent="0.25">
      <c r="B63"/>
      <c r="C63"/>
      <c r="D63"/>
      <c r="E63"/>
      <c r="F63"/>
      <c r="G63"/>
    </row>
    <row r="64" spans="2:17" x14ac:dyDescent="0.25">
      <c r="B64"/>
      <c r="C64"/>
      <c r="D64"/>
      <c r="E64"/>
      <c r="F64"/>
      <c r="G64"/>
    </row>
    <row r="65" spans="2:17" x14ac:dyDescent="0.25">
      <c r="B65"/>
      <c r="C65"/>
      <c r="D65"/>
      <c r="E65"/>
      <c r="F65"/>
      <c r="G65"/>
    </row>
    <row r="66" spans="2:17" x14ac:dyDescent="0.25">
      <c r="B66"/>
      <c r="C66"/>
      <c r="D66"/>
      <c r="E66"/>
      <c r="F66"/>
      <c r="G66"/>
    </row>
    <row r="67" spans="2:17" x14ac:dyDescent="0.25">
      <c r="B67"/>
      <c r="C67"/>
      <c r="D67"/>
      <c r="E67"/>
      <c r="F67"/>
      <c r="G67"/>
    </row>
    <row r="68" spans="2:17" x14ac:dyDescent="0.25">
      <c r="B68"/>
      <c r="C68"/>
      <c r="D68"/>
      <c r="E68"/>
      <c r="F68"/>
      <c r="G68"/>
    </row>
    <row r="69" spans="2:17" x14ac:dyDescent="0.25">
      <c r="B69" s="25"/>
      <c r="C69" s="25"/>
      <c r="D69" s="25"/>
      <c r="E69" s="25"/>
      <c r="F69" s="25"/>
      <c r="G69" s="25"/>
    </row>
    <row r="70" spans="2:17" x14ac:dyDescent="0.25">
      <c r="B70" s="25"/>
      <c r="C70" s="25"/>
      <c r="D70" s="25"/>
      <c r="E70" s="25"/>
      <c r="F70" s="25"/>
      <c r="G70" s="25"/>
    </row>
    <row r="71" spans="2:17" x14ac:dyDescent="0.25">
      <c r="B71" s="25"/>
      <c r="C71" s="25"/>
      <c r="D71" s="25"/>
      <c r="E71" s="25"/>
      <c r="F71" s="25"/>
      <c r="G71" s="25"/>
    </row>
    <row r="72" spans="2:17" x14ac:dyDescent="0.25">
      <c r="B72" s="25"/>
      <c r="C72" s="25"/>
      <c r="D72" s="25"/>
      <c r="E72" s="25"/>
      <c r="F72" s="25"/>
      <c r="G72" s="25"/>
    </row>
    <row r="73" spans="2:17" x14ac:dyDescent="0.25">
      <c r="B73" s="25"/>
      <c r="C73" s="25"/>
      <c r="D73" s="25"/>
      <c r="E73" s="25"/>
      <c r="F73" s="25"/>
      <c r="G73" s="25"/>
    </row>
    <row r="74" spans="2:17" x14ac:dyDescent="0.25">
      <c r="B74" s="25"/>
      <c r="C74" s="25"/>
      <c r="D74" s="25"/>
      <c r="E74" s="25"/>
      <c r="F74" s="25"/>
      <c r="G74" s="25"/>
    </row>
    <row r="75" spans="2:17" x14ac:dyDescent="0.25">
      <c r="B75" s="25"/>
      <c r="C75" s="25"/>
      <c r="E75" s="25"/>
      <c r="F75" s="25"/>
      <c r="G75" s="25"/>
    </row>
    <row r="76" spans="2:17" x14ac:dyDescent="0.25">
      <c r="B76"/>
      <c r="C76"/>
      <c r="D76"/>
      <c r="E76"/>
      <c r="F76"/>
      <c r="G76"/>
      <c r="H76"/>
      <c r="I76"/>
      <c r="J76"/>
      <c r="K76"/>
      <c r="L76"/>
      <c r="P76"/>
      <c r="Q76"/>
    </row>
    <row r="77" spans="2:17" x14ac:dyDescent="0.25">
      <c r="B77"/>
      <c r="C77"/>
      <c r="D77"/>
      <c r="E77"/>
      <c r="F77"/>
      <c r="G77"/>
      <c r="H77"/>
      <c r="I77"/>
      <c r="J77"/>
      <c r="K77"/>
      <c r="L77"/>
      <c r="P77"/>
      <c r="Q77"/>
    </row>
    <row r="78" spans="2:17" x14ac:dyDescent="0.25">
      <c r="B78"/>
      <c r="C78"/>
      <c r="D78"/>
      <c r="E78"/>
      <c r="F78"/>
      <c r="G78"/>
      <c r="H78"/>
      <c r="I78"/>
      <c r="J78"/>
      <c r="K78"/>
      <c r="L78"/>
      <c r="P78"/>
      <c r="Q78"/>
    </row>
    <row r="79" spans="2:17" x14ac:dyDescent="0.25">
      <c r="B79"/>
      <c r="C79"/>
      <c r="D79"/>
      <c r="E79"/>
      <c r="F79"/>
      <c r="G79"/>
      <c r="H79"/>
      <c r="I79"/>
      <c r="J79"/>
      <c r="K79"/>
      <c r="L79"/>
      <c r="P79"/>
      <c r="Q79"/>
    </row>
    <row r="80" spans="2:17" x14ac:dyDescent="0.25">
      <c r="B80"/>
      <c r="C80"/>
      <c r="D80"/>
      <c r="E80"/>
      <c r="F80"/>
      <c r="G80"/>
      <c r="H80"/>
      <c r="I80"/>
      <c r="J80"/>
      <c r="K80"/>
      <c r="L80"/>
      <c r="P80"/>
      <c r="Q80"/>
    </row>
    <row r="81" spans="2:17" x14ac:dyDescent="0.25">
      <c r="B81"/>
      <c r="C81"/>
      <c r="D81"/>
      <c r="E81"/>
      <c r="F81"/>
      <c r="G81"/>
      <c r="H81"/>
      <c r="I81"/>
      <c r="J81"/>
      <c r="K81"/>
      <c r="L81"/>
      <c r="P81"/>
      <c r="Q81"/>
    </row>
    <row r="82" spans="2:17" x14ac:dyDescent="0.25">
      <c r="B82"/>
      <c r="C82"/>
      <c r="D82"/>
      <c r="E82"/>
      <c r="F82"/>
      <c r="G82"/>
      <c r="H82"/>
      <c r="I82"/>
      <c r="J82"/>
      <c r="K82"/>
      <c r="L82"/>
      <c r="P82"/>
      <c r="Q82"/>
    </row>
    <row r="83" spans="2:17" x14ac:dyDescent="0.25">
      <c r="B83"/>
      <c r="C83"/>
      <c r="D83"/>
      <c r="E83"/>
      <c r="F83"/>
      <c r="G83"/>
      <c r="H83"/>
      <c r="I83"/>
      <c r="J83"/>
      <c r="K83"/>
      <c r="L83"/>
      <c r="P83"/>
      <c r="Q83"/>
    </row>
    <row r="84" spans="2:17" x14ac:dyDescent="0.25">
      <c r="B84"/>
      <c r="C84"/>
      <c r="D84"/>
      <c r="E84"/>
      <c r="F84"/>
      <c r="G84"/>
      <c r="H84"/>
      <c r="I84"/>
      <c r="J84"/>
      <c r="K84"/>
      <c r="L84"/>
      <c r="P84"/>
      <c r="Q84"/>
    </row>
    <row r="85" spans="2:17" x14ac:dyDescent="0.25">
      <c r="B85"/>
      <c r="C85"/>
      <c r="D85"/>
      <c r="E85"/>
      <c r="F85"/>
      <c r="G85"/>
      <c r="H85"/>
      <c r="I85"/>
      <c r="J85"/>
      <c r="K85"/>
      <c r="L85"/>
      <c r="P85"/>
      <c r="Q85"/>
    </row>
    <row r="86" spans="2:17" x14ac:dyDescent="0.25">
      <c r="B86"/>
      <c r="C86"/>
      <c r="D86"/>
      <c r="E86"/>
      <c r="F86"/>
      <c r="G86"/>
      <c r="H86"/>
      <c r="I86"/>
      <c r="J86"/>
      <c r="K86"/>
      <c r="L86"/>
      <c r="P86"/>
      <c r="Q86"/>
    </row>
    <row r="87" spans="2:17" x14ac:dyDescent="0.25">
      <c r="B87"/>
      <c r="C87"/>
      <c r="D87"/>
      <c r="E87"/>
      <c r="F87"/>
      <c r="G87"/>
      <c r="H87"/>
      <c r="I87"/>
      <c r="J87"/>
      <c r="K87"/>
      <c r="L87"/>
      <c r="P87"/>
      <c r="Q87"/>
    </row>
    <row r="88" spans="2:17" x14ac:dyDescent="0.25">
      <c r="B88"/>
      <c r="C88"/>
      <c r="D88"/>
      <c r="E88"/>
      <c r="F88"/>
      <c r="G88"/>
      <c r="H88"/>
      <c r="I88"/>
      <c r="J88"/>
      <c r="K88"/>
      <c r="L88"/>
      <c r="P88"/>
      <c r="Q88"/>
    </row>
    <row r="89" spans="2:17" x14ac:dyDescent="0.25">
      <c r="B89"/>
      <c r="C89"/>
      <c r="D89"/>
      <c r="E89"/>
      <c r="F89"/>
      <c r="G89"/>
      <c r="H89"/>
      <c r="I89"/>
      <c r="J89"/>
      <c r="K89"/>
      <c r="L89"/>
      <c r="P89"/>
      <c r="Q89"/>
    </row>
    <row r="90" spans="2:17" x14ac:dyDescent="0.25">
      <c r="B90"/>
      <c r="C90"/>
      <c r="D90"/>
      <c r="E90"/>
      <c r="F90"/>
      <c r="G90"/>
      <c r="H90"/>
      <c r="I90"/>
      <c r="J90"/>
      <c r="K90"/>
      <c r="L90"/>
      <c r="P90"/>
      <c r="Q90"/>
    </row>
    <row r="91" spans="2:17" x14ac:dyDescent="0.25">
      <c r="B91"/>
      <c r="C91"/>
      <c r="D91"/>
      <c r="E91"/>
      <c r="F91"/>
      <c r="G91"/>
      <c r="H91"/>
      <c r="I91"/>
      <c r="J91"/>
      <c r="K91"/>
      <c r="L91"/>
      <c r="P91"/>
      <c r="Q91"/>
    </row>
    <row r="92" spans="2:17" x14ac:dyDescent="0.25">
      <c r="B92"/>
      <c r="C92"/>
      <c r="D92"/>
      <c r="E92"/>
      <c r="F92"/>
      <c r="G92"/>
      <c r="H92"/>
      <c r="I92"/>
      <c r="J92"/>
      <c r="K92"/>
      <c r="L92"/>
      <c r="P92"/>
      <c r="Q92"/>
    </row>
    <row r="93" spans="2:17" x14ac:dyDescent="0.25">
      <c r="B93"/>
      <c r="C93"/>
      <c r="D93"/>
      <c r="E93"/>
      <c r="F93"/>
      <c r="G93"/>
      <c r="H93"/>
      <c r="I93"/>
      <c r="J93"/>
      <c r="K93"/>
      <c r="L93"/>
      <c r="P93"/>
      <c r="Q93"/>
    </row>
    <row r="94" spans="2:17" x14ac:dyDescent="0.25">
      <c r="B94"/>
      <c r="C94"/>
      <c r="D94"/>
      <c r="E94"/>
      <c r="F94"/>
      <c r="G94"/>
      <c r="H94"/>
      <c r="I94"/>
      <c r="J94"/>
      <c r="K94"/>
      <c r="L94"/>
      <c r="P94"/>
      <c r="Q94"/>
    </row>
    <row r="95" spans="2:17" x14ac:dyDescent="0.25">
      <c r="B95"/>
      <c r="C95"/>
      <c r="D95"/>
      <c r="E95"/>
      <c r="F95"/>
      <c r="G95"/>
      <c r="H95"/>
      <c r="I95"/>
      <c r="J95"/>
      <c r="K95"/>
      <c r="L95"/>
      <c r="P95"/>
      <c r="Q95"/>
    </row>
    <row r="96" spans="2:17" x14ac:dyDescent="0.25">
      <c r="B96"/>
      <c r="C96"/>
      <c r="D96"/>
      <c r="E96"/>
      <c r="F96"/>
      <c r="G96"/>
      <c r="H96"/>
      <c r="I96"/>
      <c r="J96"/>
      <c r="K96"/>
      <c r="L96"/>
      <c r="P96"/>
      <c r="Q96"/>
    </row>
    <row r="97" spans="2:17" x14ac:dyDescent="0.25">
      <c r="B97"/>
      <c r="C97"/>
      <c r="D97"/>
      <c r="E97"/>
      <c r="F97"/>
      <c r="G97"/>
      <c r="H97"/>
      <c r="I97"/>
      <c r="J97"/>
      <c r="K97"/>
      <c r="L97"/>
      <c r="P97"/>
      <c r="Q97"/>
    </row>
    <row r="98" spans="2:17" x14ac:dyDescent="0.25">
      <c r="B98"/>
      <c r="C98"/>
      <c r="D98"/>
      <c r="E98"/>
      <c r="F98"/>
      <c r="G98"/>
      <c r="H98"/>
      <c r="I98"/>
      <c r="J98"/>
      <c r="K98"/>
      <c r="L98"/>
      <c r="P98"/>
      <c r="Q98"/>
    </row>
    <row r="99" spans="2:17" x14ac:dyDescent="0.25">
      <c r="B99"/>
      <c r="C99"/>
      <c r="D99"/>
      <c r="E99"/>
      <c r="F99"/>
      <c r="G99"/>
      <c r="H99"/>
      <c r="I99"/>
      <c r="J99"/>
      <c r="K99"/>
      <c r="L99"/>
      <c r="P99"/>
      <c r="Q99"/>
    </row>
    <row r="100" spans="2:17" x14ac:dyDescent="0.25">
      <c r="B100"/>
      <c r="C100"/>
      <c r="D100"/>
      <c r="E100"/>
      <c r="F100"/>
      <c r="G100"/>
      <c r="H100"/>
      <c r="I100"/>
      <c r="J100"/>
      <c r="K100"/>
      <c r="L100"/>
      <c r="P100"/>
      <c r="Q100"/>
    </row>
    <row r="101" spans="2:17" x14ac:dyDescent="0.25">
      <c r="B101"/>
      <c r="C101"/>
      <c r="D101"/>
      <c r="E101"/>
      <c r="F101"/>
      <c r="G101"/>
      <c r="H101"/>
      <c r="I101"/>
      <c r="J101"/>
      <c r="K101"/>
      <c r="L101"/>
      <c r="P101"/>
      <c r="Q101"/>
    </row>
    <row r="102" spans="2:17" x14ac:dyDescent="0.25">
      <c r="B102"/>
      <c r="C102"/>
      <c r="D102"/>
      <c r="E102"/>
      <c r="F102"/>
      <c r="G102"/>
      <c r="H102"/>
      <c r="I102"/>
      <c r="J102"/>
      <c r="K102"/>
      <c r="L102"/>
      <c r="P102"/>
      <c r="Q102"/>
    </row>
    <row r="103" spans="2:17" x14ac:dyDescent="0.25">
      <c r="B103"/>
      <c r="C103"/>
      <c r="D103"/>
      <c r="E103"/>
      <c r="F103"/>
      <c r="G103"/>
      <c r="H103"/>
      <c r="I103"/>
      <c r="J103"/>
      <c r="K103"/>
      <c r="L103"/>
      <c r="P103"/>
      <c r="Q103"/>
    </row>
    <row r="104" spans="2:17" x14ac:dyDescent="0.25">
      <c r="B104"/>
      <c r="C104"/>
      <c r="D104"/>
      <c r="E104"/>
      <c r="F104"/>
      <c r="G104"/>
      <c r="H104"/>
      <c r="I104"/>
      <c r="J104"/>
      <c r="K104"/>
      <c r="L104"/>
      <c r="P104"/>
      <c r="Q104"/>
    </row>
    <row r="105" spans="2:17" x14ac:dyDescent="0.25">
      <c r="B105"/>
      <c r="C105"/>
      <c r="D105"/>
      <c r="E105"/>
      <c r="F105"/>
      <c r="G105"/>
      <c r="H105"/>
      <c r="I105"/>
      <c r="J105"/>
      <c r="K105"/>
      <c r="L105"/>
      <c r="P105"/>
      <c r="Q105"/>
    </row>
    <row r="106" spans="2:17" x14ac:dyDescent="0.25">
      <c r="B106"/>
      <c r="C106"/>
      <c r="D106"/>
      <c r="E106"/>
      <c r="F106"/>
      <c r="G106"/>
      <c r="H106"/>
      <c r="I106"/>
      <c r="J106"/>
      <c r="K106"/>
      <c r="L106"/>
      <c r="P106"/>
      <c r="Q106"/>
    </row>
    <row r="107" spans="2:17" x14ac:dyDescent="0.25">
      <c r="B107"/>
      <c r="C107"/>
      <c r="D107"/>
      <c r="E107"/>
      <c r="F107"/>
      <c r="G107"/>
      <c r="H107"/>
      <c r="I107"/>
      <c r="J107"/>
      <c r="K107"/>
      <c r="L107"/>
      <c r="P107"/>
      <c r="Q107"/>
    </row>
    <row r="108" spans="2:17" x14ac:dyDescent="0.25">
      <c r="B108"/>
      <c r="C108"/>
      <c r="D108"/>
      <c r="E108"/>
      <c r="F108"/>
      <c r="G108"/>
      <c r="H108"/>
      <c r="I108"/>
      <c r="J108"/>
      <c r="K108"/>
      <c r="L108"/>
      <c r="P108"/>
      <c r="Q108"/>
    </row>
    <row r="109" spans="2:17" x14ac:dyDescent="0.25">
      <c r="B109"/>
      <c r="C109"/>
      <c r="D109"/>
      <c r="E109"/>
      <c r="F109"/>
      <c r="G109"/>
      <c r="H109"/>
      <c r="I109"/>
      <c r="J109"/>
      <c r="K109"/>
      <c r="L109"/>
      <c r="P109"/>
      <c r="Q109"/>
    </row>
  </sheetData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opLeftCell="A19" zoomScaleNormal="100" workbookViewId="0">
      <selection activeCell="D40" sqref="D40"/>
    </sheetView>
  </sheetViews>
  <sheetFormatPr defaultRowHeight="13.2" x14ac:dyDescent="0.25"/>
  <cols>
    <col min="1" max="1" width="11" customWidth="1"/>
    <col min="2" max="2" width="14.109375" style="6" bestFit="1" customWidth="1"/>
    <col min="3" max="3" width="17.6640625" style="6" customWidth="1"/>
    <col min="4" max="4" width="12.5546875" style="6" customWidth="1"/>
    <col min="5" max="5" width="12.6640625" style="6" bestFit="1" customWidth="1"/>
    <col min="6" max="6" width="12.33203125" style="6" bestFit="1" customWidth="1"/>
    <col min="7" max="7" width="10.6640625" style="6" bestFit="1" customWidth="1"/>
    <col min="8" max="9" width="9.109375" style="6" customWidth="1"/>
  </cols>
  <sheetData>
    <row r="1" spans="1:6" ht="42" customHeight="1" x14ac:dyDescent="0.25">
      <c r="B1" s="8" t="str">
        <f>'Rate Class Customer Model'!D2</f>
        <v>General Service 50 to 4,999 kW</v>
      </c>
      <c r="C1" s="8" t="str">
        <f>'Rate Class Customer Model'!E2</f>
        <v>Sentinel Lights</v>
      </c>
      <c r="D1" s="8" t="str">
        <f>'Rate Class Customer Model'!F2</f>
        <v>Street Lights</v>
      </c>
      <c r="E1" s="6" t="s">
        <v>12</v>
      </c>
    </row>
    <row r="2" spans="1:6" x14ac:dyDescent="0.25">
      <c r="A2" s="30">
        <v>2001</v>
      </c>
      <c r="B2" s="22"/>
      <c r="C2" s="22"/>
      <c r="D2" s="22"/>
    </row>
    <row r="3" spans="1:6" x14ac:dyDescent="0.25">
      <c r="A3" s="30">
        <v>2002</v>
      </c>
      <c r="B3" s="47"/>
      <c r="C3" s="47"/>
      <c r="D3" s="47"/>
      <c r="E3" s="6">
        <f t="shared" ref="E3:E19" si="0">SUM(B3:D3)</f>
        <v>0</v>
      </c>
    </row>
    <row r="4" spans="1:6" x14ac:dyDescent="0.25">
      <c r="A4" s="30">
        <v>2003</v>
      </c>
      <c r="B4" s="48">
        <v>659827</v>
      </c>
      <c r="C4" s="48">
        <v>768</v>
      </c>
      <c r="D4" s="47">
        <v>21295</v>
      </c>
      <c r="E4" s="6">
        <f t="shared" si="0"/>
        <v>681890</v>
      </c>
    </row>
    <row r="5" spans="1:6" x14ac:dyDescent="0.25">
      <c r="A5" s="30">
        <v>2004</v>
      </c>
      <c r="B5" s="48">
        <v>673069</v>
      </c>
      <c r="C5" s="48">
        <v>873</v>
      </c>
      <c r="D5" s="47">
        <v>21340</v>
      </c>
      <c r="E5" s="6">
        <f t="shared" si="0"/>
        <v>695282</v>
      </c>
    </row>
    <row r="6" spans="1:6" x14ac:dyDescent="0.25">
      <c r="A6" s="30">
        <v>2005</v>
      </c>
      <c r="B6" s="48">
        <v>682195</v>
      </c>
      <c r="C6" s="48">
        <v>784</v>
      </c>
      <c r="D6" s="47">
        <v>21295</v>
      </c>
      <c r="E6" s="6">
        <f t="shared" si="0"/>
        <v>704274</v>
      </c>
    </row>
    <row r="7" spans="1:6" x14ac:dyDescent="0.25">
      <c r="A7" s="30">
        <v>2006</v>
      </c>
      <c r="B7" s="48">
        <v>657827</v>
      </c>
      <c r="C7" s="48">
        <v>766</v>
      </c>
      <c r="D7" s="47">
        <v>23029</v>
      </c>
      <c r="E7" s="6">
        <f t="shared" si="0"/>
        <v>681622</v>
      </c>
    </row>
    <row r="8" spans="1:6" x14ac:dyDescent="0.25">
      <c r="A8" s="30">
        <v>2007</v>
      </c>
      <c r="B8" s="48">
        <v>657184</v>
      </c>
      <c r="C8" s="48">
        <v>747</v>
      </c>
      <c r="D8" s="47">
        <v>21406</v>
      </c>
      <c r="E8" s="6">
        <f t="shared" si="0"/>
        <v>679337</v>
      </c>
    </row>
    <row r="9" spans="1:6" x14ac:dyDescent="0.25">
      <c r="A9" s="30">
        <v>2008</v>
      </c>
      <c r="B9" s="48">
        <v>650699</v>
      </c>
      <c r="C9" s="48">
        <v>744</v>
      </c>
      <c r="D9" s="47">
        <v>21317</v>
      </c>
      <c r="E9" s="6">
        <f t="shared" si="0"/>
        <v>672760</v>
      </c>
    </row>
    <row r="10" spans="1:6" x14ac:dyDescent="0.25">
      <c r="A10" s="30">
        <v>2009</v>
      </c>
      <c r="B10" s="48">
        <v>637622</v>
      </c>
      <c r="C10" s="48">
        <v>730</v>
      </c>
      <c r="D10" s="47">
        <v>21346</v>
      </c>
      <c r="E10" s="6">
        <f t="shared" si="0"/>
        <v>659698</v>
      </c>
    </row>
    <row r="11" spans="1:6" x14ac:dyDescent="0.25">
      <c r="A11" s="30">
        <v>2010</v>
      </c>
      <c r="B11" s="47">
        <v>635104</v>
      </c>
      <c r="C11" s="47">
        <v>714</v>
      </c>
      <c r="D11" s="47">
        <v>23264</v>
      </c>
      <c r="E11" s="6">
        <f t="shared" si="0"/>
        <v>659082</v>
      </c>
    </row>
    <row r="12" spans="1:6" x14ac:dyDescent="0.25">
      <c r="A12" s="30">
        <v>2011</v>
      </c>
      <c r="B12" s="73">
        <v>629024</v>
      </c>
      <c r="C12" s="73">
        <v>703</v>
      </c>
      <c r="D12" s="73">
        <v>21619</v>
      </c>
      <c r="E12" s="6">
        <f t="shared" si="0"/>
        <v>651346</v>
      </c>
    </row>
    <row r="13" spans="1:6" x14ac:dyDescent="0.25">
      <c r="A13" s="30">
        <v>2012</v>
      </c>
      <c r="B13" s="73">
        <v>627836</v>
      </c>
      <c r="C13" s="73">
        <v>687</v>
      </c>
      <c r="D13" s="73">
        <v>21596</v>
      </c>
      <c r="E13" s="6">
        <f t="shared" si="0"/>
        <v>650119</v>
      </c>
    </row>
    <row r="14" spans="1:6" x14ac:dyDescent="0.25">
      <c r="A14" s="30">
        <v>2013</v>
      </c>
      <c r="B14" s="73">
        <v>656137</v>
      </c>
      <c r="C14" s="73">
        <v>660</v>
      </c>
      <c r="D14" s="73">
        <v>21588</v>
      </c>
      <c r="E14" s="6">
        <f t="shared" si="0"/>
        <v>678385</v>
      </c>
    </row>
    <row r="15" spans="1:6" x14ac:dyDescent="0.25">
      <c r="A15" s="30">
        <v>2014</v>
      </c>
      <c r="B15" s="73">
        <v>634289</v>
      </c>
      <c r="C15" s="73">
        <v>676</v>
      </c>
      <c r="D15" s="73">
        <v>21876</v>
      </c>
      <c r="E15" s="6">
        <f t="shared" si="0"/>
        <v>656841</v>
      </c>
      <c r="F15" s="76"/>
    </row>
    <row r="16" spans="1:6" x14ac:dyDescent="0.25">
      <c r="A16" s="30">
        <v>2015</v>
      </c>
      <c r="B16" s="73">
        <v>711311</v>
      </c>
      <c r="C16" s="73">
        <v>752</v>
      </c>
      <c r="D16" s="73">
        <v>21794</v>
      </c>
      <c r="E16" s="6">
        <f t="shared" si="0"/>
        <v>733857</v>
      </c>
    </row>
    <row r="17" spans="1:9" x14ac:dyDescent="0.25">
      <c r="A17" s="30">
        <v>2016</v>
      </c>
      <c r="B17" s="73">
        <v>622066.30000000005</v>
      </c>
      <c r="C17" s="73">
        <v>630</v>
      </c>
      <c r="D17" s="73">
        <v>14262.4</v>
      </c>
      <c r="E17" s="6">
        <f t="shared" si="0"/>
        <v>636958.70000000007</v>
      </c>
    </row>
    <row r="18" spans="1:9" x14ac:dyDescent="0.25">
      <c r="A18" s="30">
        <v>2017</v>
      </c>
      <c r="B18" s="73">
        <v>610764.1</v>
      </c>
      <c r="C18" s="73">
        <v>619.20000000000005</v>
      </c>
      <c r="D18" s="73">
        <v>7030.1</v>
      </c>
      <c r="E18" s="158">
        <f t="shared" si="0"/>
        <v>618413.39999999991</v>
      </c>
      <c r="F18" s="158"/>
      <c r="G18" s="158"/>
      <c r="H18" s="158"/>
      <c r="I18" s="158"/>
    </row>
    <row r="19" spans="1:9" x14ac:dyDescent="0.25">
      <c r="A19" s="30">
        <v>2018</v>
      </c>
      <c r="B19" s="31">
        <f>$B$40*'Rate Class Energy Model'!J76</f>
        <v>610103.32693664508</v>
      </c>
      <c r="C19" s="31">
        <f>$C$40*'Rate Class Energy Model'!K76</f>
        <v>592.51480879014923</v>
      </c>
      <c r="D19" s="31">
        <v>7030.1</v>
      </c>
      <c r="E19" s="158">
        <f t="shared" si="0"/>
        <v>617725.94174543524</v>
      </c>
      <c r="F19" s="158"/>
      <c r="G19" s="158"/>
      <c r="H19" s="158"/>
      <c r="I19" s="158"/>
    </row>
    <row r="20" spans="1:9" x14ac:dyDescent="0.25">
      <c r="A20" s="19"/>
    </row>
    <row r="21" spans="1:9" x14ac:dyDescent="0.25">
      <c r="A21" s="18" t="s">
        <v>64</v>
      </c>
      <c r="B21" s="5"/>
      <c r="C21" s="5"/>
      <c r="D21" s="5"/>
      <c r="E21" s="61"/>
    </row>
    <row r="22" spans="1:9" x14ac:dyDescent="0.25">
      <c r="A22" s="4">
        <v>2001</v>
      </c>
      <c r="B22" s="28"/>
      <c r="C22" s="28"/>
      <c r="D22" s="5"/>
      <c r="F22" s="25"/>
    </row>
    <row r="23" spans="1:9" x14ac:dyDescent="0.25">
      <c r="A23" s="4">
        <v>2002</v>
      </c>
      <c r="B23" s="28"/>
      <c r="C23" s="28"/>
      <c r="D23" s="28"/>
    </row>
    <row r="24" spans="1:9" x14ac:dyDescent="0.25">
      <c r="A24" s="4">
        <v>2003</v>
      </c>
      <c r="B24" s="28">
        <f>B4/'Rate Class Energy Model'!J12</f>
        <v>2.5015886788689306E-3</v>
      </c>
      <c r="C24" s="28">
        <f>C4/'Rate Class Energy Model'!K12</f>
        <v>2.7769541730244935E-3</v>
      </c>
      <c r="D24" s="28">
        <f>D4/'Rate Class Energy Model'!L12</f>
        <v>2.9607060981647515E-3</v>
      </c>
    </row>
    <row r="25" spans="1:9" x14ac:dyDescent="0.25">
      <c r="A25" s="4">
        <v>2004</v>
      </c>
      <c r="B25" s="28">
        <f>B5/'Rate Class Energy Model'!J13</f>
        <v>2.5247651822724346E-3</v>
      </c>
      <c r="C25" s="28">
        <f>C5/'Rate Class Energy Model'!K13</f>
        <v>2.9976513247352591E-3</v>
      </c>
      <c r="D25" s="28">
        <f>D5/'Rate Class Energy Model'!L13</f>
        <v>2.8935094948195467E-3</v>
      </c>
    </row>
    <row r="26" spans="1:9" x14ac:dyDescent="0.25">
      <c r="A26" s="4">
        <v>2005</v>
      </c>
      <c r="B26" s="28">
        <f>B6/'Rate Class Energy Model'!J14</f>
        <v>2.563951226480057E-3</v>
      </c>
      <c r="C26" s="28">
        <f>C6/'Rate Class Energy Model'!K14</f>
        <v>2.7860102485377002E-3</v>
      </c>
      <c r="D26" s="28">
        <f>D6/'Rate Class Energy Model'!L14</f>
        <v>2.7587316544992716E-3</v>
      </c>
    </row>
    <row r="27" spans="1:9" x14ac:dyDescent="0.25">
      <c r="A27" s="4">
        <v>2006</v>
      </c>
      <c r="B27" s="28">
        <f>B7/'Rate Class Energy Model'!J15</f>
        <v>2.4708193209704715E-3</v>
      </c>
      <c r="C27" s="28">
        <f>C7/'Rate Class Energy Model'!K15</f>
        <v>2.7955286140236269E-3</v>
      </c>
      <c r="D27" s="28">
        <f>D7/'Rate Class Energy Model'!L15</f>
        <v>3.0278113193258219E-3</v>
      </c>
    </row>
    <row r="28" spans="1:9" x14ac:dyDescent="0.25">
      <c r="A28" s="4">
        <v>2007</v>
      </c>
      <c r="B28" s="28">
        <f>B8/'Rate Class Energy Model'!J16</f>
        <v>2.5283075485402146E-3</v>
      </c>
      <c r="C28" s="28">
        <f>C8/'Rate Class Energy Model'!K16</f>
        <v>2.7763943297627984E-3</v>
      </c>
      <c r="D28" s="28">
        <f>D8/'Rate Class Energy Model'!L16</f>
        <v>2.8027393156529181E-3</v>
      </c>
    </row>
    <row r="29" spans="1:9" x14ac:dyDescent="0.25">
      <c r="A29" s="4">
        <v>2008</v>
      </c>
      <c r="B29" s="28">
        <f>B9/'Rate Class Energy Model'!J17</f>
        <v>2.4919162430699338E-3</v>
      </c>
      <c r="C29" s="28">
        <f>C9/'Rate Class Energy Model'!K17</f>
        <v>2.7682381875481373E-3</v>
      </c>
      <c r="D29" s="28">
        <f>D9/'Rate Class Energy Model'!L17</f>
        <v>2.797431302701174E-3</v>
      </c>
    </row>
    <row r="30" spans="1:9" x14ac:dyDescent="0.25">
      <c r="A30" s="4">
        <v>2009</v>
      </c>
      <c r="B30" s="28">
        <f>B10/'Rate Class Energy Model'!J18</f>
        <v>2.4618786742565848E-3</v>
      </c>
      <c r="C30" s="28">
        <f>C10/'Rate Class Energy Model'!K18</f>
        <v>2.78071933018947E-3</v>
      </c>
      <c r="D30" s="28">
        <f>D10/'Rate Class Energy Model'!L18</f>
        <v>2.8075726334139549E-3</v>
      </c>
    </row>
    <row r="31" spans="1:9" x14ac:dyDescent="0.25">
      <c r="A31" s="4">
        <v>2010</v>
      </c>
      <c r="B31" s="28">
        <f>B11/'Rate Class Energy Model'!J19</f>
        <v>2.4708677924042168E-3</v>
      </c>
      <c r="C31" s="28">
        <f>C11/'Rate Class Energy Model'!K19</f>
        <v>2.7658659600925052E-3</v>
      </c>
      <c r="D31" s="28">
        <f>D11/'Rate Class Energy Model'!L19</f>
        <v>3.0000304335962144E-3</v>
      </c>
    </row>
    <row r="32" spans="1:9" x14ac:dyDescent="0.25">
      <c r="A32" s="4">
        <v>2011</v>
      </c>
      <c r="B32" s="28">
        <f>B12/'Rate Class Energy Model'!J20</f>
        <v>2.4574286460270749E-3</v>
      </c>
      <c r="C32" s="28">
        <f>C12/'Rate Class Energy Model'!K20</f>
        <v>2.7000868022215223E-3</v>
      </c>
      <c r="D32" s="28">
        <f>D12/'Rate Class Energy Model'!L20</f>
        <v>2.7664048228267361E-3</v>
      </c>
      <c r="F32" s="28"/>
    </row>
    <row r="33" spans="1:9" x14ac:dyDescent="0.25">
      <c r="A33" s="4">
        <v>2012</v>
      </c>
      <c r="B33" s="28">
        <f>B13/'Rate Class Energy Model'!J21</f>
        <v>2.4687425199532891E-3</v>
      </c>
      <c r="C33" s="28">
        <f>C13/'Rate Class Energy Model'!K21</f>
        <v>2.7868825858376064E-3</v>
      </c>
      <c r="D33" s="28">
        <f>D13/'Rate Class Energy Model'!L21</f>
        <v>2.7914579525335818E-3</v>
      </c>
      <c r="F33" s="28"/>
    </row>
    <row r="34" spans="1:9" x14ac:dyDescent="0.25">
      <c r="A34" s="4">
        <v>2013</v>
      </c>
      <c r="B34" s="28">
        <f>B14/'Rate Class Energy Model'!J22</f>
        <v>2.5328707434411476E-3</v>
      </c>
      <c r="C34" s="28">
        <f>C14/'Rate Class Energy Model'!K22</f>
        <v>2.7811137096264457E-3</v>
      </c>
      <c r="D34" s="28">
        <f>D14/'Rate Class Energy Model'!L22</f>
        <v>2.6692741176854618E-3</v>
      </c>
      <c r="F34" s="28"/>
    </row>
    <row r="35" spans="1:9" x14ac:dyDescent="0.25">
      <c r="A35" s="4">
        <v>2014</v>
      </c>
      <c r="B35" s="28">
        <f>B15/'Rate Class Energy Model'!J23</f>
        <v>2.4508107038338058E-3</v>
      </c>
      <c r="C35" s="28">
        <f>C15/'Rate Class Energy Model'!K23</f>
        <v>2.7779033404698602E-3</v>
      </c>
      <c r="D35" s="28">
        <f>D15/'Rate Class Energy Model'!L23</f>
        <v>2.8002659971083374E-3</v>
      </c>
      <c r="F35" s="28"/>
    </row>
    <row r="36" spans="1:9" x14ac:dyDescent="0.25">
      <c r="A36" s="4">
        <v>2015</v>
      </c>
      <c r="B36" s="28">
        <f>B16/'Rate Class Energy Model'!J24</f>
        <v>2.79181354647602E-3</v>
      </c>
      <c r="C36" s="28">
        <f>C16/'Rate Class Energy Model'!K24</f>
        <v>3.1967624278390395E-3</v>
      </c>
      <c r="D36" s="28">
        <f>D16/'Rate Class Energy Model'!L24</f>
        <v>2.9872750908354227E-3</v>
      </c>
    </row>
    <row r="37" spans="1:9" x14ac:dyDescent="0.25">
      <c r="A37" s="4">
        <v>2016</v>
      </c>
      <c r="B37" s="28">
        <f>B17/'Rate Class Energy Model'!J25</f>
        <v>2.4887113960887822E-3</v>
      </c>
      <c r="C37" s="28">
        <f>C17/'Rate Class Energy Model'!K25</f>
        <v>2.7746483463536279E-3</v>
      </c>
      <c r="D37" s="28">
        <f>D17/'Rate Class Energy Model'!L25</f>
        <v>2.9290590178160125E-3</v>
      </c>
    </row>
    <row r="38" spans="1:9" x14ac:dyDescent="0.25">
      <c r="A38" s="4">
        <v>2017</v>
      </c>
      <c r="B38" s="28">
        <f>B18/'Rate Class Energy Model'!J26</f>
        <v>2.4912229420001892E-3</v>
      </c>
      <c r="C38" s="28">
        <f>C18/'Rate Class Energy Model'!K26</f>
        <v>2.8980460654531568E-3</v>
      </c>
      <c r="D38" s="28">
        <f>D18/'Rate Class Energy Model'!L26</f>
        <v>2.9313808529679896E-3</v>
      </c>
      <c r="E38" s="158"/>
      <c r="F38" s="158"/>
      <c r="G38" s="158"/>
      <c r="H38" s="158"/>
      <c r="I38" s="158"/>
    </row>
    <row r="39" spans="1:9" x14ac:dyDescent="0.25">
      <c r="D39" s="28"/>
    </row>
    <row r="40" spans="1:9" x14ac:dyDescent="0.25">
      <c r="A40" t="s">
        <v>16</v>
      </c>
      <c r="B40" s="28">
        <f>AVERAGE(B24:B38)</f>
        <v>2.5130463443122099E-3</v>
      </c>
      <c r="C40" s="28">
        <f t="shared" ref="C40:D40" si="1">AVERAGE(C24:C38)</f>
        <v>2.82418702971435E-3</v>
      </c>
      <c r="D40" s="28">
        <f t="shared" si="1"/>
        <v>2.8615766735964796E-3</v>
      </c>
      <c r="F40" s="28"/>
    </row>
    <row r="42" spans="1:9" x14ac:dyDescent="0.25">
      <c r="B42" s="28"/>
    </row>
    <row r="47" spans="1:9" x14ac:dyDescent="0.25">
      <c r="B47" s="26"/>
      <c r="C47" s="26"/>
      <c r="D47" s="26"/>
    </row>
    <row r="48" spans="1:9" x14ac:dyDescent="0.25">
      <c r="B48" s="26"/>
      <c r="C48" s="26"/>
      <c r="D48" s="26"/>
    </row>
    <row r="67" spans="2:4" x14ac:dyDescent="0.25">
      <c r="B67" s="15"/>
      <c r="C67" s="15"/>
      <c r="D67" s="15"/>
    </row>
    <row r="68" spans="2:4" x14ac:dyDescent="0.25">
      <c r="B68" s="15"/>
      <c r="C68" s="15"/>
      <c r="D68" s="15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6"/>
  <sheetViews>
    <sheetView tabSelected="1" topLeftCell="H1" zoomScale="85" zoomScaleNormal="85" workbookViewId="0">
      <selection activeCell="S4" sqref="S4"/>
    </sheetView>
  </sheetViews>
  <sheetFormatPr defaultColWidth="9.109375" defaultRowHeight="13.2" x14ac:dyDescent="0.25"/>
  <cols>
    <col min="1" max="1" width="9.109375" style="210"/>
    <col min="2" max="7" width="14.109375" style="210" customWidth="1"/>
    <col min="8" max="8" width="12.88671875" style="210" bestFit="1" customWidth="1"/>
    <col min="9" max="9" width="13" style="210" bestFit="1" customWidth="1"/>
    <col min="10" max="10" width="12.88671875" style="210" bestFit="1" customWidth="1"/>
    <col min="11" max="11" width="11.33203125" style="210" bestFit="1" customWidth="1"/>
    <col min="12" max="12" width="10.33203125" style="210" bestFit="1" customWidth="1"/>
    <col min="13" max="15" width="9.109375" style="210"/>
    <col min="16" max="16" width="10.109375" style="210" bestFit="1" customWidth="1"/>
    <col min="17" max="17" width="9.109375" style="210"/>
    <col min="18" max="18" width="13.6640625" style="210" bestFit="1" customWidth="1"/>
    <col min="19" max="19" width="12.77734375" style="210" bestFit="1" customWidth="1"/>
    <col min="20" max="20" width="9.109375" style="210"/>
    <col min="21" max="21" width="10.21875" style="210" bestFit="1" customWidth="1"/>
    <col min="22" max="16384" width="9.109375" style="210"/>
  </cols>
  <sheetData>
    <row r="1" spans="1:21" ht="15.6" x14ac:dyDescent="0.3">
      <c r="A1" s="209" t="s">
        <v>184</v>
      </c>
      <c r="B1" s="209"/>
      <c r="C1" s="209"/>
      <c r="D1" s="209"/>
      <c r="E1" s="209"/>
      <c r="F1" s="209"/>
      <c r="G1" s="209"/>
    </row>
    <row r="2" spans="1:21" ht="66" x14ac:dyDescent="0.25">
      <c r="B2" s="211" t="s">
        <v>280</v>
      </c>
      <c r="C2" s="211" t="s">
        <v>183</v>
      </c>
      <c r="D2" s="211" t="s">
        <v>281</v>
      </c>
      <c r="E2" s="211" t="s">
        <v>282</v>
      </c>
      <c r="F2" s="211" t="s">
        <v>322</v>
      </c>
      <c r="G2" s="211" t="s">
        <v>68</v>
      </c>
      <c r="H2" s="211" t="s">
        <v>69</v>
      </c>
    </row>
    <row r="3" spans="1:21" x14ac:dyDescent="0.25">
      <c r="H3" s="212"/>
      <c r="I3" s="212"/>
      <c r="K3" s="442" t="s">
        <v>19</v>
      </c>
      <c r="L3" s="442"/>
      <c r="N3" s="213" t="s">
        <v>70</v>
      </c>
      <c r="O3" s="213">
        <v>1</v>
      </c>
      <c r="R3" s="219" t="s">
        <v>20</v>
      </c>
      <c r="S3" s="219">
        <v>2018</v>
      </c>
      <c r="U3" s="219">
        <v>2018</v>
      </c>
    </row>
    <row r="4" spans="1:21" x14ac:dyDescent="0.25">
      <c r="A4" s="210">
        <v>2006</v>
      </c>
      <c r="B4" s="212">
        <f>('[17]Summary - LDC'!E24-'[17]Summary - LDC'!E19/2)*1000</f>
        <v>1571521.531015906</v>
      </c>
      <c r="D4" s="212"/>
      <c r="E4" s="212"/>
      <c r="F4" s="212"/>
      <c r="G4" s="212">
        <f t="shared" ref="G4:G16" si="0">SUM(B4:F4)</f>
        <v>1571521.531015906</v>
      </c>
      <c r="H4" s="212">
        <f>G4</f>
        <v>1571521.531015906</v>
      </c>
      <c r="I4" s="212">
        <f t="shared" ref="I4:I16" si="1">H4/$O$15</f>
        <v>20147.711936101357</v>
      </c>
      <c r="K4" s="214">
        <f>I32</f>
        <v>1571521.531015906</v>
      </c>
      <c r="L4" s="214">
        <f>G4-K4</f>
        <v>0</v>
      </c>
      <c r="N4" s="213" t="s">
        <v>71</v>
      </c>
      <c r="O4" s="213">
        <v>2</v>
      </c>
      <c r="R4" s="219" t="s">
        <v>186</v>
      </c>
      <c r="S4" s="220">
        <f>F16</f>
        <v>8354534</v>
      </c>
    </row>
    <row r="5" spans="1:21" x14ac:dyDescent="0.25">
      <c r="A5" s="210">
        <v>2007</v>
      </c>
      <c r="B5" s="212">
        <f>('[17]Summary - LDC'!F24-'[17]Summary - LDC'!F20/2)*1000</f>
        <v>4551503.5039854897</v>
      </c>
      <c r="G5" s="212">
        <f t="shared" si="0"/>
        <v>4551503.5039854897</v>
      </c>
      <c r="H5" s="212">
        <f>G5-J32</f>
        <v>1650232.9851868949</v>
      </c>
      <c r="I5" s="212">
        <f t="shared" si="1"/>
        <v>21156.833143421729</v>
      </c>
      <c r="K5" s="214">
        <f>I44</f>
        <v>4551503.5039854906</v>
      </c>
      <c r="L5" s="214">
        <f t="shared" ref="L5:L16" si="2">G5-K5</f>
        <v>0</v>
      </c>
      <c r="N5" s="213" t="s">
        <v>72</v>
      </c>
      <c r="O5" s="213">
        <v>3</v>
      </c>
      <c r="R5" s="219" t="s">
        <v>187</v>
      </c>
      <c r="S5" s="220">
        <f>[18]Sheet1!$E$37</f>
        <v>4645200</v>
      </c>
      <c r="U5" s="220">
        <f>[19]Summary!$C$9</f>
        <v>3913998</v>
      </c>
    </row>
    <row r="6" spans="1:21" x14ac:dyDescent="0.25">
      <c r="A6" s="210">
        <v>2008</v>
      </c>
      <c r="B6" s="212">
        <f>('[17]Summary - LDC'!G24-'[17]Summary - LDC'!G21/2)*1000</f>
        <v>6625848.8160930136</v>
      </c>
      <c r="C6" s="212"/>
      <c r="D6" s="212"/>
      <c r="E6" s="212"/>
      <c r="F6" s="212"/>
      <c r="G6" s="212">
        <f t="shared" si="0"/>
        <v>6625848.8160930136</v>
      </c>
      <c r="H6" s="212">
        <f>G6-J44</f>
        <v>677994.32464168873</v>
      </c>
      <c r="I6" s="212">
        <f t="shared" si="1"/>
        <v>8692.2349313037012</v>
      </c>
      <c r="K6" s="214">
        <f>I56</f>
        <v>6625848.8160930118</v>
      </c>
      <c r="L6" s="214">
        <f t="shared" si="2"/>
        <v>0</v>
      </c>
      <c r="N6" s="213" t="s">
        <v>73</v>
      </c>
      <c r="O6" s="213">
        <v>4</v>
      </c>
      <c r="R6" s="219" t="s">
        <v>20</v>
      </c>
      <c r="S6" s="220">
        <f>SUM(S4:S5)</f>
        <v>12999734</v>
      </c>
      <c r="U6" s="220">
        <f>SUM(U5:U5)</f>
        <v>3913998</v>
      </c>
    </row>
    <row r="7" spans="1:21" x14ac:dyDescent="0.25">
      <c r="A7" s="210">
        <v>2009</v>
      </c>
      <c r="B7" s="212">
        <f>('[17]Summary - LDC'!H24-'[17]Summary - LDC'!H22/2)*1000</f>
        <v>8277543.6652882816</v>
      </c>
      <c r="C7" s="212"/>
      <c r="D7" s="212"/>
      <c r="E7" s="212"/>
      <c r="F7" s="212"/>
      <c r="G7" s="212">
        <f t="shared" si="0"/>
        <v>8277543.6652882816</v>
      </c>
      <c r="H7" s="212">
        <f>G7-J56</f>
        <v>1078007.3437292287</v>
      </c>
      <c r="I7" s="212">
        <f t="shared" si="1"/>
        <v>13820.606970887548</v>
      </c>
      <c r="K7" s="214">
        <f>I68</f>
        <v>8277543.6652882788</v>
      </c>
      <c r="L7" s="214">
        <f t="shared" si="2"/>
        <v>0</v>
      </c>
      <c r="N7" s="213" t="s">
        <v>74</v>
      </c>
      <c r="O7" s="213">
        <v>5</v>
      </c>
    </row>
    <row r="8" spans="1:21" x14ac:dyDescent="0.25">
      <c r="A8" s="210">
        <v>2010</v>
      </c>
      <c r="B8" s="212">
        <f>('[17]Summary - LDC'!I24-'[17]Summary - LDC'!I23/2)*1000</f>
        <v>7031261.5937940674</v>
      </c>
      <c r="C8" s="212"/>
      <c r="D8" s="212"/>
      <c r="E8" s="212"/>
      <c r="F8" s="212"/>
      <c r="G8" s="212">
        <f t="shared" si="0"/>
        <v>7031261.5937940674</v>
      </c>
      <c r="H8" s="212">
        <f>G8-J68</f>
        <v>-2158442.1315727876</v>
      </c>
      <c r="I8" s="212">
        <f t="shared" si="1"/>
        <v>-27672.335020163944</v>
      </c>
      <c r="K8" s="214">
        <f>I80</f>
        <v>7031261.5937940693</v>
      </c>
      <c r="L8" s="214">
        <f t="shared" si="2"/>
        <v>0</v>
      </c>
      <c r="N8" s="213" t="s">
        <v>75</v>
      </c>
      <c r="O8" s="213">
        <v>6</v>
      </c>
      <c r="R8" s="219" t="s">
        <v>190</v>
      </c>
      <c r="S8" s="219">
        <v>2018</v>
      </c>
      <c r="U8" s="219">
        <v>2018</v>
      </c>
    </row>
    <row r="9" spans="1:21" x14ac:dyDescent="0.25">
      <c r="A9" s="210">
        <v>2011</v>
      </c>
      <c r="B9" s="212">
        <f>'[17]Summary - LDC'!J24*1000</f>
        <v>6681180.1009053634</v>
      </c>
      <c r="C9" s="212">
        <f>('[20]2011'!$AR$16/2)*1000</f>
        <v>2252978.2328380258</v>
      </c>
      <c r="G9" s="212">
        <f t="shared" si="0"/>
        <v>8934158.3337433897</v>
      </c>
      <c r="H9" s="212">
        <f>G9-J80</f>
        <v>3729270.8512801398</v>
      </c>
      <c r="I9" s="212">
        <f t="shared" si="1"/>
        <v>47811.16476000179</v>
      </c>
      <c r="K9" s="214">
        <f>I92</f>
        <v>8934158.3337433916</v>
      </c>
      <c r="L9" s="214">
        <f t="shared" si="2"/>
        <v>0</v>
      </c>
      <c r="N9" s="213" t="s">
        <v>76</v>
      </c>
      <c r="O9" s="213">
        <v>7</v>
      </c>
      <c r="R9" s="219" t="s">
        <v>186</v>
      </c>
      <c r="S9" s="220">
        <f>U10/$U$5*$S$4</f>
        <v>2539480.8000269802</v>
      </c>
    </row>
    <row r="10" spans="1:21" x14ac:dyDescent="0.25">
      <c r="A10" s="210">
        <v>2012</v>
      </c>
      <c r="B10" s="212">
        <f>'[17]Summary - LDC'!K24*1000</f>
        <v>6429476.3711081557</v>
      </c>
      <c r="C10" s="212">
        <f>('[20]2011'!$AS$16+'[20]2012'!$AR$27/2)*1000</f>
        <v>5995033.082275168</v>
      </c>
      <c r="D10" s="212"/>
      <c r="E10" s="212"/>
      <c r="F10" s="212"/>
      <c r="G10" s="212">
        <f t="shared" si="0"/>
        <v>12424509.453383323</v>
      </c>
      <c r="H10" s="212">
        <f>G10-J92</f>
        <v>334814.24547981098</v>
      </c>
      <c r="I10" s="212">
        <f t="shared" si="1"/>
        <v>4292.4903266642432</v>
      </c>
      <c r="K10" s="214">
        <f>I104</f>
        <v>12424509.453383327</v>
      </c>
      <c r="L10" s="214">
        <f t="shared" si="2"/>
        <v>0</v>
      </c>
      <c r="N10" s="213" t="s">
        <v>77</v>
      </c>
      <c r="O10" s="213">
        <v>8</v>
      </c>
      <c r="R10" s="219" t="s">
        <v>187</v>
      </c>
      <c r="S10" s="220">
        <f>U10/$U$5*$S$5</f>
        <v>1411975.3671820988</v>
      </c>
      <c r="U10" s="220">
        <f>[19]Summary!$C$5</f>
        <v>1189716</v>
      </c>
    </row>
    <row r="11" spans="1:21" x14ac:dyDescent="0.25">
      <c r="A11" s="210">
        <v>2013</v>
      </c>
      <c r="B11" s="212">
        <f>'[17]Summary - LDC'!L24*1000</f>
        <v>6368225.4161085803</v>
      </c>
      <c r="C11" s="212">
        <f>('[20]2011'!$AT$16+'[20]2012'!$AS$27+'[20]2013'!$AS$27/2)*1000</f>
        <v>7754368.6475839196</v>
      </c>
      <c r="D11" s="212"/>
      <c r="E11" s="212"/>
      <c r="F11" s="212"/>
      <c r="G11" s="212">
        <f t="shared" si="0"/>
        <v>14122594.063692499</v>
      </c>
      <c r="H11" s="212">
        <f>G11-J104</f>
        <v>1414780.2487493344</v>
      </c>
      <c r="I11" s="212">
        <f t="shared" si="1"/>
        <v>18138.208317299159</v>
      </c>
      <c r="K11" s="214">
        <f>I116</f>
        <v>14122594.063692499</v>
      </c>
      <c r="L11" s="214">
        <f t="shared" si="2"/>
        <v>0</v>
      </c>
      <c r="N11" s="213" t="s">
        <v>78</v>
      </c>
      <c r="O11" s="213">
        <v>9</v>
      </c>
      <c r="R11" s="219" t="s">
        <v>20</v>
      </c>
      <c r="S11" s="220">
        <f>SUM(S9:S10)</f>
        <v>3951456.167209079</v>
      </c>
      <c r="U11" s="220">
        <f>SUM(U10:U10)</f>
        <v>1189716</v>
      </c>
    </row>
    <row r="12" spans="1:21" x14ac:dyDescent="0.25">
      <c r="A12" s="210">
        <v>2014</v>
      </c>
      <c r="B12" s="212">
        <f>'[17]Summary - LDC'!M24*1000</f>
        <v>5978748.6936793262</v>
      </c>
      <c r="C12" s="212">
        <f>('[20]2011'!$AU$16+'[20]2012'!$AT$27+'[20]2013'!$AT$27+'[20]2014'!$AU$33/2)*1000</f>
        <v>13124708.601250896</v>
      </c>
      <c r="D12" s="212"/>
      <c r="E12" s="212"/>
      <c r="F12" s="212"/>
      <c r="G12" s="212">
        <f t="shared" si="0"/>
        <v>19103457.294930223</v>
      </c>
      <c r="H12" s="212">
        <f>G12-J116</f>
        <v>3783741.4822959825</v>
      </c>
      <c r="I12" s="212">
        <f t="shared" si="1"/>
        <v>48509.506183281825</v>
      </c>
      <c r="K12" s="214">
        <f>I128</f>
        <v>19103457.294930223</v>
      </c>
      <c r="L12" s="214">
        <f t="shared" si="2"/>
        <v>0</v>
      </c>
      <c r="N12" s="213" t="s">
        <v>79</v>
      </c>
      <c r="O12" s="213">
        <v>10</v>
      </c>
    </row>
    <row r="13" spans="1:21" x14ac:dyDescent="0.25">
      <c r="A13" s="210">
        <v>2015</v>
      </c>
      <c r="B13" s="212">
        <f>'[17]Summary - LDC'!N24*1000</f>
        <v>4582235.2244218513</v>
      </c>
      <c r="C13" s="212">
        <f>('[20]2011'!AV16+'[20]2012'!AU27+'[20]2013'!AU27+'[20]2014'!AV33)*1000</f>
        <v>14272201.154785659</v>
      </c>
      <c r="D13" s="212">
        <f>[21]Sheet1!$B$34/2</f>
        <v>2704002</v>
      </c>
      <c r="E13" s="212"/>
      <c r="F13" s="212"/>
      <c r="G13" s="212">
        <f t="shared" si="0"/>
        <v>21558438.379207511</v>
      </c>
      <c r="H13" s="212">
        <f>G13-J128</f>
        <v>-746646.32381930575</v>
      </c>
      <c r="I13" s="212">
        <f t="shared" si="1"/>
        <v>-9572.3887669141768</v>
      </c>
      <c r="K13" s="214">
        <f>I140</f>
        <v>21558438.379207514</v>
      </c>
      <c r="L13" s="214">
        <f t="shared" si="2"/>
        <v>0</v>
      </c>
      <c r="N13" s="213" t="s">
        <v>80</v>
      </c>
      <c r="O13" s="213">
        <v>11</v>
      </c>
      <c r="R13" s="219" t="s">
        <v>191</v>
      </c>
      <c r="S13" s="219">
        <v>2018</v>
      </c>
    </row>
    <row r="14" spans="1:21" x14ac:dyDescent="0.25">
      <c r="A14" s="210">
        <v>2016</v>
      </c>
      <c r="B14" s="212">
        <f>'[17]Summary - LDC'!O24*1000</f>
        <v>3917534.8311292906</v>
      </c>
      <c r="C14" s="212">
        <f>('[20]2011'!AW16+'[20]2012'!AV27+'[20]2013'!AV27+'[20]2014'!AW33)*1000</f>
        <v>13893402.480929734</v>
      </c>
      <c r="D14" s="212">
        <f>[21]Sheet1!$C$34</f>
        <v>5354552</v>
      </c>
      <c r="E14" s="212">
        <f>[21]Sheet1!$C$35/2</f>
        <v>5360115</v>
      </c>
      <c r="F14" s="212"/>
      <c r="G14" s="212">
        <f>SUM(B14:F14)</f>
        <v>28525604.312059026</v>
      </c>
      <c r="H14" s="212">
        <f>G14-J140</f>
        <v>7598943.5914678462</v>
      </c>
      <c r="I14" s="212">
        <f t="shared" si="1"/>
        <v>97422.353736767254</v>
      </c>
      <c r="K14" s="214">
        <f>I152</f>
        <v>28525604.312059022</v>
      </c>
      <c r="L14" s="214">
        <f t="shared" si="2"/>
        <v>0</v>
      </c>
      <c r="N14" s="213" t="s">
        <v>81</v>
      </c>
      <c r="O14" s="213">
        <v>12</v>
      </c>
      <c r="R14" s="219" t="s">
        <v>186</v>
      </c>
      <c r="S14" s="220">
        <f>U15/$U$5*$S$4</f>
        <v>1713353.0199618805</v>
      </c>
      <c r="U14" s="219">
        <v>2018</v>
      </c>
    </row>
    <row r="15" spans="1:21" x14ac:dyDescent="0.25">
      <c r="A15" s="210">
        <v>2017</v>
      </c>
      <c r="B15" s="212">
        <f>'[17]Summary - LDC'!P24*1000</f>
        <v>3161651.5077473391</v>
      </c>
      <c r="C15" s="212">
        <f>('[20]2011'!AX16+'[20]2012'!AW27+'[20]2013'!AW27+'[20]2014'!AX33)*1000</f>
        <v>11963920.006254736</v>
      </c>
      <c r="D15" s="212">
        <f>[21]Sheet1!$D$34</f>
        <v>5348661</v>
      </c>
      <c r="E15" s="212">
        <f>[21]Sheet1!$D$35</f>
        <v>10720229</v>
      </c>
      <c r="F15" s="212">
        <f>[21]Sheet1!$D$36/2</f>
        <v>4791014</v>
      </c>
      <c r="G15" s="212">
        <f t="shared" si="0"/>
        <v>35985475.514002077</v>
      </c>
      <c r="H15" s="212">
        <f>G15-J152</f>
        <v>1029995.8553164303</v>
      </c>
      <c r="I15" s="212">
        <f t="shared" si="1"/>
        <v>13205.075068159364</v>
      </c>
      <c r="K15" s="214">
        <f>I164</f>
        <v>35985475.514002092</v>
      </c>
      <c r="L15" s="214">
        <f t="shared" si="2"/>
        <v>0</v>
      </c>
      <c r="N15" s="213" t="s">
        <v>12</v>
      </c>
      <c r="O15" s="213">
        <f>SUM(O3:O14)</f>
        <v>78</v>
      </c>
      <c r="R15" s="219" t="s">
        <v>187</v>
      </c>
      <c r="S15" s="220">
        <f>U15/$U$5*$S$5</f>
        <v>952640.50015559536</v>
      </c>
      <c r="U15" s="220">
        <f>[19]Summary!$C$6</f>
        <v>802685.14</v>
      </c>
    </row>
    <row r="16" spans="1:21" x14ac:dyDescent="0.25">
      <c r="A16" s="210">
        <v>2018</v>
      </c>
      <c r="B16" s="212">
        <f>'[17]Summary - LDC'!Q24*1000</f>
        <v>2827980.5324192522</v>
      </c>
      <c r="C16" s="212">
        <f>('[20]2011'!AY16+'[20]2012'!AX27+'[20]2013'!AX27+'[20]2014'!AY33)*1000</f>
        <v>11022261.155388592</v>
      </c>
      <c r="D16" s="212">
        <f>[21]Sheet1!$E$34</f>
        <v>5344206</v>
      </c>
      <c r="E16" s="212">
        <f>[21]Sheet1!$E$35</f>
        <v>10747568</v>
      </c>
      <c r="F16" s="212">
        <f>[21]Sheet1!$E$36</f>
        <v>8354534</v>
      </c>
      <c r="G16" s="212">
        <f t="shared" si="0"/>
        <v>38296549.687807843</v>
      </c>
      <c r="H16" s="212">
        <f>G16-J164</f>
        <v>1439539.2193072289</v>
      </c>
      <c r="I16" s="212">
        <f t="shared" si="1"/>
        <v>18455.631016759344</v>
      </c>
      <c r="K16" s="214">
        <f>I176</f>
        <v>38296549.687807836</v>
      </c>
      <c r="L16" s="214">
        <f t="shared" si="2"/>
        <v>0</v>
      </c>
      <c r="N16"/>
      <c r="O16"/>
      <c r="R16" s="219" t="s">
        <v>20</v>
      </c>
      <c r="S16" s="220">
        <f>SUM(S14:S15)</f>
        <v>2665993.5201174757</v>
      </c>
      <c r="U16" s="220">
        <f>SUM(U15:U15)</f>
        <v>802685.14</v>
      </c>
    </row>
    <row r="17" spans="1:21" x14ac:dyDescent="0.25">
      <c r="A17" s="210" t="s">
        <v>12</v>
      </c>
      <c r="B17" s="212">
        <f>SUM(B4:B16)</f>
        <v>68004711.787695915</v>
      </c>
      <c r="C17" s="212">
        <f>SUM(C4:C16)</f>
        <v>80278873.361306727</v>
      </c>
      <c r="D17" s="212">
        <f t="shared" ref="D17:G17" si="3">SUM(D4:D16)</f>
        <v>18751421</v>
      </c>
      <c r="E17" s="212">
        <f t="shared" si="3"/>
        <v>26827912</v>
      </c>
      <c r="F17" s="212">
        <f t="shared" si="3"/>
        <v>13145548</v>
      </c>
      <c r="G17" s="212">
        <f t="shared" si="3"/>
        <v>207008466.14900267</v>
      </c>
      <c r="H17" s="212"/>
      <c r="I17" s="212"/>
      <c r="L17" s="214"/>
    </row>
    <row r="18" spans="1:21" x14ac:dyDescent="0.25">
      <c r="H18" s="212"/>
      <c r="R18" s="219" t="s">
        <v>192</v>
      </c>
      <c r="S18" s="219">
        <v>2018</v>
      </c>
    </row>
    <row r="19" spans="1:21" x14ac:dyDescent="0.25">
      <c r="E19" s="443" t="s">
        <v>185</v>
      </c>
      <c r="F19" s="443"/>
      <c r="H19" s="212" t="s">
        <v>82</v>
      </c>
      <c r="R19" s="219" t="s">
        <v>186</v>
      </c>
      <c r="S19" s="220">
        <f>U20/$U$5*$S$4</f>
        <v>4101700.1800111388</v>
      </c>
      <c r="U19" s="219">
        <v>2018</v>
      </c>
    </row>
    <row r="20" spans="1:21" x14ac:dyDescent="0.25">
      <c r="D20" s="218"/>
      <c r="E20" s="218">
        <f>E14*2</f>
        <v>10720230</v>
      </c>
      <c r="F20" s="399">
        <f>[19]Summary!$B$9</f>
        <v>3375904</v>
      </c>
      <c r="H20" s="212"/>
      <c r="R20" s="219" t="s">
        <v>187</v>
      </c>
      <c r="S20" s="220">
        <f>U20/$U$5*$S$5</f>
        <v>2280584.1326623056</v>
      </c>
      <c r="U20" s="220">
        <f>[19]Summary!$C$7</f>
        <v>1921596.8599999999</v>
      </c>
    </row>
    <row r="21" spans="1:21" x14ac:dyDescent="0.25">
      <c r="A21" s="215">
        <v>38718</v>
      </c>
      <c r="B21" s="215"/>
      <c r="C21" s="215"/>
      <c r="D21" s="215"/>
      <c r="E21" s="215"/>
      <c r="F21" s="215"/>
      <c r="G21" s="215"/>
      <c r="H21" s="212">
        <f>$I$4</f>
        <v>20147.711936101357</v>
      </c>
      <c r="R21" s="219" t="s">
        <v>20</v>
      </c>
      <c r="S21" s="220">
        <f>SUM(S19:S20)</f>
        <v>6382284.3126734439</v>
      </c>
      <c r="U21" s="220">
        <f>SUM(U20:U20)</f>
        <v>1921596.8599999999</v>
      </c>
    </row>
    <row r="22" spans="1:21" x14ac:dyDescent="0.25">
      <c r="A22" s="215">
        <v>38749</v>
      </c>
      <c r="B22" s="215"/>
      <c r="C22" s="215"/>
      <c r="D22" s="215"/>
      <c r="E22" s="316">
        <f>E15/E20</f>
        <v>0.99999990671841932</v>
      </c>
      <c r="F22" s="316"/>
      <c r="G22" s="215"/>
      <c r="H22" s="212">
        <f t="shared" ref="H22:H32" si="4">H21+$I$4</f>
        <v>40295.423872202715</v>
      </c>
    </row>
    <row r="23" spans="1:21" x14ac:dyDescent="0.25">
      <c r="A23" s="215">
        <v>38777</v>
      </c>
      <c r="B23" s="215"/>
      <c r="C23" s="215"/>
      <c r="D23" s="215"/>
      <c r="E23" s="215"/>
      <c r="F23" s="215"/>
      <c r="G23" s="215"/>
      <c r="H23" s="212">
        <f t="shared" si="4"/>
        <v>60443.135808304069</v>
      </c>
      <c r="S23" s="214"/>
    </row>
    <row r="24" spans="1:21" x14ac:dyDescent="0.25">
      <c r="A24" s="215">
        <v>38808</v>
      </c>
      <c r="B24" s="215"/>
      <c r="C24" s="215"/>
      <c r="D24" s="215"/>
      <c r="E24" s="215"/>
      <c r="F24" s="215"/>
      <c r="G24" s="215"/>
      <c r="H24" s="212">
        <f t="shared" si="4"/>
        <v>80590.84774440543</v>
      </c>
      <c r="S24" s="214"/>
    </row>
    <row r="25" spans="1:21" x14ac:dyDescent="0.25">
      <c r="A25" s="215">
        <v>38838</v>
      </c>
      <c r="B25" s="215"/>
      <c r="C25" s="215"/>
      <c r="D25" s="215"/>
      <c r="E25" s="215"/>
      <c r="F25" s="215"/>
      <c r="G25" s="215"/>
      <c r="H25" s="212">
        <f t="shared" si="4"/>
        <v>100738.55968050679</v>
      </c>
      <c r="S25" s="214"/>
    </row>
    <row r="26" spans="1:21" x14ac:dyDescent="0.25">
      <c r="A26" s="215">
        <v>38869</v>
      </c>
      <c r="B26" s="215"/>
      <c r="C26" s="215"/>
      <c r="D26" s="215"/>
      <c r="E26" s="215"/>
      <c r="F26" s="215"/>
      <c r="G26" s="215"/>
      <c r="H26" s="212">
        <f t="shared" si="4"/>
        <v>120886.27161660815</v>
      </c>
    </row>
    <row r="27" spans="1:21" x14ac:dyDescent="0.25">
      <c r="A27" s="215">
        <v>38899</v>
      </c>
      <c r="B27" s="215"/>
      <c r="C27" s="215"/>
      <c r="D27" s="215"/>
      <c r="E27" s="215"/>
      <c r="F27" s="215"/>
      <c r="G27" s="215"/>
      <c r="H27" s="212">
        <f t="shared" si="4"/>
        <v>141033.98355270951</v>
      </c>
    </row>
    <row r="28" spans="1:21" x14ac:dyDescent="0.25">
      <c r="A28" s="215">
        <v>38930</v>
      </c>
      <c r="B28" s="215"/>
      <c r="C28" s="215"/>
      <c r="D28" s="215"/>
      <c r="E28" s="215"/>
      <c r="F28" s="215"/>
      <c r="G28" s="215"/>
      <c r="H28" s="212">
        <f t="shared" si="4"/>
        <v>161181.69548881086</v>
      </c>
    </row>
    <row r="29" spans="1:21" x14ac:dyDescent="0.25">
      <c r="A29" s="215">
        <v>38961</v>
      </c>
      <c r="B29" s="215"/>
      <c r="C29" s="215"/>
      <c r="D29" s="215"/>
      <c r="E29" s="215"/>
      <c r="F29" s="215"/>
      <c r="G29" s="215"/>
      <c r="H29" s="212">
        <f t="shared" si="4"/>
        <v>181329.40742491221</v>
      </c>
    </row>
    <row r="30" spans="1:21" x14ac:dyDescent="0.25">
      <c r="A30" s="215">
        <v>38991</v>
      </c>
      <c r="B30" s="215"/>
      <c r="C30" s="215"/>
      <c r="D30" s="215"/>
      <c r="E30" s="215"/>
      <c r="F30" s="215"/>
      <c r="G30" s="215"/>
      <c r="H30" s="212">
        <f t="shared" si="4"/>
        <v>201477.11936101355</v>
      </c>
    </row>
    <row r="31" spans="1:21" x14ac:dyDescent="0.25">
      <c r="A31" s="215">
        <v>39022</v>
      </c>
      <c r="B31" s="215"/>
      <c r="C31" s="215"/>
      <c r="D31" s="215"/>
      <c r="E31" s="215"/>
      <c r="F31" s="215"/>
      <c r="G31" s="215"/>
      <c r="H31" s="212">
        <f t="shared" si="4"/>
        <v>221624.8312971149</v>
      </c>
      <c r="I31" s="216" t="s">
        <v>19</v>
      </c>
    </row>
    <row r="32" spans="1:21" x14ac:dyDescent="0.25">
      <c r="A32" s="215">
        <v>39052</v>
      </c>
      <c r="B32" s="215"/>
      <c r="C32" s="215"/>
      <c r="D32" s="215"/>
      <c r="E32" s="215"/>
      <c r="F32" s="215"/>
      <c r="G32" s="215"/>
      <c r="H32" s="212">
        <f t="shared" si="4"/>
        <v>241772.54323321625</v>
      </c>
      <c r="I32" s="212">
        <f>SUM(H21:H32)</f>
        <v>1571521.531015906</v>
      </c>
      <c r="J32" s="212">
        <f>H32*12</f>
        <v>2901270.5187985948</v>
      </c>
    </row>
    <row r="33" spans="1:10" x14ac:dyDescent="0.25">
      <c r="A33" s="215">
        <v>39083</v>
      </c>
      <c r="B33" s="215"/>
      <c r="C33" s="215"/>
      <c r="D33" s="215"/>
      <c r="E33" s="215"/>
      <c r="F33" s="215"/>
      <c r="G33" s="215"/>
      <c r="H33" s="212">
        <f t="shared" ref="H33:H44" si="5">H32+$I$5</f>
        <v>262929.37637663796</v>
      </c>
      <c r="J33" s="217"/>
    </row>
    <row r="34" spans="1:10" x14ac:dyDescent="0.25">
      <c r="A34" s="215">
        <v>39114</v>
      </c>
      <c r="B34" s="215"/>
      <c r="C34" s="215"/>
      <c r="D34" s="215"/>
      <c r="E34" s="215"/>
      <c r="F34" s="215"/>
      <c r="G34" s="215"/>
      <c r="H34" s="212">
        <f t="shared" si="5"/>
        <v>284086.2095200597</v>
      </c>
    </row>
    <row r="35" spans="1:10" x14ac:dyDescent="0.25">
      <c r="A35" s="215">
        <v>39142</v>
      </c>
      <c r="B35" s="215"/>
      <c r="C35" s="215"/>
      <c r="D35" s="215"/>
      <c r="E35" s="215"/>
      <c r="F35" s="215"/>
      <c r="G35" s="215"/>
      <c r="H35" s="212">
        <f t="shared" si="5"/>
        <v>305243.04266348144</v>
      </c>
    </row>
    <row r="36" spans="1:10" x14ac:dyDescent="0.25">
      <c r="A36" s="215">
        <v>39173</v>
      </c>
      <c r="B36" s="215"/>
      <c r="C36" s="215"/>
      <c r="D36" s="215"/>
      <c r="E36" s="215"/>
      <c r="F36" s="215"/>
      <c r="G36" s="215"/>
      <c r="H36" s="212">
        <f t="shared" si="5"/>
        <v>326399.87580690318</v>
      </c>
    </row>
    <row r="37" spans="1:10" x14ac:dyDescent="0.25">
      <c r="A37" s="215">
        <v>39203</v>
      </c>
      <c r="B37" s="215"/>
      <c r="C37" s="215"/>
      <c r="D37" s="215"/>
      <c r="E37" s="215"/>
      <c r="F37" s="215"/>
      <c r="G37" s="215"/>
      <c r="H37" s="212">
        <f t="shared" si="5"/>
        <v>347556.70895032492</v>
      </c>
    </row>
    <row r="38" spans="1:10" x14ac:dyDescent="0.25">
      <c r="A38" s="215">
        <v>39234</v>
      </c>
      <c r="B38" s="215"/>
      <c r="C38" s="215"/>
      <c r="D38" s="215"/>
      <c r="E38" s="215"/>
      <c r="F38" s="215"/>
      <c r="G38" s="215"/>
      <c r="H38" s="212">
        <f t="shared" si="5"/>
        <v>368713.54209374666</v>
      </c>
    </row>
    <row r="39" spans="1:10" x14ac:dyDescent="0.25">
      <c r="A39" s="215">
        <v>39264</v>
      </c>
      <c r="B39" s="215"/>
      <c r="C39" s="215"/>
      <c r="D39" s="215"/>
      <c r="E39" s="215"/>
      <c r="F39" s="215"/>
      <c r="G39" s="215"/>
      <c r="H39" s="212">
        <f t="shared" si="5"/>
        <v>389870.37523716839</v>
      </c>
    </row>
    <row r="40" spans="1:10" x14ac:dyDescent="0.25">
      <c r="A40" s="215">
        <v>39295</v>
      </c>
      <c r="B40" s="215"/>
      <c r="C40" s="215"/>
      <c r="D40" s="215"/>
      <c r="E40" s="215"/>
      <c r="F40" s="215"/>
      <c r="G40" s="215"/>
      <c r="H40" s="212">
        <f t="shared" si="5"/>
        <v>411027.20838059013</v>
      </c>
    </row>
    <row r="41" spans="1:10" x14ac:dyDescent="0.25">
      <c r="A41" s="215">
        <v>39326</v>
      </c>
      <c r="B41" s="215"/>
      <c r="C41" s="215"/>
      <c r="D41" s="215"/>
      <c r="E41" s="215"/>
      <c r="F41" s="215"/>
      <c r="G41" s="215"/>
      <c r="H41" s="212">
        <f t="shared" si="5"/>
        <v>432184.04152401187</v>
      </c>
    </row>
    <row r="42" spans="1:10" x14ac:dyDescent="0.25">
      <c r="A42" s="215">
        <v>39356</v>
      </c>
      <c r="B42" s="215"/>
      <c r="C42" s="215"/>
      <c r="D42" s="215"/>
      <c r="E42" s="215"/>
      <c r="F42" s="215"/>
      <c r="G42" s="215"/>
      <c r="H42" s="212">
        <f t="shared" si="5"/>
        <v>453340.87466743361</v>
      </c>
    </row>
    <row r="43" spans="1:10" x14ac:dyDescent="0.25">
      <c r="A43" s="215">
        <v>39387</v>
      </c>
      <c r="B43" s="215"/>
      <c r="C43" s="215"/>
      <c r="D43" s="215"/>
      <c r="E43" s="215"/>
      <c r="F43" s="215"/>
      <c r="G43" s="215"/>
      <c r="H43" s="212">
        <f t="shared" si="5"/>
        <v>474497.70781085535</v>
      </c>
      <c r="I43" s="216" t="s">
        <v>19</v>
      </c>
    </row>
    <row r="44" spans="1:10" x14ac:dyDescent="0.25">
      <c r="A44" s="215">
        <v>39417</v>
      </c>
      <c r="B44" s="215"/>
      <c r="C44" s="215"/>
      <c r="D44" s="215"/>
      <c r="E44" s="215"/>
      <c r="F44" s="215"/>
      <c r="G44" s="215"/>
      <c r="H44" s="212">
        <f t="shared" si="5"/>
        <v>495654.54095427709</v>
      </c>
      <c r="I44" s="212">
        <f>SUM(H33:H44)</f>
        <v>4551503.5039854906</v>
      </c>
      <c r="J44" s="212">
        <f>H44*12</f>
        <v>5947854.4914513249</v>
      </c>
    </row>
    <row r="45" spans="1:10" x14ac:dyDescent="0.25">
      <c r="A45" s="215">
        <v>39448</v>
      </c>
      <c r="B45" s="215"/>
      <c r="C45" s="215"/>
      <c r="D45" s="215"/>
      <c r="E45" s="215"/>
      <c r="F45" s="215"/>
      <c r="G45" s="215"/>
      <c r="H45" s="212">
        <f t="shared" ref="H45:H56" si="6">H44+$I$6</f>
        <v>504346.77588558081</v>
      </c>
    </row>
    <row r="46" spans="1:10" x14ac:dyDescent="0.25">
      <c r="A46" s="215">
        <v>39479</v>
      </c>
      <c r="B46" s="215"/>
      <c r="C46" s="215"/>
      <c r="D46" s="215"/>
      <c r="E46" s="215"/>
      <c r="F46" s="215"/>
      <c r="G46" s="215"/>
      <c r="H46" s="212">
        <f t="shared" si="6"/>
        <v>513039.01081688452</v>
      </c>
    </row>
    <row r="47" spans="1:10" x14ac:dyDescent="0.25">
      <c r="A47" s="215">
        <v>39508</v>
      </c>
      <c r="B47" s="215"/>
      <c r="C47" s="215"/>
      <c r="D47" s="215"/>
      <c r="E47" s="215"/>
      <c r="F47" s="215"/>
      <c r="G47" s="215"/>
      <c r="H47" s="212">
        <f t="shared" si="6"/>
        <v>521731.24574818823</v>
      </c>
    </row>
    <row r="48" spans="1:10" x14ac:dyDescent="0.25">
      <c r="A48" s="215">
        <v>39539</v>
      </c>
      <c r="B48" s="215"/>
      <c r="C48" s="215"/>
      <c r="D48" s="215"/>
      <c r="E48" s="215"/>
      <c r="F48" s="215"/>
      <c r="G48" s="215"/>
      <c r="H48" s="212">
        <f t="shared" si="6"/>
        <v>530423.48067949188</v>
      </c>
    </row>
    <row r="49" spans="1:10" x14ac:dyDescent="0.25">
      <c r="A49" s="215">
        <v>39569</v>
      </c>
      <c r="B49" s="215"/>
      <c r="C49" s="215"/>
      <c r="D49" s="215"/>
      <c r="E49" s="215"/>
      <c r="F49" s="215"/>
      <c r="G49" s="215"/>
      <c r="H49" s="212">
        <f t="shared" si="6"/>
        <v>539115.71561079554</v>
      </c>
    </row>
    <row r="50" spans="1:10" x14ac:dyDescent="0.25">
      <c r="A50" s="215">
        <v>39600</v>
      </c>
      <c r="B50" s="215"/>
      <c r="C50" s="215"/>
      <c r="D50" s="215"/>
      <c r="E50" s="215"/>
      <c r="F50" s="215"/>
      <c r="G50" s="215"/>
      <c r="H50" s="212">
        <f t="shared" si="6"/>
        <v>547807.95054209919</v>
      </c>
    </row>
    <row r="51" spans="1:10" x14ac:dyDescent="0.25">
      <c r="A51" s="215">
        <v>39630</v>
      </c>
      <c r="B51" s="215"/>
      <c r="C51" s="215"/>
      <c r="D51" s="215"/>
      <c r="E51" s="215"/>
      <c r="F51" s="215"/>
      <c r="G51" s="215"/>
      <c r="H51" s="212">
        <f t="shared" si="6"/>
        <v>556500.18547340285</v>
      </c>
    </row>
    <row r="52" spans="1:10" x14ac:dyDescent="0.25">
      <c r="A52" s="215">
        <v>39661</v>
      </c>
      <c r="B52" s="215"/>
      <c r="C52" s="215"/>
      <c r="D52" s="215"/>
      <c r="E52" s="215"/>
      <c r="F52" s="215"/>
      <c r="G52" s="215"/>
      <c r="H52" s="212">
        <f t="shared" si="6"/>
        <v>565192.4204047065</v>
      </c>
    </row>
    <row r="53" spans="1:10" x14ac:dyDescent="0.25">
      <c r="A53" s="215">
        <v>39692</v>
      </c>
      <c r="B53" s="215"/>
      <c r="C53" s="215"/>
      <c r="D53" s="215"/>
      <c r="E53" s="215"/>
      <c r="F53" s="215"/>
      <c r="G53" s="215"/>
      <c r="H53" s="212">
        <f t="shared" si="6"/>
        <v>573884.65533601015</v>
      </c>
    </row>
    <row r="54" spans="1:10" x14ac:dyDescent="0.25">
      <c r="A54" s="215">
        <v>39722</v>
      </c>
      <c r="B54" s="215"/>
      <c r="C54" s="215"/>
      <c r="D54" s="215"/>
      <c r="E54" s="215"/>
      <c r="F54" s="215"/>
      <c r="G54" s="215"/>
      <c r="H54" s="212">
        <f t="shared" si="6"/>
        <v>582576.89026731381</v>
      </c>
    </row>
    <row r="55" spans="1:10" x14ac:dyDescent="0.25">
      <c r="A55" s="215">
        <v>39753</v>
      </c>
      <c r="B55" s="215"/>
      <c r="C55" s="215"/>
      <c r="D55" s="215"/>
      <c r="E55" s="215"/>
      <c r="F55" s="215"/>
      <c r="G55" s="215"/>
      <c r="H55" s="212">
        <f t="shared" si="6"/>
        <v>591269.12519861746</v>
      </c>
    </row>
    <row r="56" spans="1:10" x14ac:dyDescent="0.25">
      <c r="A56" s="215">
        <v>39783</v>
      </c>
      <c r="B56" s="215"/>
      <c r="C56" s="215"/>
      <c r="D56" s="215"/>
      <c r="E56" s="215"/>
      <c r="F56" s="215"/>
      <c r="G56" s="215"/>
      <c r="H56" s="212">
        <f t="shared" si="6"/>
        <v>599961.36012992112</v>
      </c>
      <c r="I56" s="212">
        <f>SUM(H45:H56)</f>
        <v>6625848.8160930118</v>
      </c>
      <c r="J56" s="212">
        <f>H56*12</f>
        <v>7199536.3215590529</v>
      </c>
    </row>
    <row r="57" spans="1:10" x14ac:dyDescent="0.25">
      <c r="A57" s="215">
        <v>39814</v>
      </c>
      <c r="B57" s="215"/>
      <c r="C57" s="215"/>
      <c r="D57" s="215"/>
      <c r="E57" s="215"/>
      <c r="F57" s="215"/>
      <c r="G57" s="215"/>
      <c r="H57" s="212">
        <f t="shared" ref="H57:H68" si="7">H56+$I$7</f>
        <v>613781.96710080863</v>
      </c>
    </row>
    <row r="58" spans="1:10" x14ac:dyDescent="0.25">
      <c r="A58" s="215">
        <v>39845</v>
      </c>
      <c r="B58" s="215"/>
      <c r="C58" s="215"/>
      <c r="D58" s="215"/>
      <c r="E58" s="215"/>
      <c r="F58" s="215"/>
      <c r="G58" s="215"/>
      <c r="H58" s="212">
        <f t="shared" si="7"/>
        <v>627602.57407169614</v>
      </c>
    </row>
    <row r="59" spans="1:10" x14ac:dyDescent="0.25">
      <c r="A59" s="215">
        <v>39873</v>
      </c>
      <c r="B59" s="215"/>
      <c r="C59" s="215"/>
      <c r="D59" s="215"/>
      <c r="E59" s="215"/>
      <c r="F59" s="215"/>
      <c r="G59" s="215"/>
      <c r="H59" s="212">
        <f t="shared" si="7"/>
        <v>641423.18104258366</v>
      </c>
    </row>
    <row r="60" spans="1:10" x14ac:dyDescent="0.25">
      <c r="A60" s="215">
        <v>39904</v>
      </c>
      <c r="B60" s="215"/>
      <c r="C60" s="215"/>
      <c r="D60" s="215"/>
      <c r="E60" s="215"/>
      <c r="F60" s="215"/>
      <c r="G60" s="215"/>
      <c r="H60" s="212">
        <f t="shared" si="7"/>
        <v>655243.78801347117</v>
      </c>
    </row>
    <row r="61" spans="1:10" x14ac:dyDescent="0.25">
      <c r="A61" s="215">
        <v>39934</v>
      </c>
      <c r="B61" s="215"/>
      <c r="C61" s="215"/>
      <c r="D61" s="215"/>
      <c r="E61" s="215"/>
      <c r="F61" s="215"/>
      <c r="G61" s="215"/>
      <c r="H61" s="212">
        <f t="shared" si="7"/>
        <v>669064.39498435869</v>
      </c>
    </row>
    <row r="62" spans="1:10" x14ac:dyDescent="0.25">
      <c r="A62" s="215">
        <v>39965</v>
      </c>
      <c r="B62" s="215"/>
      <c r="C62" s="215"/>
      <c r="D62" s="215"/>
      <c r="E62" s="215"/>
      <c r="F62" s="215"/>
      <c r="G62" s="215"/>
      <c r="H62" s="212">
        <f t="shared" si="7"/>
        <v>682885.0019552462</v>
      </c>
    </row>
    <row r="63" spans="1:10" x14ac:dyDescent="0.25">
      <c r="A63" s="215">
        <v>39995</v>
      </c>
      <c r="B63" s="215"/>
      <c r="C63" s="215"/>
      <c r="D63" s="215"/>
      <c r="E63" s="215"/>
      <c r="F63" s="215"/>
      <c r="G63" s="215"/>
      <c r="H63" s="212">
        <f t="shared" si="7"/>
        <v>696705.60892613372</v>
      </c>
    </row>
    <row r="64" spans="1:10" x14ac:dyDescent="0.25">
      <c r="A64" s="215">
        <v>40026</v>
      </c>
      <c r="B64" s="215"/>
      <c r="C64" s="215"/>
      <c r="D64" s="215"/>
      <c r="E64" s="215"/>
      <c r="F64" s="215"/>
      <c r="G64" s="215"/>
      <c r="H64" s="212">
        <f t="shared" si="7"/>
        <v>710526.21589702123</v>
      </c>
    </row>
    <row r="65" spans="1:10" x14ac:dyDescent="0.25">
      <c r="A65" s="215">
        <v>40057</v>
      </c>
      <c r="B65" s="215"/>
      <c r="C65" s="215"/>
      <c r="D65" s="215"/>
      <c r="E65" s="215"/>
      <c r="F65" s="215"/>
      <c r="G65" s="215"/>
      <c r="H65" s="212">
        <f t="shared" si="7"/>
        <v>724346.82286790875</v>
      </c>
    </row>
    <row r="66" spans="1:10" x14ac:dyDescent="0.25">
      <c r="A66" s="215">
        <v>40087</v>
      </c>
      <c r="B66" s="215"/>
      <c r="C66" s="215"/>
      <c r="D66" s="215"/>
      <c r="E66" s="215"/>
      <c r="F66" s="215"/>
      <c r="G66" s="215"/>
      <c r="H66" s="212">
        <f t="shared" si="7"/>
        <v>738167.42983879626</v>
      </c>
    </row>
    <row r="67" spans="1:10" x14ac:dyDescent="0.25">
      <c r="A67" s="215">
        <v>40118</v>
      </c>
      <c r="B67" s="215"/>
      <c r="C67" s="215"/>
      <c r="D67" s="215"/>
      <c r="E67" s="215"/>
      <c r="F67" s="215"/>
      <c r="G67" s="215"/>
      <c r="H67" s="212">
        <f t="shared" si="7"/>
        <v>751988.03680968378</v>
      </c>
    </row>
    <row r="68" spans="1:10" x14ac:dyDescent="0.25">
      <c r="A68" s="215">
        <v>40148</v>
      </c>
      <c r="B68" s="215"/>
      <c r="C68" s="215"/>
      <c r="D68" s="215"/>
      <c r="E68" s="215"/>
      <c r="F68" s="215"/>
      <c r="G68" s="215"/>
      <c r="H68" s="212">
        <f t="shared" si="7"/>
        <v>765808.64378057129</v>
      </c>
      <c r="I68" s="212">
        <f>SUM(H57:H68)</f>
        <v>8277543.6652882788</v>
      </c>
      <c r="J68" s="212">
        <f>H68*12</f>
        <v>9189703.725366855</v>
      </c>
    </row>
    <row r="69" spans="1:10" x14ac:dyDescent="0.25">
      <c r="A69" s="215">
        <v>40179</v>
      </c>
      <c r="B69" s="215"/>
      <c r="C69" s="215"/>
      <c r="D69" s="215"/>
      <c r="E69" s="215"/>
      <c r="F69" s="215"/>
      <c r="G69" s="215"/>
      <c r="H69" s="212">
        <f t="shared" ref="H69:H80" si="8">H68+$I$8</f>
        <v>738136.30876040738</v>
      </c>
    </row>
    <row r="70" spans="1:10" x14ac:dyDescent="0.25">
      <c r="A70" s="215">
        <v>40210</v>
      </c>
      <c r="B70" s="215"/>
      <c r="C70" s="215"/>
      <c r="D70" s="215"/>
      <c r="E70" s="215"/>
      <c r="F70" s="215"/>
      <c r="G70" s="215"/>
      <c r="H70" s="212">
        <f t="shared" si="8"/>
        <v>710463.97374024347</v>
      </c>
    </row>
    <row r="71" spans="1:10" x14ac:dyDescent="0.25">
      <c r="A71" s="215">
        <v>40238</v>
      </c>
      <c r="B71" s="215"/>
      <c r="C71" s="215"/>
      <c r="D71" s="215"/>
      <c r="E71" s="215"/>
      <c r="F71" s="215"/>
      <c r="G71" s="215"/>
      <c r="H71" s="212">
        <f t="shared" si="8"/>
        <v>682791.63872007956</v>
      </c>
    </row>
    <row r="72" spans="1:10" x14ac:dyDescent="0.25">
      <c r="A72" s="215">
        <v>40269</v>
      </c>
      <c r="B72" s="215"/>
      <c r="C72" s="215"/>
      <c r="D72" s="215"/>
      <c r="E72" s="215"/>
      <c r="F72" s="215"/>
      <c r="G72" s="215"/>
      <c r="H72" s="212">
        <f t="shared" si="8"/>
        <v>655119.30369991565</v>
      </c>
    </row>
    <row r="73" spans="1:10" x14ac:dyDescent="0.25">
      <c r="A73" s="215">
        <v>40299</v>
      </c>
      <c r="B73" s="215"/>
      <c r="C73" s="215"/>
      <c r="D73" s="215"/>
      <c r="E73" s="215"/>
      <c r="F73" s="215"/>
      <c r="G73" s="215"/>
      <c r="H73" s="212">
        <f t="shared" si="8"/>
        <v>627446.96867975174</v>
      </c>
    </row>
    <row r="74" spans="1:10" x14ac:dyDescent="0.25">
      <c r="A74" s="215">
        <v>40330</v>
      </c>
      <c r="B74" s="215"/>
      <c r="C74" s="215"/>
      <c r="D74" s="215"/>
      <c r="E74" s="215"/>
      <c r="F74" s="215"/>
      <c r="G74" s="215"/>
      <c r="H74" s="212">
        <f t="shared" si="8"/>
        <v>599774.63365958782</v>
      </c>
    </row>
    <row r="75" spans="1:10" x14ac:dyDescent="0.25">
      <c r="A75" s="215">
        <v>40360</v>
      </c>
      <c r="B75" s="215"/>
      <c r="C75" s="215"/>
      <c r="D75" s="215"/>
      <c r="E75" s="215"/>
      <c r="F75" s="215"/>
      <c r="G75" s="215"/>
      <c r="H75" s="212">
        <f t="shared" si="8"/>
        <v>572102.29863942391</v>
      </c>
    </row>
    <row r="76" spans="1:10" x14ac:dyDescent="0.25">
      <c r="A76" s="215">
        <v>40391</v>
      </c>
      <c r="B76" s="215"/>
      <c r="C76" s="215"/>
      <c r="D76" s="215"/>
      <c r="E76" s="215"/>
      <c r="F76" s="215"/>
      <c r="G76" s="215"/>
      <c r="H76" s="212">
        <f t="shared" si="8"/>
        <v>544429.96361926</v>
      </c>
    </row>
    <row r="77" spans="1:10" x14ac:dyDescent="0.25">
      <c r="A77" s="215">
        <v>40422</v>
      </c>
      <c r="B77" s="215"/>
      <c r="C77" s="215"/>
      <c r="D77" s="215"/>
      <c r="E77" s="215"/>
      <c r="F77" s="215"/>
      <c r="G77" s="215"/>
      <c r="H77" s="212">
        <f t="shared" si="8"/>
        <v>516757.62859909603</v>
      </c>
    </row>
    <row r="78" spans="1:10" x14ac:dyDescent="0.25">
      <c r="A78" s="215">
        <v>40452</v>
      </c>
      <c r="B78" s="215"/>
      <c r="C78" s="215"/>
      <c r="D78" s="215"/>
      <c r="E78" s="215"/>
      <c r="F78" s="215"/>
      <c r="G78" s="215"/>
      <c r="H78" s="212">
        <f t="shared" si="8"/>
        <v>489085.29357893206</v>
      </c>
    </row>
    <row r="79" spans="1:10" x14ac:dyDescent="0.25">
      <c r="A79" s="215">
        <v>40483</v>
      </c>
      <c r="B79" s="215"/>
      <c r="C79" s="215"/>
      <c r="D79" s="215"/>
      <c r="E79" s="215"/>
      <c r="F79" s="215"/>
      <c r="G79" s="215"/>
      <c r="H79" s="212">
        <f t="shared" si="8"/>
        <v>461412.95855876809</v>
      </c>
    </row>
    <row r="80" spans="1:10" x14ac:dyDescent="0.25">
      <c r="A80" s="215">
        <v>40513</v>
      </c>
      <c r="B80" s="215"/>
      <c r="C80" s="215"/>
      <c r="D80" s="215"/>
      <c r="E80" s="215"/>
      <c r="F80" s="215"/>
      <c r="G80" s="215"/>
      <c r="H80" s="212">
        <f t="shared" si="8"/>
        <v>433740.62353860412</v>
      </c>
      <c r="I80" s="212">
        <f>SUM(H69:H80)</f>
        <v>7031261.5937940693</v>
      </c>
      <c r="J80" s="212">
        <f>H80*12</f>
        <v>5204887.4824632499</v>
      </c>
    </row>
    <row r="81" spans="1:10" x14ac:dyDescent="0.25">
      <c r="A81" s="215">
        <v>40544</v>
      </c>
      <c r="B81" s="215"/>
      <c r="C81" s="215"/>
      <c r="D81" s="215"/>
      <c r="E81" s="215"/>
      <c r="F81" s="215"/>
      <c r="G81" s="215"/>
      <c r="H81" s="212">
        <f t="shared" ref="H81:H92" si="9">H80+$I$9</f>
        <v>481551.78829860594</v>
      </c>
    </row>
    <row r="82" spans="1:10" x14ac:dyDescent="0.25">
      <c r="A82" s="215">
        <v>40575</v>
      </c>
      <c r="B82" s="215"/>
      <c r="C82" s="215"/>
      <c r="D82" s="215"/>
      <c r="E82" s="215"/>
      <c r="F82" s="215"/>
      <c r="G82" s="215"/>
      <c r="H82" s="212">
        <f t="shared" si="9"/>
        <v>529362.95305860776</v>
      </c>
    </row>
    <row r="83" spans="1:10" x14ac:dyDescent="0.25">
      <c r="A83" s="215">
        <v>40603</v>
      </c>
      <c r="B83" s="215"/>
      <c r="C83" s="215"/>
      <c r="D83" s="215"/>
      <c r="E83" s="215"/>
      <c r="F83" s="215"/>
      <c r="G83" s="215"/>
      <c r="H83" s="212">
        <f t="shared" si="9"/>
        <v>577174.11781860958</v>
      </c>
    </row>
    <row r="84" spans="1:10" x14ac:dyDescent="0.25">
      <c r="A84" s="215">
        <v>40634</v>
      </c>
      <c r="B84" s="215"/>
      <c r="C84" s="215"/>
      <c r="D84" s="215"/>
      <c r="E84" s="215"/>
      <c r="F84" s="215"/>
      <c r="G84" s="215"/>
      <c r="H84" s="212">
        <f t="shared" si="9"/>
        <v>624985.2825786114</v>
      </c>
    </row>
    <row r="85" spans="1:10" x14ac:dyDescent="0.25">
      <c r="A85" s="215">
        <v>40664</v>
      </c>
      <c r="B85" s="215"/>
      <c r="C85" s="215"/>
      <c r="D85" s="215"/>
      <c r="E85" s="215"/>
      <c r="F85" s="215"/>
      <c r="G85" s="215"/>
      <c r="H85" s="212">
        <f t="shared" si="9"/>
        <v>672796.44733861322</v>
      </c>
    </row>
    <row r="86" spans="1:10" x14ac:dyDescent="0.25">
      <c r="A86" s="215">
        <v>40695</v>
      </c>
      <c r="B86" s="215"/>
      <c r="C86" s="215"/>
      <c r="D86" s="215"/>
      <c r="E86" s="215"/>
      <c r="F86" s="215"/>
      <c r="G86" s="215"/>
      <c r="H86" s="212">
        <f t="shared" si="9"/>
        <v>720607.61209861503</v>
      </c>
    </row>
    <row r="87" spans="1:10" x14ac:dyDescent="0.25">
      <c r="A87" s="215">
        <v>40725</v>
      </c>
      <c r="B87" s="215"/>
      <c r="C87" s="215"/>
      <c r="D87" s="215"/>
      <c r="E87" s="215"/>
      <c r="F87" s="215"/>
      <c r="G87" s="215"/>
      <c r="H87" s="212">
        <f t="shared" si="9"/>
        <v>768418.77685861685</v>
      </c>
    </row>
    <row r="88" spans="1:10" x14ac:dyDescent="0.25">
      <c r="A88" s="215">
        <v>40756</v>
      </c>
      <c r="B88" s="215"/>
      <c r="C88" s="215"/>
      <c r="D88" s="215"/>
      <c r="E88" s="215"/>
      <c r="F88" s="215"/>
      <c r="G88" s="215"/>
      <c r="H88" s="212">
        <f t="shared" si="9"/>
        <v>816229.94161861867</v>
      </c>
    </row>
    <row r="89" spans="1:10" x14ac:dyDescent="0.25">
      <c r="A89" s="215">
        <v>40787</v>
      </c>
      <c r="B89" s="215"/>
      <c r="C89" s="215"/>
      <c r="D89" s="215"/>
      <c r="E89" s="215"/>
      <c r="F89" s="215"/>
      <c r="G89" s="215"/>
      <c r="H89" s="212">
        <f t="shared" si="9"/>
        <v>864041.10637862049</v>
      </c>
    </row>
    <row r="90" spans="1:10" x14ac:dyDescent="0.25">
      <c r="A90" s="215">
        <v>40817</v>
      </c>
      <c r="B90" s="215"/>
      <c r="C90" s="215"/>
      <c r="D90" s="215"/>
      <c r="E90" s="215"/>
      <c r="F90" s="215"/>
      <c r="G90" s="215"/>
      <c r="H90" s="212">
        <f t="shared" si="9"/>
        <v>911852.27113862231</v>
      </c>
    </row>
    <row r="91" spans="1:10" x14ac:dyDescent="0.25">
      <c r="A91" s="215">
        <v>40848</v>
      </c>
      <c r="B91" s="215"/>
      <c r="C91" s="215"/>
      <c r="D91" s="215"/>
      <c r="E91" s="215"/>
      <c r="F91" s="215"/>
      <c r="G91" s="215"/>
      <c r="H91" s="212">
        <f t="shared" si="9"/>
        <v>959663.43589862413</v>
      </c>
    </row>
    <row r="92" spans="1:10" x14ac:dyDescent="0.25">
      <c r="A92" s="215">
        <v>40878</v>
      </c>
      <c r="B92" s="215"/>
      <c r="C92" s="215"/>
      <c r="D92" s="215"/>
      <c r="E92" s="215"/>
      <c r="F92" s="215"/>
      <c r="G92" s="215"/>
      <c r="H92" s="212">
        <f t="shared" si="9"/>
        <v>1007474.6006586259</v>
      </c>
      <c r="I92" s="212">
        <f>SUM(H81:H92)</f>
        <v>8934158.3337433916</v>
      </c>
      <c r="J92" s="212">
        <f>H92*12</f>
        <v>12089695.207903512</v>
      </c>
    </row>
    <row r="93" spans="1:10" x14ac:dyDescent="0.25">
      <c r="A93" s="215">
        <v>40909</v>
      </c>
      <c r="B93" s="215"/>
      <c r="C93" s="215"/>
      <c r="D93" s="215"/>
      <c r="E93" s="215"/>
      <c r="F93" s="215"/>
      <c r="G93" s="215"/>
      <c r="H93" s="212">
        <f t="shared" ref="H93:H104" si="10">H92+$I$10</f>
        <v>1011767.0909852902</v>
      </c>
    </row>
    <row r="94" spans="1:10" x14ac:dyDescent="0.25">
      <c r="A94" s="215">
        <v>40940</v>
      </c>
      <c r="B94" s="215"/>
      <c r="C94" s="215"/>
      <c r="D94" s="215"/>
      <c r="E94" s="215"/>
      <c r="F94" s="215"/>
      <c r="G94" s="215"/>
      <c r="H94" s="212">
        <f t="shared" si="10"/>
        <v>1016059.5813119545</v>
      </c>
    </row>
    <row r="95" spans="1:10" x14ac:dyDescent="0.25">
      <c r="A95" s="215">
        <v>40969</v>
      </c>
      <c r="B95" s="215"/>
      <c r="C95" s="215"/>
      <c r="D95" s="215"/>
      <c r="E95" s="215"/>
      <c r="F95" s="215"/>
      <c r="G95" s="215"/>
      <c r="H95" s="212">
        <f t="shared" si="10"/>
        <v>1020352.0716386188</v>
      </c>
    </row>
    <row r="96" spans="1:10" x14ac:dyDescent="0.25">
      <c r="A96" s="215">
        <v>41000</v>
      </c>
      <c r="B96" s="215"/>
      <c r="C96" s="215"/>
      <c r="D96" s="215"/>
      <c r="E96" s="215"/>
      <c r="F96" s="215"/>
      <c r="G96" s="215"/>
      <c r="H96" s="212">
        <f t="shared" si="10"/>
        <v>1024644.5619652831</v>
      </c>
    </row>
    <row r="97" spans="1:10" x14ac:dyDescent="0.25">
      <c r="A97" s="215">
        <v>41030</v>
      </c>
      <c r="B97" s="215"/>
      <c r="C97" s="215"/>
      <c r="D97" s="215"/>
      <c r="E97" s="215"/>
      <c r="F97" s="215"/>
      <c r="G97" s="215"/>
      <c r="H97" s="212">
        <f t="shared" si="10"/>
        <v>1028937.0522919474</v>
      </c>
    </row>
    <row r="98" spans="1:10" x14ac:dyDescent="0.25">
      <c r="A98" s="215">
        <v>41061</v>
      </c>
      <c r="B98" s="215"/>
      <c r="C98" s="215"/>
      <c r="D98" s="215"/>
      <c r="E98" s="215"/>
      <c r="F98" s="215"/>
      <c r="G98" s="215"/>
      <c r="H98" s="212">
        <f t="shared" si="10"/>
        <v>1033229.5426186117</v>
      </c>
    </row>
    <row r="99" spans="1:10" x14ac:dyDescent="0.25">
      <c r="A99" s="215">
        <v>41091</v>
      </c>
      <c r="B99" s="215"/>
      <c r="C99" s="215"/>
      <c r="D99" s="215"/>
      <c r="E99" s="215"/>
      <c r="F99" s="215"/>
      <c r="G99" s="215"/>
      <c r="H99" s="212">
        <f t="shared" si="10"/>
        <v>1037522.032945276</v>
      </c>
    </row>
    <row r="100" spans="1:10" x14ac:dyDescent="0.25">
      <c r="A100" s="215">
        <v>41122</v>
      </c>
      <c r="B100" s="215"/>
      <c r="C100" s="215"/>
      <c r="D100" s="215"/>
      <c r="E100" s="215"/>
      <c r="F100" s="215"/>
      <c r="G100" s="215"/>
      <c r="H100" s="212">
        <f t="shared" si="10"/>
        <v>1041814.5232719403</v>
      </c>
    </row>
    <row r="101" spans="1:10" x14ac:dyDescent="0.25">
      <c r="A101" s="215">
        <v>41153</v>
      </c>
      <c r="B101" s="215"/>
      <c r="C101" s="215"/>
      <c r="D101" s="215"/>
      <c r="E101" s="215"/>
      <c r="F101" s="215"/>
      <c r="G101" s="215"/>
      <c r="H101" s="212">
        <f t="shared" si="10"/>
        <v>1046107.0135986046</v>
      </c>
    </row>
    <row r="102" spans="1:10" x14ac:dyDescent="0.25">
      <c r="A102" s="215">
        <v>41183</v>
      </c>
      <c r="B102" s="215"/>
      <c r="C102" s="215"/>
      <c r="D102" s="215"/>
      <c r="E102" s="215"/>
      <c r="F102" s="215"/>
      <c r="G102" s="215"/>
      <c r="H102" s="212">
        <f t="shared" si="10"/>
        <v>1050399.5039252688</v>
      </c>
    </row>
    <row r="103" spans="1:10" x14ac:dyDescent="0.25">
      <c r="A103" s="215">
        <v>41214</v>
      </c>
      <c r="B103" s="215"/>
      <c r="C103" s="215"/>
      <c r="D103" s="215"/>
      <c r="E103" s="215"/>
      <c r="F103" s="215"/>
      <c r="G103" s="215"/>
      <c r="H103" s="212">
        <f t="shared" si="10"/>
        <v>1054691.9942519329</v>
      </c>
    </row>
    <row r="104" spans="1:10" x14ac:dyDescent="0.25">
      <c r="A104" s="215">
        <v>41244</v>
      </c>
      <c r="B104" s="215"/>
      <c r="C104" s="215"/>
      <c r="D104" s="215"/>
      <c r="E104" s="215"/>
      <c r="F104" s="215"/>
      <c r="G104" s="215"/>
      <c r="H104" s="212">
        <f t="shared" si="10"/>
        <v>1058984.4845785971</v>
      </c>
      <c r="I104" s="212">
        <f>SUM(H93:H104)</f>
        <v>12424509.453383327</v>
      </c>
      <c r="J104" s="212">
        <f>H104*12</f>
        <v>12707813.814943165</v>
      </c>
    </row>
    <row r="105" spans="1:10" x14ac:dyDescent="0.25">
      <c r="A105" s="215">
        <v>41275</v>
      </c>
      <c r="B105" s="215"/>
      <c r="C105" s="215"/>
      <c r="D105" s="215"/>
      <c r="E105" s="215"/>
      <c r="F105" s="215"/>
      <c r="G105" s="215"/>
      <c r="H105" s="212">
        <f t="shared" ref="H105:H116" si="11">H104+$I$11</f>
        <v>1077122.6928958963</v>
      </c>
    </row>
    <row r="106" spans="1:10" x14ac:dyDescent="0.25">
      <c r="A106" s="215">
        <v>41306</v>
      </c>
      <c r="B106" s="215"/>
      <c r="C106" s="215"/>
      <c r="D106" s="215"/>
      <c r="E106" s="215"/>
      <c r="F106" s="215"/>
      <c r="G106" s="215"/>
      <c r="H106" s="212">
        <f t="shared" si="11"/>
        <v>1095260.9012131954</v>
      </c>
    </row>
    <row r="107" spans="1:10" x14ac:dyDescent="0.25">
      <c r="A107" s="215">
        <v>41334</v>
      </c>
      <c r="B107" s="215"/>
      <c r="C107" s="215"/>
      <c r="D107" s="215"/>
      <c r="E107" s="215"/>
      <c r="F107" s="215"/>
      <c r="G107" s="215"/>
      <c r="H107" s="212">
        <f t="shared" si="11"/>
        <v>1113399.1095304945</v>
      </c>
    </row>
    <row r="108" spans="1:10" x14ac:dyDescent="0.25">
      <c r="A108" s="215">
        <v>41365</v>
      </c>
      <c r="B108" s="215"/>
      <c r="C108" s="215"/>
      <c r="D108" s="215"/>
      <c r="E108" s="215"/>
      <c r="F108" s="215"/>
      <c r="G108" s="215"/>
      <c r="H108" s="212">
        <f t="shared" si="11"/>
        <v>1131537.3178477937</v>
      </c>
    </row>
    <row r="109" spans="1:10" x14ac:dyDescent="0.25">
      <c r="A109" s="215">
        <v>41395</v>
      </c>
      <c r="B109" s="215"/>
      <c r="C109" s="215"/>
      <c r="D109" s="215"/>
      <c r="E109" s="215"/>
      <c r="F109" s="215"/>
      <c r="G109" s="215"/>
      <c r="H109" s="212">
        <f t="shared" si="11"/>
        <v>1149675.5261650928</v>
      </c>
    </row>
    <row r="110" spans="1:10" x14ac:dyDescent="0.25">
      <c r="A110" s="215">
        <v>41426</v>
      </c>
      <c r="B110" s="215"/>
      <c r="C110" s="215"/>
      <c r="D110" s="215"/>
      <c r="E110" s="215"/>
      <c r="F110" s="215"/>
      <c r="G110" s="215"/>
      <c r="H110" s="212">
        <f t="shared" si="11"/>
        <v>1167813.734482392</v>
      </c>
    </row>
    <row r="111" spans="1:10" x14ac:dyDescent="0.25">
      <c r="A111" s="215">
        <v>41456</v>
      </c>
      <c r="B111" s="215"/>
      <c r="C111" s="215"/>
      <c r="D111" s="215"/>
      <c r="E111" s="215"/>
      <c r="F111" s="215"/>
      <c r="G111" s="215"/>
      <c r="H111" s="212">
        <f t="shared" si="11"/>
        <v>1185951.9427996911</v>
      </c>
    </row>
    <row r="112" spans="1:10" x14ac:dyDescent="0.25">
      <c r="A112" s="215">
        <v>41487</v>
      </c>
      <c r="B112" s="215"/>
      <c r="C112" s="215"/>
      <c r="D112" s="215"/>
      <c r="E112" s="215"/>
      <c r="F112" s="215"/>
      <c r="G112" s="215"/>
      <c r="H112" s="212">
        <f t="shared" si="11"/>
        <v>1204090.1511169903</v>
      </c>
    </row>
    <row r="113" spans="1:10" x14ac:dyDescent="0.25">
      <c r="A113" s="215">
        <v>41518</v>
      </c>
      <c r="B113" s="215"/>
      <c r="C113" s="215"/>
      <c r="D113" s="215"/>
      <c r="E113" s="215"/>
      <c r="F113" s="215"/>
      <c r="G113" s="215"/>
      <c r="H113" s="212">
        <f t="shared" si="11"/>
        <v>1222228.3594342894</v>
      </c>
    </row>
    <row r="114" spans="1:10" x14ac:dyDescent="0.25">
      <c r="A114" s="215">
        <v>41548</v>
      </c>
      <c r="B114" s="215"/>
      <c r="C114" s="215"/>
      <c r="D114" s="215"/>
      <c r="E114" s="215"/>
      <c r="F114" s="215"/>
      <c r="G114" s="215"/>
      <c r="H114" s="212">
        <f t="shared" si="11"/>
        <v>1240366.5677515885</v>
      </c>
    </row>
    <row r="115" spans="1:10" x14ac:dyDescent="0.25">
      <c r="A115" s="215">
        <v>41579</v>
      </c>
      <c r="B115" s="215"/>
      <c r="C115" s="215"/>
      <c r="D115" s="215"/>
      <c r="E115" s="215"/>
      <c r="F115" s="215"/>
      <c r="G115" s="215"/>
      <c r="H115" s="212">
        <f t="shared" si="11"/>
        <v>1258504.7760688877</v>
      </c>
    </row>
    <row r="116" spans="1:10" x14ac:dyDescent="0.25">
      <c r="A116" s="215">
        <v>41609</v>
      </c>
      <c r="B116" s="215"/>
      <c r="C116" s="215"/>
      <c r="D116" s="215"/>
      <c r="E116" s="215"/>
      <c r="F116" s="215"/>
      <c r="G116" s="215"/>
      <c r="H116" s="212">
        <f t="shared" si="11"/>
        <v>1276642.9843861868</v>
      </c>
      <c r="I116" s="212">
        <f>SUM(H105:H116)</f>
        <v>14122594.063692499</v>
      </c>
      <c r="J116" s="212">
        <f>H116*12</f>
        <v>15319715.812634241</v>
      </c>
    </row>
    <row r="117" spans="1:10" x14ac:dyDescent="0.25">
      <c r="A117" s="215">
        <v>41640</v>
      </c>
      <c r="H117" s="212">
        <f>H116+$I$12</f>
        <v>1325152.4905694686</v>
      </c>
    </row>
    <row r="118" spans="1:10" x14ac:dyDescent="0.25">
      <c r="A118" s="215">
        <v>41671</v>
      </c>
      <c r="H118" s="212">
        <f t="shared" ref="H118:H128" si="12">H117+$I$12</f>
        <v>1373661.9967527504</v>
      </c>
    </row>
    <row r="119" spans="1:10" x14ac:dyDescent="0.25">
      <c r="A119" s="215">
        <v>41699</v>
      </c>
      <c r="H119" s="212">
        <f t="shared" si="12"/>
        <v>1422171.5029360321</v>
      </c>
    </row>
    <row r="120" spans="1:10" x14ac:dyDescent="0.25">
      <c r="A120" s="215">
        <v>41730</v>
      </c>
      <c r="H120" s="212">
        <f t="shared" si="12"/>
        <v>1470681.0091193139</v>
      </c>
    </row>
    <row r="121" spans="1:10" x14ac:dyDescent="0.25">
      <c r="A121" s="215">
        <v>41760</v>
      </c>
      <c r="H121" s="212">
        <f t="shared" si="12"/>
        <v>1519190.5153025957</v>
      </c>
    </row>
    <row r="122" spans="1:10" x14ac:dyDescent="0.25">
      <c r="A122" s="215">
        <v>41791</v>
      </c>
      <c r="H122" s="212">
        <f t="shared" si="12"/>
        <v>1567700.0214858775</v>
      </c>
    </row>
    <row r="123" spans="1:10" x14ac:dyDescent="0.25">
      <c r="A123" s="215">
        <v>41821</v>
      </c>
      <c r="H123" s="212">
        <f t="shared" si="12"/>
        <v>1616209.5276691592</v>
      </c>
    </row>
    <row r="124" spans="1:10" x14ac:dyDescent="0.25">
      <c r="A124" s="215">
        <v>41852</v>
      </c>
      <c r="H124" s="212">
        <f t="shared" si="12"/>
        <v>1664719.033852441</v>
      </c>
    </row>
    <row r="125" spans="1:10" x14ac:dyDescent="0.25">
      <c r="A125" s="215">
        <v>41883</v>
      </c>
      <c r="H125" s="212">
        <f t="shared" si="12"/>
        <v>1713228.5400357228</v>
      </c>
    </row>
    <row r="126" spans="1:10" x14ac:dyDescent="0.25">
      <c r="A126" s="215">
        <v>41913</v>
      </c>
      <c r="H126" s="212">
        <f t="shared" si="12"/>
        <v>1761738.0462190046</v>
      </c>
    </row>
    <row r="127" spans="1:10" x14ac:dyDescent="0.25">
      <c r="A127" s="215">
        <v>41944</v>
      </c>
      <c r="H127" s="212">
        <f t="shared" si="12"/>
        <v>1810247.5524022863</v>
      </c>
    </row>
    <row r="128" spans="1:10" x14ac:dyDescent="0.25">
      <c r="A128" s="215">
        <v>41974</v>
      </c>
      <c r="H128" s="212">
        <f t="shared" si="12"/>
        <v>1858757.0585855681</v>
      </c>
      <c r="I128" s="212">
        <f>SUM(H117:H128)</f>
        <v>19103457.294930223</v>
      </c>
      <c r="J128" s="212">
        <f>H128*12</f>
        <v>22305084.703026816</v>
      </c>
    </row>
    <row r="129" spans="1:10" x14ac:dyDescent="0.25">
      <c r="A129" s="215">
        <v>42005</v>
      </c>
      <c r="H129" s="212">
        <f>H128+$I$13</f>
        <v>1849184.669818654</v>
      </c>
    </row>
    <row r="130" spans="1:10" x14ac:dyDescent="0.25">
      <c r="A130" s="215">
        <v>42036</v>
      </c>
      <c r="H130" s="212">
        <f t="shared" ref="H130:H140" si="13">H129+$I$13</f>
        <v>1839612.2810517398</v>
      </c>
    </row>
    <row r="131" spans="1:10" x14ac:dyDescent="0.25">
      <c r="A131" s="215">
        <v>42064</v>
      </c>
      <c r="H131" s="212">
        <f t="shared" si="13"/>
        <v>1830039.8922848257</v>
      </c>
    </row>
    <row r="132" spans="1:10" x14ac:dyDescent="0.25">
      <c r="A132" s="215">
        <v>42095</v>
      </c>
      <c r="H132" s="212">
        <f t="shared" si="13"/>
        <v>1820467.5035179115</v>
      </c>
    </row>
    <row r="133" spans="1:10" x14ac:dyDescent="0.25">
      <c r="A133" s="215">
        <v>42125</v>
      </c>
      <c r="H133" s="212">
        <f t="shared" si="13"/>
        <v>1810895.1147509974</v>
      </c>
    </row>
    <row r="134" spans="1:10" x14ac:dyDescent="0.25">
      <c r="A134" s="215">
        <v>42156</v>
      </c>
      <c r="H134" s="212">
        <f t="shared" si="13"/>
        <v>1801322.7259840833</v>
      </c>
    </row>
    <row r="135" spans="1:10" x14ac:dyDescent="0.25">
      <c r="A135" s="215">
        <v>42186</v>
      </c>
      <c r="H135" s="212">
        <f t="shared" si="13"/>
        <v>1791750.3372171691</v>
      </c>
    </row>
    <row r="136" spans="1:10" x14ac:dyDescent="0.25">
      <c r="A136" s="215">
        <v>42217</v>
      </c>
      <c r="H136" s="212">
        <f t="shared" si="13"/>
        <v>1782177.948450255</v>
      </c>
    </row>
    <row r="137" spans="1:10" x14ac:dyDescent="0.25">
      <c r="A137" s="215">
        <v>42248</v>
      </c>
      <c r="H137" s="212">
        <f t="shared" si="13"/>
        <v>1772605.5596833408</v>
      </c>
    </row>
    <row r="138" spans="1:10" x14ac:dyDescent="0.25">
      <c r="A138" s="215">
        <v>42278</v>
      </c>
      <c r="H138" s="212">
        <f t="shared" si="13"/>
        <v>1763033.1709164267</v>
      </c>
    </row>
    <row r="139" spans="1:10" x14ac:dyDescent="0.25">
      <c r="A139" s="215">
        <v>42309</v>
      </c>
      <c r="H139" s="212">
        <f t="shared" si="13"/>
        <v>1753460.7821495126</v>
      </c>
    </row>
    <row r="140" spans="1:10" x14ac:dyDescent="0.25">
      <c r="A140" s="215">
        <v>42339</v>
      </c>
      <c r="H140" s="212">
        <f t="shared" si="13"/>
        <v>1743888.3933825984</v>
      </c>
      <c r="I140" s="212">
        <f>SUM(H129:H140)</f>
        <v>21558438.379207514</v>
      </c>
      <c r="J140" s="212">
        <f>H140*12</f>
        <v>20926660.72059118</v>
      </c>
    </row>
    <row r="141" spans="1:10" x14ac:dyDescent="0.25">
      <c r="A141" s="215">
        <v>42370</v>
      </c>
      <c r="H141" s="212">
        <f>H140+$I$14</f>
        <v>1841310.7471193657</v>
      </c>
    </row>
    <row r="142" spans="1:10" x14ac:dyDescent="0.25">
      <c r="A142" s="215">
        <v>42401</v>
      </c>
      <c r="H142" s="212">
        <f t="shared" ref="H142:H152" si="14">H141+$I$14</f>
        <v>1938733.100856133</v>
      </c>
    </row>
    <row r="143" spans="1:10" x14ac:dyDescent="0.25">
      <c r="A143" s="215">
        <v>42430</v>
      </c>
      <c r="H143" s="212">
        <f t="shared" si="14"/>
        <v>2036155.4545929004</v>
      </c>
    </row>
    <row r="144" spans="1:10" x14ac:dyDescent="0.25">
      <c r="A144" s="215">
        <v>42461</v>
      </c>
      <c r="H144" s="212">
        <f t="shared" si="14"/>
        <v>2133577.8083296674</v>
      </c>
    </row>
    <row r="145" spans="1:10" x14ac:dyDescent="0.25">
      <c r="A145" s="215">
        <v>42491</v>
      </c>
      <c r="H145" s="212">
        <f t="shared" si="14"/>
        <v>2231000.1620664345</v>
      </c>
    </row>
    <row r="146" spans="1:10" x14ac:dyDescent="0.25">
      <c r="A146" s="215">
        <v>42522</v>
      </c>
      <c r="H146" s="212">
        <f t="shared" si="14"/>
        <v>2328422.5158032016</v>
      </c>
    </row>
    <row r="147" spans="1:10" x14ac:dyDescent="0.25">
      <c r="A147" s="215">
        <v>42552</v>
      </c>
      <c r="H147" s="212">
        <f t="shared" si="14"/>
        <v>2425844.8695399687</v>
      </c>
    </row>
    <row r="148" spans="1:10" x14ac:dyDescent="0.25">
      <c r="A148" s="215">
        <v>42583</v>
      </c>
      <c r="H148" s="212">
        <f t="shared" si="14"/>
        <v>2523267.2232767357</v>
      </c>
    </row>
    <row r="149" spans="1:10" x14ac:dyDescent="0.25">
      <c r="A149" s="215">
        <v>42614</v>
      </c>
      <c r="H149" s="212">
        <f t="shared" si="14"/>
        <v>2620689.5770135028</v>
      </c>
    </row>
    <row r="150" spans="1:10" x14ac:dyDescent="0.25">
      <c r="A150" s="215">
        <v>42644</v>
      </c>
      <c r="H150" s="212">
        <f t="shared" si="14"/>
        <v>2718111.9307502699</v>
      </c>
    </row>
    <row r="151" spans="1:10" x14ac:dyDescent="0.25">
      <c r="A151" s="215">
        <v>42675</v>
      </c>
      <c r="H151" s="212">
        <f t="shared" si="14"/>
        <v>2815534.284487037</v>
      </c>
    </row>
    <row r="152" spans="1:10" x14ac:dyDescent="0.25">
      <c r="A152" s="215">
        <v>42705</v>
      </c>
      <c r="H152" s="212">
        <f t="shared" si="14"/>
        <v>2912956.6382238041</v>
      </c>
      <c r="I152" s="212">
        <f>SUM(H141:H152)</f>
        <v>28525604.312059022</v>
      </c>
      <c r="J152" s="212">
        <f>H152*12</f>
        <v>34955479.658685647</v>
      </c>
    </row>
    <row r="153" spans="1:10" x14ac:dyDescent="0.25">
      <c r="A153" s="215">
        <v>42736</v>
      </c>
      <c r="H153" s="212">
        <f>H152+$I$15</f>
        <v>2926161.7132919636</v>
      </c>
    </row>
    <row r="154" spans="1:10" x14ac:dyDescent="0.25">
      <c r="A154" s="215">
        <v>42767</v>
      </c>
      <c r="H154" s="212">
        <f t="shared" ref="H154:H164" si="15">H153+$I$15</f>
        <v>2939366.7883601231</v>
      </c>
    </row>
    <row r="155" spans="1:10" x14ac:dyDescent="0.25">
      <c r="A155" s="215">
        <v>42795</v>
      </c>
      <c r="H155" s="212">
        <f t="shared" si="15"/>
        <v>2952571.8634282826</v>
      </c>
    </row>
    <row r="156" spans="1:10" x14ac:dyDescent="0.25">
      <c r="A156" s="215">
        <v>42826</v>
      </c>
      <c r="H156" s="212">
        <f t="shared" si="15"/>
        <v>2965776.938496442</v>
      </c>
    </row>
    <row r="157" spans="1:10" x14ac:dyDescent="0.25">
      <c r="A157" s="215">
        <v>42856</v>
      </c>
      <c r="H157" s="212">
        <f t="shared" si="15"/>
        <v>2978982.0135646015</v>
      </c>
    </row>
    <row r="158" spans="1:10" x14ac:dyDescent="0.25">
      <c r="A158" s="215">
        <v>42887</v>
      </c>
      <c r="H158" s="212">
        <f t="shared" si="15"/>
        <v>2992187.088632761</v>
      </c>
    </row>
    <row r="159" spans="1:10" x14ac:dyDescent="0.25">
      <c r="A159" s="215">
        <v>42917</v>
      </c>
      <c r="H159" s="212">
        <f t="shared" si="15"/>
        <v>3005392.1637009205</v>
      </c>
    </row>
    <row r="160" spans="1:10" x14ac:dyDescent="0.25">
      <c r="A160" s="215">
        <v>42948</v>
      </c>
      <c r="H160" s="212">
        <f t="shared" si="15"/>
        <v>3018597.23876908</v>
      </c>
    </row>
    <row r="161" spans="1:10" x14ac:dyDescent="0.25">
      <c r="A161" s="215">
        <v>42979</v>
      </c>
      <c r="H161" s="212">
        <f t="shared" si="15"/>
        <v>3031802.3138372395</v>
      </c>
    </row>
    <row r="162" spans="1:10" x14ac:dyDescent="0.25">
      <c r="A162" s="215">
        <v>43009</v>
      </c>
      <c r="H162" s="212">
        <f t="shared" si="15"/>
        <v>3045007.388905399</v>
      </c>
    </row>
    <row r="163" spans="1:10" x14ac:dyDescent="0.25">
      <c r="A163" s="215">
        <v>43040</v>
      </c>
      <c r="H163" s="212">
        <f t="shared" si="15"/>
        <v>3058212.4639735585</v>
      </c>
    </row>
    <row r="164" spans="1:10" x14ac:dyDescent="0.25">
      <c r="A164" s="215">
        <v>43070</v>
      </c>
      <c r="H164" s="212">
        <f t="shared" si="15"/>
        <v>3071417.539041718</v>
      </c>
      <c r="I164" s="212">
        <f>SUM(H153:H164)</f>
        <v>35985475.514002092</v>
      </c>
      <c r="J164" s="212">
        <f>H164*12</f>
        <v>36857010.468500614</v>
      </c>
    </row>
    <row r="165" spans="1:10" x14ac:dyDescent="0.25">
      <c r="A165" s="215">
        <v>43101</v>
      </c>
      <c r="H165" s="212">
        <f>H164+$I$16</f>
        <v>3089873.1700584772</v>
      </c>
    </row>
    <row r="166" spans="1:10" x14ac:dyDescent="0.25">
      <c r="A166" s="215">
        <v>43132</v>
      </c>
      <c r="H166" s="212">
        <f t="shared" ref="H166:H176" si="16">H165+$I$16</f>
        <v>3108328.8010752364</v>
      </c>
    </row>
    <row r="167" spans="1:10" x14ac:dyDescent="0.25">
      <c r="A167" s="215">
        <v>43160</v>
      </c>
      <c r="H167" s="212">
        <f t="shared" si="16"/>
        <v>3126784.4320919956</v>
      </c>
    </row>
    <row r="168" spans="1:10" x14ac:dyDescent="0.25">
      <c r="A168" s="215">
        <v>43191</v>
      </c>
      <c r="H168" s="212">
        <f t="shared" si="16"/>
        <v>3145240.0631087548</v>
      </c>
    </row>
    <row r="169" spans="1:10" x14ac:dyDescent="0.25">
      <c r="A169" s="215">
        <v>43221</v>
      </c>
      <c r="H169" s="212">
        <f t="shared" si="16"/>
        <v>3163695.694125514</v>
      </c>
    </row>
    <row r="170" spans="1:10" x14ac:dyDescent="0.25">
      <c r="A170" s="215">
        <v>43252</v>
      </c>
      <c r="H170" s="212">
        <f t="shared" si="16"/>
        <v>3182151.3251422732</v>
      </c>
    </row>
    <row r="171" spans="1:10" x14ac:dyDescent="0.25">
      <c r="A171" s="215">
        <v>43282</v>
      </c>
      <c r="H171" s="212">
        <f t="shared" si="16"/>
        <v>3200606.9561590324</v>
      </c>
    </row>
    <row r="172" spans="1:10" x14ac:dyDescent="0.25">
      <c r="A172" s="215">
        <v>43313</v>
      </c>
      <c r="H172" s="212">
        <f t="shared" si="16"/>
        <v>3219062.5871757916</v>
      </c>
    </row>
    <row r="173" spans="1:10" x14ac:dyDescent="0.25">
      <c r="A173" s="215">
        <v>43344</v>
      </c>
      <c r="H173" s="212">
        <f t="shared" si="16"/>
        <v>3237518.2181925508</v>
      </c>
    </row>
    <row r="174" spans="1:10" x14ac:dyDescent="0.25">
      <c r="A174" s="215">
        <v>43374</v>
      </c>
      <c r="H174" s="212">
        <f t="shared" si="16"/>
        <v>3255973.84920931</v>
      </c>
    </row>
    <row r="175" spans="1:10" x14ac:dyDescent="0.25">
      <c r="A175" s="215">
        <v>43405</v>
      </c>
      <c r="H175" s="212">
        <f t="shared" si="16"/>
        <v>3274429.4802260692</v>
      </c>
    </row>
    <row r="176" spans="1:10" x14ac:dyDescent="0.25">
      <c r="A176" s="215">
        <v>43435</v>
      </c>
      <c r="H176" s="212">
        <f t="shared" si="16"/>
        <v>3292885.1112428284</v>
      </c>
      <c r="I176" s="212">
        <f>SUM(H165:H176)</f>
        <v>38296549.687807836</v>
      </c>
      <c r="J176" s="212">
        <f>H176*12</f>
        <v>39514621.334913939</v>
      </c>
    </row>
  </sheetData>
  <mergeCells count="2">
    <mergeCell ref="K3:L3"/>
    <mergeCell ref="E19:F19"/>
  </mergeCells>
  <pageMargins left="0.1" right="0.11" top="0.3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"/>
  <sheetViews>
    <sheetView topLeftCell="C10" zoomScale="70" zoomScaleNormal="70" workbookViewId="0">
      <selection activeCell="W23" sqref="W23"/>
    </sheetView>
  </sheetViews>
  <sheetFormatPr defaultRowHeight="13.2" x14ac:dyDescent="0.25"/>
  <cols>
    <col min="1" max="2" width="9.109375" style="113"/>
    <col min="3" max="3" width="11.6640625" style="113" customWidth="1"/>
    <col min="4" max="4" width="9.109375" style="113"/>
    <col min="5" max="5" width="9.33203125" style="121" customWidth="1"/>
    <col min="6" max="6" width="9.5546875" style="121" customWidth="1"/>
    <col min="7" max="10" width="9.109375" style="113"/>
    <col min="11" max="11" width="9.44140625" style="113" bestFit="1" customWidth="1"/>
    <col min="12" max="20" width="9.109375" style="113"/>
    <col min="21" max="24" width="11.88671875" style="113" customWidth="1"/>
    <col min="25" max="25" width="9.88671875" style="113" bestFit="1" customWidth="1"/>
    <col min="26" max="26" width="11" style="113" bestFit="1" customWidth="1"/>
    <col min="27" max="262" width="9.109375" style="113"/>
    <col min="263" max="263" width="9.33203125" style="113" customWidth="1"/>
    <col min="264" max="264" width="9.5546875" style="113" customWidth="1"/>
    <col min="265" max="278" width="9.109375" style="113"/>
    <col min="279" max="279" width="9.88671875" style="113" bestFit="1" customWidth="1"/>
    <col min="280" max="280" width="11" style="113" bestFit="1" customWidth="1"/>
    <col min="281" max="518" width="9.109375" style="113"/>
    <col min="519" max="519" width="9.33203125" style="113" customWidth="1"/>
    <col min="520" max="520" width="9.5546875" style="113" customWidth="1"/>
    <col min="521" max="534" width="9.109375" style="113"/>
    <col min="535" max="535" width="9.88671875" style="113" bestFit="1" customWidth="1"/>
    <col min="536" max="536" width="11" style="113" bestFit="1" customWidth="1"/>
    <col min="537" max="774" width="9.109375" style="113"/>
    <col min="775" max="775" width="9.33203125" style="113" customWidth="1"/>
    <col min="776" max="776" width="9.5546875" style="113" customWidth="1"/>
    <col min="777" max="790" width="9.109375" style="113"/>
    <col min="791" max="791" width="9.88671875" style="113" bestFit="1" customWidth="1"/>
    <col min="792" max="792" width="11" style="113" bestFit="1" customWidth="1"/>
    <col min="793" max="1030" width="9.109375" style="113"/>
    <col min="1031" max="1031" width="9.33203125" style="113" customWidth="1"/>
    <col min="1032" max="1032" width="9.5546875" style="113" customWidth="1"/>
    <col min="1033" max="1046" width="9.109375" style="113"/>
    <col min="1047" max="1047" width="9.88671875" style="113" bestFit="1" customWidth="1"/>
    <col min="1048" max="1048" width="11" style="113" bestFit="1" customWidth="1"/>
    <col min="1049" max="1286" width="9.109375" style="113"/>
    <col min="1287" max="1287" width="9.33203125" style="113" customWidth="1"/>
    <col min="1288" max="1288" width="9.5546875" style="113" customWidth="1"/>
    <col min="1289" max="1302" width="9.109375" style="113"/>
    <col min="1303" max="1303" width="9.88671875" style="113" bestFit="1" customWidth="1"/>
    <col min="1304" max="1304" width="11" style="113" bestFit="1" customWidth="1"/>
    <col min="1305" max="1542" width="9.109375" style="113"/>
    <col min="1543" max="1543" width="9.33203125" style="113" customWidth="1"/>
    <col min="1544" max="1544" width="9.5546875" style="113" customWidth="1"/>
    <col min="1545" max="1558" width="9.109375" style="113"/>
    <col min="1559" max="1559" width="9.88671875" style="113" bestFit="1" customWidth="1"/>
    <col min="1560" max="1560" width="11" style="113" bestFit="1" customWidth="1"/>
    <col min="1561" max="1798" width="9.109375" style="113"/>
    <col min="1799" max="1799" width="9.33203125" style="113" customWidth="1"/>
    <col min="1800" max="1800" width="9.5546875" style="113" customWidth="1"/>
    <col min="1801" max="1814" width="9.109375" style="113"/>
    <col min="1815" max="1815" width="9.88671875" style="113" bestFit="1" customWidth="1"/>
    <col min="1816" max="1816" width="11" style="113" bestFit="1" customWidth="1"/>
    <col min="1817" max="2054" width="9.109375" style="113"/>
    <col min="2055" max="2055" width="9.33203125" style="113" customWidth="1"/>
    <col min="2056" max="2056" width="9.5546875" style="113" customWidth="1"/>
    <col min="2057" max="2070" width="9.109375" style="113"/>
    <col min="2071" max="2071" width="9.88671875" style="113" bestFit="1" customWidth="1"/>
    <col min="2072" max="2072" width="11" style="113" bestFit="1" customWidth="1"/>
    <col min="2073" max="2310" width="9.109375" style="113"/>
    <col min="2311" max="2311" width="9.33203125" style="113" customWidth="1"/>
    <col min="2312" max="2312" width="9.5546875" style="113" customWidth="1"/>
    <col min="2313" max="2326" width="9.109375" style="113"/>
    <col min="2327" max="2327" width="9.88671875" style="113" bestFit="1" customWidth="1"/>
    <col min="2328" max="2328" width="11" style="113" bestFit="1" customWidth="1"/>
    <col min="2329" max="2566" width="9.109375" style="113"/>
    <col min="2567" max="2567" width="9.33203125" style="113" customWidth="1"/>
    <col min="2568" max="2568" width="9.5546875" style="113" customWidth="1"/>
    <col min="2569" max="2582" width="9.109375" style="113"/>
    <col min="2583" max="2583" width="9.88671875" style="113" bestFit="1" customWidth="1"/>
    <col min="2584" max="2584" width="11" style="113" bestFit="1" customWidth="1"/>
    <col min="2585" max="2822" width="9.109375" style="113"/>
    <col min="2823" max="2823" width="9.33203125" style="113" customWidth="1"/>
    <col min="2824" max="2824" width="9.5546875" style="113" customWidth="1"/>
    <col min="2825" max="2838" width="9.109375" style="113"/>
    <col min="2839" max="2839" width="9.88671875" style="113" bestFit="1" customWidth="1"/>
    <col min="2840" max="2840" width="11" style="113" bestFit="1" customWidth="1"/>
    <col min="2841" max="3078" width="9.109375" style="113"/>
    <col min="3079" max="3079" width="9.33203125" style="113" customWidth="1"/>
    <col min="3080" max="3080" width="9.5546875" style="113" customWidth="1"/>
    <col min="3081" max="3094" width="9.109375" style="113"/>
    <col min="3095" max="3095" width="9.88671875" style="113" bestFit="1" customWidth="1"/>
    <col min="3096" max="3096" width="11" style="113" bestFit="1" customWidth="1"/>
    <col min="3097" max="3334" width="9.109375" style="113"/>
    <col min="3335" max="3335" width="9.33203125" style="113" customWidth="1"/>
    <col min="3336" max="3336" width="9.5546875" style="113" customWidth="1"/>
    <col min="3337" max="3350" width="9.109375" style="113"/>
    <col min="3351" max="3351" width="9.88671875" style="113" bestFit="1" customWidth="1"/>
    <col min="3352" max="3352" width="11" style="113" bestFit="1" customWidth="1"/>
    <col min="3353" max="3590" width="9.109375" style="113"/>
    <col min="3591" max="3591" width="9.33203125" style="113" customWidth="1"/>
    <col min="3592" max="3592" width="9.5546875" style="113" customWidth="1"/>
    <col min="3593" max="3606" width="9.109375" style="113"/>
    <col min="3607" max="3607" width="9.88671875" style="113" bestFit="1" customWidth="1"/>
    <col min="3608" max="3608" width="11" style="113" bestFit="1" customWidth="1"/>
    <col min="3609" max="3846" width="9.109375" style="113"/>
    <col min="3847" max="3847" width="9.33203125" style="113" customWidth="1"/>
    <col min="3848" max="3848" width="9.5546875" style="113" customWidth="1"/>
    <col min="3849" max="3862" width="9.109375" style="113"/>
    <col min="3863" max="3863" width="9.88671875" style="113" bestFit="1" customWidth="1"/>
    <col min="3864" max="3864" width="11" style="113" bestFit="1" customWidth="1"/>
    <col min="3865" max="4102" width="9.109375" style="113"/>
    <col min="4103" max="4103" width="9.33203125" style="113" customWidth="1"/>
    <col min="4104" max="4104" width="9.5546875" style="113" customWidth="1"/>
    <col min="4105" max="4118" width="9.109375" style="113"/>
    <col min="4119" max="4119" width="9.88671875" style="113" bestFit="1" customWidth="1"/>
    <col min="4120" max="4120" width="11" style="113" bestFit="1" customWidth="1"/>
    <col min="4121" max="4358" width="9.109375" style="113"/>
    <col min="4359" max="4359" width="9.33203125" style="113" customWidth="1"/>
    <col min="4360" max="4360" width="9.5546875" style="113" customWidth="1"/>
    <col min="4361" max="4374" width="9.109375" style="113"/>
    <col min="4375" max="4375" width="9.88671875" style="113" bestFit="1" customWidth="1"/>
    <col min="4376" max="4376" width="11" style="113" bestFit="1" customWidth="1"/>
    <col min="4377" max="4614" width="9.109375" style="113"/>
    <col min="4615" max="4615" width="9.33203125" style="113" customWidth="1"/>
    <col min="4616" max="4616" width="9.5546875" style="113" customWidth="1"/>
    <col min="4617" max="4630" width="9.109375" style="113"/>
    <col min="4631" max="4631" width="9.88671875" style="113" bestFit="1" customWidth="1"/>
    <col min="4632" max="4632" width="11" style="113" bestFit="1" customWidth="1"/>
    <col min="4633" max="4870" width="9.109375" style="113"/>
    <col min="4871" max="4871" width="9.33203125" style="113" customWidth="1"/>
    <col min="4872" max="4872" width="9.5546875" style="113" customWidth="1"/>
    <col min="4873" max="4886" width="9.109375" style="113"/>
    <col min="4887" max="4887" width="9.88671875" style="113" bestFit="1" customWidth="1"/>
    <col min="4888" max="4888" width="11" style="113" bestFit="1" customWidth="1"/>
    <col min="4889" max="5126" width="9.109375" style="113"/>
    <col min="5127" max="5127" width="9.33203125" style="113" customWidth="1"/>
    <col min="5128" max="5128" width="9.5546875" style="113" customWidth="1"/>
    <col min="5129" max="5142" width="9.109375" style="113"/>
    <col min="5143" max="5143" width="9.88671875" style="113" bestFit="1" customWidth="1"/>
    <col min="5144" max="5144" width="11" style="113" bestFit="1" customWidth="1"/>
    <col min="5145" max="5382" width="9.109375" style="113"/>
    <col min="5383" max="5383" width="9.33203125" style="113" customWidth="1"/>
    <col min="5384" max="5384" width="9.5546875" style="113" customWidth="1"/>
    <col min="5385" max="5398" width="9.109375" style="113"/>
    <col min="5399" max="5399" width="9.88671875" style="113" bestFit="1" customWidth="1"/>
    <col min="5400" max="5400" width="11" style="113" bestFit="1" customWidth="1"/>
    <col min="5401" max="5638" width="9.109375" style="113"/>
    <col min="5639" max="5639" width="9.33203125" style="113" customWidth="1"/>
    <col min="5640" max="5640" width="9.5546875" style="113" customWidth="1"/>
    <col min="5641" max="5654" width="9.109375" style="113"/>
    <col min="5655" max="5655" width="9.88671875" style="113" bestFit="1" customWidth="1"/>
    <col min="5656" max="5656" width="11" style="113" bestFit="1" customWidth="1"/>
    <col min="5657" max="5894" width="9.109375" style="113"/>
    <col min="5895" max="5895" width="9.33203125" style="113" customWidth="1"/>
    <col min="5896" max="5896" width="9.5546875" style="113" customWidth="1"/>
    <col min="5897" max="5910" width="9.109375" style="113"/>
    <col min="5911" max="5911" width="9.88671875" style="113" bestFit="1" customWidth="1"/>
    <col min="5912" max="5912" width="11" style="113" bestFit="1" customWidth="1"/>
    <col min="5913" max="6150" width="9.109375" style="113"/>
    <col min="6151" max="6151" width="9.33203125" style="113" customWidth="1"/>
    <col min="6152" max="6152" width="9.5546875" style="113" customWidth="1"/>
    <col min="6153" max="6166" width="9.109375" style="113"/>
    <col min="6167" max="6167" width="9.88671875" style="113" bestFit="1" customWidth="1"/>
    <col min="6168" max="6168" width="11" style="113" bestFit="1" customWidth="1"/>
    <col min="6169" max="6406" width="9.109375" style="113"/>
    <col min="6407" max="6407" width="9.33203125" style="113" customWidth="1"/>
    <col min="6408" max="6408" width="9.5546875" style="113" customWidth="1"/>
    <col min="6409" max="6422" width="9.109375" style="113"/>
    <col min="6423" max="6423" width="9.88671875" style="113" bestFit="1" customWidth="1"/>
    <col min="6424" max="6424" width="11" style="113" bestFit="1" customWidth="1"/>
    <col min="6425" max="6662" width="9.109375" style="113"/>
    <col min="6663" max="6663" width="9.33203125" style="113" customWidth="1"/>
    <col min="6664" max="6664" width="9.5546875" style="113" customWidth="1"/>
    <col min="6665" max="6678" width="9.109375" style="113"/>
    <col min="6679" max="6679" width="9.88671875" style="113" bestFit="1" customWidth="1"/>
    <col min="6680" max="6680" width="11" style="113" bestFit="1" customWidth="1"/>
    <col min="6681" max="6918" width="9.109375" style="113"/>
    <col min="6919" max="6919" width="9.33203125" style="113" customWidth="1"/>
    <col min="6920" max="6920" width="9.5546875" style="113" customWidth="1"/>
    <col min="6921" max="6934" width="9.109375" style="113"/>
    <col min="6935" max="6935" width="9.88671875" style="113" bestFit="1" customWidth="1"/>
    <col min="6936" max="6936" width="11" style="113" bestFit="1" customWidth="1"/>
    <col min="6937" max="7174" width="9.109375" style="113"/>
    <col min="7175" max="7175" width="9.33203125" style="113" customWidth="1"/>
    <col min="7176" max="7176" width="9.5546875" style="113" customWidth="1"/>
    <col min="7177" max="7190" width="9.109375" style="113"/>
    <col min="7191" max="7191" width="9.88671875" style="113" bestFit="1" customWidth="1"/>
    <col min="7192" max="7192" width="11" style="113" bestFit="1" customWidth="1"/>
    <col min="7193" max="7430" width="9.109375" style="113"/>
    <col min="7431" max="7431" width="9.33203125" style="113" customWidth="1"/>
    <col min="7432" max="7432" width="9.5546875" style="113" customWidth="1"/>
    <col min="7433" max="7446" width="9.109375" style="113"/>
    <col min="7447" max="7447" width="9.88671875" style="113" bestFit="1" customWidth="1"/>
    <col min="7448" max="7448" width="11" style="113" bestFit="1" customWidth="1"/>
    <col min="7449" max="7686" width="9.109375" style="113"/>
    <col min="7687" max="7687" width="9.33203125" style="113" customWidth="1"/>
    <col min="7688" max="7688" width="9.5546875" style="113" customWidth="1"/>
    <col min="7689" max="7702" width="9.109375" style="113"/>
    <col min="7703" max="7703" width="9.88671875" style="113" bestFit="1" customWidth="1"/>
    <col min="7704" max="7704" width="11" style="113" bestFit="1" customWidth="1"/>
    <col min="7705" max="7942" width="9.109375" style="113"/>
    <col min="7943" max="7943" width="9.33203125" style="113" customWidth="1"/>
    <col min="7944" max="7944" width="9.5546875" style="113" customWidth="1"/>
    <col min="7945" max="7958" width="9.109375" style="113"/>
    <col min="7959" max="7959" width="9.88671875" style="113" bestFit="1" customWidth="1"/>
    <col min="7960" max="7960" width="11" style="113" bestFit="1" customWidth="1"/>
    <col min="7961" max="8198" width="9.109375" style="113"/>
    <col min="8199" max="8199" width="9.33203125" style="113" customWidth="1"/>
    <col min="8200" max="8200" width="9.5546875" style="113" customWidth="1"/>
    <col min="8201" max="8214" width="9.109375" style="113"/>
    <col min="8215" max="8215" width="9.88671875" style="113" bestFit="1" customWidth="1"/>
    <col min="8216" max="8216" width="11" style="113" bestFit="1" customWidth="1"/>
    <col min="8217" max="8454" width="9.109375" style="113"/>
    <col min="8455" max="8455" width="9.33203125" style="113" customWidth="1"/>
    <col min="8456" max="8456" width="9.5546875" style="113" customWidth="1"/>
    <col min="8457" max="8470" width="9.109375" style="113"/>
    <col min="8471" max="8471" width="9.88671875" style="113" bestFit="1" customWidth="1"/>
    <col min="8472" max="8472" width="11" style="113" bestFit="1" customWidth="1"/>
    <col min="8473" max="8710" width="9.109375" style="113"/>
    <col min="8711" max="8711" width="9.33203125" style="113" customWidth="1"/>
    <col min="8712" max="8712" width="9.5546875" style="113" customWidth="1"/>
    <col min="8713" max="8726" width="9.109375" style="113"/>
    <col min="8727" max="8727" width="9.88671875" style="113" bestFit="1" customWidth="1"/>
    <col min="8728" max="8728" width="11" style="113" bestFit="1" customWidth="1"/>
    <col min="8729" max="8966" width="9.109375" style="113"/>
    <col min="8967" max="8967" width="9.33203125" style="113" customWidth="1"/>
    <col min="8968" max="8968" width="9.5546875" style="113" customWidth="1"/>
    <col min="8969" max="8982" width="9.109375" style="113"/>
    <col min="8983" max="8983" width="9.88671875" style="113" bestFit="1" customWidth="1"/>
    <col min="8984" max="8984" width="11" style="113" bestFit="1" customWidth="1"/>
    <col min="8985" max="9222" width="9.109375" style="113"/>
    <col min="9223" max="9223" width="9.33203125" style="113" customWidth="1"/>
    <col min="9224" max="9224" width="9.5546875" style="113" customWidth="1"/>
    <col min="9225" max="9238" width="9.109375" style="113"/>
    <col min="9239" max="9239" width="9.88671875" style="113" bestFit="1" customWidth="1"/>
    <col min="9240" max="9240" width="11" style="113" bestFit="1" customWidth="1"/>
    <col min="9241" max="9478" width="9.109375" style="113"/>
    <col min="9479" max="9479" width="9.33203125" style="113" customWidth="1"/>
    <col min="9480" max="9480" width="9.5546875" style="113" customWidth="1"/>
    <col min="9481" max="9494" width="9.109375" style="113"/>
    <col min="9495" max="9495" width="9.88671875" style="113" bestFit="1" customWidth="1"/>
    <col min="9496" max="9496" width="11" style="113" bestFit="1" customWidth="1"/>
    <col min="9497" max="9734" width="9.109375" style="113"/>
    <col min="9735" max="9735" width="9.33203125" style="113" customWidth="1"/>
    <col min="9736" max="9736" width="9.5546875" style="113" customWidth="1"/>
    <col min="9737" max="9750" width="9.109375" style="113"/>
    <col min="9751" max="9751" width="9.88671875" style="113" bestFit="1" customWidth="1"/>
    <col min="9752" max="9752" width="11" style="113" bestFit="1" customWidth="1"/>
    <col min="9753" max="9990" width="9.109375" style="113"/>
    <col min="9991" max="9991" width="9.33203125" style="113" customWidth="1"/>
    <col min="9992" max="9992" width="9.5546875" style="113" customWidth="1"/>
    <col min="9993" max="10006" width="9.109375" style="113"/>
    <col min="10007" max="10007" width="9.88671875" style="113" bestFit="1" customWidth="1"/>
    <col min="10008" max="10008" width="11" style="113" bestFit="1" customWidth="1"/>
    <col min="10009" max="10246" width="9.109375" style="113"/>
    <col min="10247" max="10247" width="9.33203125" style="113" customWidth="1"/>
    <col min="10248" max="10248" width="9.5546875" style="113" customWidth="1"/>
    <col min="10249" max="10262" width="9.109375" style="113"/>
    <col min="10263" max="10263" width="9.88671875" style="113" bestFit="1" customWidth="1"/>
    <col min="10264" max="10264" width="11" style="113" bestFit="1" customWidth="1"/>
    <col min="10265" max="10502" width="9.109375" style="113"/>
    <col min="10503" max="10503" width="9.33203125" style="113" customWidth="1"/>
    <col min="10504" max="10504" width="9.5546875" style="113" customWidth="1"/>
    <col min="10505" max="10518" width="9.109375" style="113"/>
    <col min="10519" max="10519" width="9.88671875" style="113" bestFit="1" customWidth="1"/>
    <col min="10520" max="10520" width="11" style="113" bestFit="1" customWidth="1"/>
    <col min="10521" max="10758" width="9.109375" style="113"/>
    <col min="10759" max="10759" width="9.33203125" style="113" customWidth="1"/>
    <col min="10760" max="10760" width="9.5546875" style="113" customWidth="1"/>
    <col min="10761" max="10774" width="9.109375" style="113"/>
    <col min="10775" max="10775" width="9.88671875" style="113" bestFit="1" customWidth="1"/>
    <col min="10776" max="10776" width="11" style="113" bestFit="1" customWidth="1"/>
    <col min="10777" max="11014" width="9.109375" style="113"/>
    <col min="11015" max="11015" width="9.33203125" style="113" customWidth="1"/>
    <col min="11016" max="11016" width="9.5546875" style="113" customWidth="1"/>
    <col min="11017" max="11030" width="9.109375" style="113"/>
    <col min="11031" max="11031" width="9.88671875" style="113" bestFit="1" customWidth="1"/>
    <col min="11032" max="11032" width="11" style="113" bestFit="1" customWidth="1"/>
    <col min="11033" max="11270" width="9.109375" style="113"/>
    <col min="11271" max="11271" width="9.33203125" style="113" customWidth="1"/>
    <col min="11272" max="11272" width="9.5546875" style="113" customWidth="1"/>
    <col min="11273" max="11286" width="9.109375" style="113"/>
    <col min="11287" max="11287" width="9.88671875" style="113" bestFit="1" customWidth="1"/>
    <col min="11288" max="11288" width="11" style="113" bestFit="1" customWidth="1"/>
    <col min="11289" max="11526" width="9.109375" style="113"/>
    <col min="11527" max="11527" width="9.33203125" style="113" customWidth="1"/>
    <col min="11528" max="11528" width="9.5546875" style="113" customWidth="1"/>
    <col min="11529" max="11542" width="9.109375" style="113"/>
    <col min="11543" max="11543" width="9.88671875" style="113" bestFit="1" customWidth="1"/>
    <col min="11544" max="11544" width="11" style="113" bestFit="1" customWidth="1"/>
    <col min="11545" max="11782" width="9.109375" style="113"/>
    <col min="11783" max="11783" width="9.33203125" style="113" customWidth="1"/>
    <col min="11784" max="11784" width="9.5546875" style="113" customWidth="1"/>
    <col min="11785" max="11798" width="9.109375" style="113"/>
    <col min="11799" max="11799" width="9.88671875" style="113" bestFit="1" customWidth="1"/>
    <col min="11800" max="11800" width="11" style="113" bestFit="1" customWidth="1"/>
    <col min="11801" max="12038" width="9.109375" style="113"/>
    <col min="12039" max="12039" width="9.33203125" style="113" customWidth="1"/>
    <col min="12040" max="12040" width="9.5546875" style="113" customWidth="1"/>
    <col min="12041" max="12054" width="9.109375" style="113"/>
    <col min="12055" max="12055" width="9.88671875" style="113" bestFit="1" customWidth="1"/>
    <col min="12056" max="12056" width="11" style="113" bestFit="1" customWidth="1"/>
    <col min="12057" max="12294" width="9.109375" style="113"/>
    <col min="12295" max="12295" width="9.33203125" style="113" customWidth="1"/>
    <col min="12296" max="12296" width="9.5546875" style="113" customWidth="1"/>
    <col min="12297" max="12310" width="9.109375" style="113"/>
    <col min="12311" max="12311" width="9.88671875" style="113" bestFit="1" customWidth="1"/>
    <col min="12312" max="12312" width="11" style="113" bestFit="1" customWidth="1"/>
    <col min="12313" max="12550" width="9.109375" style="113"/>
    <col min="12551" max="12551" width="9.33203125" style="113" customWidth="1"/>
    <col min="12552" max="12552" width="9.5546875" style="113" customWidth="1"/>
    <col min="12553" max="12566" width="9.109375" style="113"/>
    <col min="12567" max="12567" width="9.88671875" style="113" bestFit="1" customWidth="1"/>
    <col min="12568" max="12568" width="11" style="113" bestFit="1" customWidth="1"/>
    <col min="12569" max="12806" width="9.109375" style="113"/>
    <col min="12807" max="12807" width="9.33203125" style="113" customWidth="1"/>
    <col min="12808" max="12808" width="9.5546875" style="113" customWidth="1"/>
    <col min="12809" max="12822" width="9.109375" style="113"/>
    <col min="12823" max="12823" width="9.88671875" style="113" bestFit="1" customWidth="1"/>
    <col min="12824" max="12824" width="11" style="113" bestFit="1" customWidth="1"/>
    <col min="12825" max="13062" width="9.109375" style="113"/>
    <col min="13063" max="13063" width="9.33203125" style="113" customWidth="1"/>
    <col min="13064" max="13064" width="9.5546875" style="113" customWidth="1"/>
    <col min="13065" max="13078" width="9.109375" style="113"/>
    <col min="13079" max="13079" width="9.88671875" style="113" bestFit="1" customWidth="1"/>
    <col min="13080" max="13080" width="11" style="113" bestFit="1" customWidth="1"/>
    <col min="13081" max="13318" width="9.109375" style="113"/>
    <col min="13319" max="13319" width="9.33203125" style="113" customWidth="1"/>
    <col min="13320" max="13320" width="9.5546875" style="113" customWidth="1"/>
    <col min="13321" max="13334" width="9.109375" style="113"/>
    <col min="13335" max="13335" width="9.88671875" style="113" bestFit="1" customWidth="1"/>
    <col min="13336" max="13336" width="11" style="113" bestFit="1" customWidth="1"/>
    <col min="13337" max="13574" width="9.109375" style="113"/>
    <col min="13575" max="13575" width="9.33203125" style="113" customWidth="1"/>
    <col min="13576" max="13576" width="9.5546875" style="113" customWidth="1"/>
    <col min="13577" max="13590" width="9.109375" style="113"/>
    <col min="13591" max="13591" width="9.88671875" style="113" bestFit="1" customWidth="1"/>
    <col min="13592" max="13592" width="11" style="113" bestFit="1" customWidth="1"/>
    <col min="13593" max="13830" width="9.109375" style="113"/>
    <col min="13831" max="13831" width="9.33203125" style="113" customWidth="1"/>
    <col min="13832" max="13832" width="9.5546875" style="113" customWidth="1"/>
    <col min="13833" max="13846" width="9.109375" style="113"/>
    <col min="13847" max="13847" width="9.88671875" style="113" bestFit="1" customWidth="1"/>
    <col min="13848" max="13848" width="11" style="113" bestFit="1" customWidth="1"/>
    <col min="13849" max="14086" width="9.109375" style="113"/>
    <col min="14087" max="14087" width="9.33203125" style="113" customWidth="1"/>
    <col min="14088" max="14088" width="9.5546875" style="113" customWidth="1"/>
    <col min="14089" max="14102" width="9.109375" style="113"/>
    <col min="14103" max="14103" width="9.88671875" style="113" bestFit="1" customWidth="1"/>
    <col min="14104" max="14104" width="11" style="113" bestFit="1" customWidth="1"/>
    <col min="14105" max="14342" width="9.109375" style="113"/>
    <col min="14343" max="14343" width="9.33203125" style="113" customWidth="1"/>
    <col min="14344" max="14344" width="9.5546875" style="113" customWidth="1"/>
    <col min="14345" max="14358" width="9.109375" style="113"/>
    <col min="14359" max="14359" width="9.88671875" style="113" bestFit="1" customWidth="1"/>
    <col min="14360" max="14360" width="11" style="113" bestFit="1" customWidth="1"/>
    <col min="14361" max="14598" width="9.109375" style="113"/>
    <col min="14599" max="14599" width="9.33203125" style="113" customWidth="1"/>
    <col min="14600" max="14600" width="9.5546875" style="113" customWidth="1"/>
    <col min="14601" max="14614" width="9.109375" style="113"/>
    <col min="14615" max="14615" width="9.88671875" style="113" bestFit="1" customWidth="1"/>
    <col min="14616" max="14616" width="11" style="113" bestFit="1" customWidth="1"/>
    <col min="14617" max="14854" width="9.109375" style="113"/>
    <col min="14855" max="14855" width="9.33203125" style="113" customWidth="1"/>
    <col min="14856" max="14856" width="9.5546875" style="113" customWidth="1"/>
    <col min="14857" max="14870" width="9.109375" style="113"/>
    <col min="14871" max="14871" width="9.88671875" style="113" bestFit="1" customWidth="1"/>
    <col min="14872" max="14872" width="11" style="113" bestFit="1" customWidth="1"/>
    <col min="14873" max="15110" width="9.109375" style="113"/>
    <col min="15111" max="15111" width="9.33203125" style="113" customWidth="1"/>
    <col min="15112" max="15112" width="9.5546875" style="113" customWidth="1"/>
    <col min="15113" max="15126" width="9.109375" style="113"/>
    <col min="15127" max="15127" width="9.88671875" style="113" bestFit="1" customWidth="1"/>
    <col min="15128" max="15128" width="11" style="113" bestFit="1" customWidth="1"/>
    <col min="15129" max="15366" width="9.109375" style="113"/>
    <col min="15367" max="15367" width="9.33203125" style="113" customWidth="1"/>
    <col min="15368" max="15368" width="9.5546875" style="113" customWidth="1"/>
    <col min="15369" max="15382" width="9.109375" style="113"/>
    <col min="15383" max="15383" width="9.88671875" style="113" bestFit="1" customWidth="1"/>
    <col min="15384" max="15384" width="11" style="113" bestFit="1" customWidth="1"/>
    <col min="15385" max="15622" width="9.109375" style="113"/>
    <col min="15623" max="15623" width="9.33203125" style="113" customWidth="1"/>
    <col min="15624" max="15624" width="9.5546875" style="113" customWidth="1"/>
    <col min="15625" max="15638" width="9.109375" style="113"/>
    <col min="15639" max="15639" width="9.88671875" style="113" bestFit="1" customWidth="1"/>
    <col min="15640" max="15640" width="11" style="113" bestFit="1" customWidth="1"/>
    <col min="15641" max="15878" width="9.109375" style="113"/>
    <col min="15879" max="15879" width="9.33203125" style="113" customWidth="1"/>
    <col min="15880" max="15880" width="9.5546875" style="113" customWidth="1"/>
    <col min="15881" max="15894" width="9.109375" style="113"/>
    <col min="15895" max="15895" width="9.88671875" style="113" bestFit="1" customWidth="1"/>
    <col min="15896" max="15896" width="11" style="113" bestFit="1" customWidth="1"/>
    <col min="15897" max="16134" width="9.109375" style="113"/>
    <col min="16135" max="16135" width="9.33203125" style="113" customWidth="1"/>
    <col min="16136" max="16136" width="9.5546875" style="113" customWidth="1"/>
    <col min="16137" max="16150" width="9.109375" style="113"/>
    <col min="16151" max="16151" width="9.88671875" style="113" bestFit="1" customWidth="1"/>
    <col min="16152" max="16152" width="11" style="113" bestFit="1" customWidth="1"/>
    <col min="16153" max="16384" width="9.109375" style="113"/>
  </cols>
  <sheetData>
    <row r="1" spans="1:29" x14ac:dyDescent="0.25">
      <c r="A1" s="119" t="s">
        <v>114</v>
      </c>
      <c r="D1" s="444"/>
      <c r="E1" s="444"/>
      <c r="F1" s="119"/>
      <c r="G1" s="119"/>
      <c r="H1" s="119"/>
      <c r="I1" s="119"/>
    </row>
    <row r="2" spans="1:29" x14ac:dyDescent="0.25">
      <c r="A2" s="120"/>
    </row>
    <row r="3" spans="1:29" x14ac:dyDescent="0.25">
      <c r="A3" s="122" t="s">
        <v>115</v>
      </c>
      <c r="B3" s="122"/>
      <c r="C3" s="122"/>
      <c r="D3" s="122"/>
      <c r="E3" s="123"/>
      <c r="F3" s="123"/>
    </row>
    <row r="4" spans="1:29" x14ac:dyDescent="0.25">
      <c r="A4" s="124"/>
      <c r="B4" s="124"/>
      <c r="C4" s="124"/>
      <c r="D4" s="124"/>
      <c r="E4" s="125"/>
      <c r="F4" s="125"/>
    </row>
    <row r="5" spans="1:29" x14ac:dyDescent="0.25">
      <c r="A5" s="126" t="s">
        <v>116</v>
      </c>
      <c r="B5" s="126">
        <v>1995</v>
      </c>
      <c r="C5" s="126">
        <v>1996</v>
      </c>
      <c r="D5" s="126">
        <v>1997</v>
      </c>
      <c r="E5" s="126">
        <v>1998</v>
      </c>
      <c r="F5" s="126">
        <v>1999</v>
      </c>
      <c r="G5" s="126">
        <v>2000</v>
      </c>
      <c r="H5" s="126">
        <v>2001</v>
      </c>
      <c r="I5" s="126">
        <v>2002</v>
      </c>
      <c r="J5" s="126">
        <v>2003</v>
      </c>
      <c r="K5" s="126">
        <v>2004</v>
      </c>
      <c r="L5" s="126">
        <v>2005</v>
      </c>
      <c r="M5" s="126">
        <v>2006</v>
      </c>
      <c r="N5" s="126">
        <v>2007</v>
      </c>
      <c r="O5" s="126">
        <v>2008</v>
      </c>
      <c r="P5" s="126">
        <v>2009</v>
      </c>
      <c r="Q5" s="126">
        <v>2010</v>
      </c>
      <c r="R5" s="126">
        <v>2011</v>
      </c>
      <c r="S5" s="126">
        <v>2012</v>
      </c>
      <c r="T5" s="126">
        <v>2013</v>
      </c>
      <c r="U5" s="126">
        <v>2014</v>
      </c>
      <c r="V5" s="126">
        <v>2015</v>
      </c>
      <c r="W5" s="126">
        <v>2016</v>
      </c>
      <c r="X5" s="126">
        <v>2017</v>
      </c>
      <c r="Y5" s="127" t="s">
        <v>117</v>
      </c>
      <c r="Z5" s="127" t="s">
        <v>118</v>
      </c>
    </row>
    <row r="6" spans="1:29" x14ac:dyDescent="0.25">
      <c r="A6" s="124"/>
      <c r="B6" s="124"/>
      <c r="C6" s="124"/>
      <c r="D6" s="124"/>
      <c r="E6" s="123"/>
      <c r="F6" s="123"/>
    </row>
    <row r="7" spans="1:29" x14ac:dyDescent="0.25">
      <c r="A7" s="128"/>
      <c r="B7" s="128"/>
      <c r="C7" s="128"/>
      <c r="D7" s="128"/>
      <c r="E7" s="123"/>
      <c r="F7" s="123"/>
      <c r="G7" s="123"/>
      <c r="H7" s="123"/>
    </row>
    <row r="8" spans="1:29" x14ac:dyDescent="0.25">
      <c r="A8" s="128" t="s">
        <v>119</v>
      </c>
      <c r="B8" s="178">
        <v>753.8</v>
      </c>
      <c r="C8" s="178">
        <v>920.1</v>
      </c>
      <c r="D8" s="177">
        <v>936</v>
      </c>
      <c r="E8" s="177">
        <v>792.1</v>
      </c>
      <c r="F8" s="177">
        <v>883</v>
      </c>
      <c r="G8" s="177">
        <v>866.6</v>
      </c>
      <c r="H8" s="177">
        <v>758.2</v>
      </c>
      <c r="I8" s="177">
        <v>706.6</v>
      </c>
      <c r="J8" s="179">
        <v>920.6</v>
      </c>
      <c r="K8" s="179">
        <v>1006</v>
      </c>
      <c r="L8" s="179">
        <v>925.1</v>
      </c>
      <c r="M8" s="179">
        <v>689.8</v>
      </c>
      <c r="N8" s="179">
        <v>776.9</v>
      </c>
      <c r="O8" s="179">
        <v>761.9</v>
      </c>
      <c r="P8" s="179">
        <v>970.4</v>
      </c>
      <c r="Q8" s="179">
        <v>810.7</v>
      </c>
      <c r="R8" s="179">
        <v>935</v>
      </c>
      <c r="S8" s="159">
        <v>756.8</v>
      </c>
      <c r="T8" s="159">
        <v>598.5</v>
      </c>
      <c r="U8" s="159">
        <v>980.3</v>
      </c>
      <c r="V8" s="159">
        <v>923.4</v>
      </c>
      <c r="W8" s="159">
        <v>794.2</v>
      </c>
      <c r="X8" s="159">
        <v>710.9</v>
      </c>
      <c r="Y8" s="130">
        <f>AVERAGE(O8:X8)</f>
        <v>824.21</v>
      </c>
      <c r="Z8" s="131">
        <f>TREND(E8:X8,$E$25:$X$25,2018)</f>
        <v>810.83473684210594</v>
      </c>
      <c r="AB8"/>
      <c r="AC8"/>
    </row>
    <row r="9" spans="1:29" x14ac:dyDescent="0.25">
      <c r="A9" s="128" t="s">
        <v>120</v>
      </c>
      <c r="B9" s="178">
        <v>805.6</v>
      </c>
      <c r="C9" s="178">
        <v>820.3</v>
      </c>
      <c r="D9" s="177">
        <v>724.4</v>
      </c>
      <c r="E9" s="177">
        <v>544.70000000000005</v>
      </c>
      <c r="F9" s="177">
        <v>654.4</v>
      </c>
      <c r="G9" s="177">
        <v>590.20000000000005</v>
      </c>
      <c r="H9" s="177">
        <v>743.2</v>
      </c>
      <c r="I9" s="177">
        <v>647.29999999999995</v>
      </c>
      <c r="J9" s="179">
        <v>902.6</v>
      </c>
      <c r="K9" s="179">
        <v>707</v>
      </c>
      <c r="L9" s="179">
        <v>693.6</v>
      </c>
      <c r="M9" s="179">
        <v>734.6</v>
      </c>
      <c r="N9" s="179">
        <v>843.5</v>
      </c>
      <c r="O9" s="179">
        <v>831.3</v>
      </c>
      <c r="P9" s="179">
        <v>747.8</v>
      </c>
      <c r="Q9" s="179">
        <v>691.1</v>
      </c>
      <c r="R9" s="179">
        <v>732.3</v>
      </c>
      <c r="S9" s="159">
        <v>622.6</v>
      </c>
      <c r="T9" s="159">
        <v>618.9</v>
      </c>
      <c r="U9" s="159">
        <v>912</v>
      </c>
      <c r="V9" s="159">
        <v>1015.2</v>
      </c>
      <c r="W9" s="159">
        <v>731.2</v>
      </c>
      <c r="X9" s="159">
        <v>638.70000000000005</v>
      </c>
      <c r="Y9" s="130">
        <f t="shared" ref="Y9:Y19" si="0">AVERAGE(O9:X9)</f>
        <v>754.1099999999999</v>
      </c>
      <c r="Z9" s="131">
        <f t="shared" ref="Z9:Z19" si="1">TREND(E9:X9,$E$25:$X$25,2018)</f>
        <v>801.32526315789437</v>
      </c>
      <c r="AB9"/>
      <c r="AC9"/>
    </row>
    <row r="10" spans="1:29" x14ac:dyDescent="0.25">
      <c r="A10" s="128" t="s">
        <v>121</v>
      </c>
      <c r="B10" s="178">
        <v>954.5</v>
      </c>
      <c r="C10" s="178">
        <v>735</v>
      </c>
      <c r="D10" s="177">
        <v>715</v>
      </c>
      <c r="E10" s="177">
        <v>602.6</v>
      </c>
      <c r="F10" s="177">
        <v>629.79999999999995</v>
      </c>
      <c r="G10" s="177">
        <v>525.70000000000005</v>
      </c>
      <c r="H10" s="177">
        <v>656.7</v>
      </c>
      <c r="I10" s="177">
        <v>721.7</v>
      </c>
      <c r="J10" s="179">
        <v>745.5</v>
      </c>
      <c r="K10" s="179">
        <v>652.70000000000005</v>
      </c>
      <c r="L10" s="179">
        <v>744.9</v>
      </c>
      <c r="M10" s="179">
        <v>635.4</v>
      </c>
      <c r="N10" s="179">
        <v>654.6</v>
      </c>
      <c r="O10" s="179">
        <v>795.5</v>
      </c>
      <c r="P10" s="179">
        <v>680.7</v>
      </c>
      <c r="Q10" s="179">
        <v>510.8</v>
      </c>
      <c r="R10" s="179">
        <v>699.2</v>
      </c>
      <c r="S10" s="159">
        <v>479.7</v>
      </c>
      <c r="T10" s="159">
        <v>651.4</v>
      </c>
      <c r="U10" s="159">
        <v>895</v>
      </c>
      <c r="V10" s="159">
        <v>786.6</v>
      </c>
      <c r="W10" s="159">
        <v>588.79999999999995</v>
      </c>
      <c r="X10" s="159">
        <v>706.2</v>
      </c>
      <c r="Y10" s="130">
        <f t="shared" si="0"/>
        <v>679.39</v>
      </c>
      <c r="Z10" s="131">
        <f t="shared" si="1"/>
        <v>704.08894736842103</v>
      </c>
      <c r="AB10"/>
      <c r="AC10"/>
    </row>
    <row r="11" spans="1:29" x14ac:dyDescent="0.25">
      <c r="A11" s="128" t="s">
        <v>122</v>
      </c>
      <c r="B11" s="178">
        <v>478.4</v>
      </c>
      <c r="C11" s="178">
        <v>518.4</v>
      </c>
      <c r="D11" s="177">
        <v>460.2</v>
      </c>
      <c r="E11" s="177">
        <v>331.8</v>
      </c>
      <c r="F11" s="177">
        <v>259.39999999999998</v>
      </c>
      <c r="G11" s="177">
        <v>386.9</v>
      </c>
      <c r="H11" s="177">
        <v>370.3</v>
      </c>
      <c r="I11" s="177">
        <v>437.3</v>
      </c>
      <c r="J11" s="179">
        <v>497.2</v>
      </c>
      <c r="K11" s="179">
        <v>457.4</v>
      </c>
      <c r="L11" s="179">
        <v>369.1</v>
      </c>
      <c r="M11" s="179">
        <v>360</v>
      </c>
      <c r="N11" s="179">
        <v>459.1</v>
      </c>
      <c r="O11" s="179">
        <v>391.8</v>
      </c>
      <c r="P11" s="179">
        <v>425.5</v>
      </c>
      <c r="Q11" s="179">
        <v>327.8</v>
      </c>
      <c r="R11" s="179">
        <v>444.6</v>
      </c>
      <c r="S11" s="159">
        <v>437.5</v>
      </c>
      <c r="T11" s="159">
        <v>367.2</v>
      </c>
      <c r="U11" s="159">
        <v>511.1</v>
      </c>
      <c r="V11" s="159">
        <v>474.4</v>
      </c>
      <c r="W11" s="159">
        <v>499.7</v>
      </c>
      <c r="X11" s="159">
        <v>392.1</v>
      </c>
      <c r="Y11" s="130">
        <f t="shared" si="0"/>
        <v>427.16999999999996</v>
      </c>
      <c r="Z11" s="131">
        <f t="shared" si="1"/>
        <v>464.47105263157937</v>
      </c>
      <c r="AB11"/>
      <c r="AC11"/>
    </row>
    <row r="12" spans="1:29" x14ac:dyDescent="0.25">
      <c r="A12" s="128" t="s">
        <v>74</v>
      </c>
      <c r="B12" s="178">
        <v>230.6</v>
      </c>
      <c r="C12" s="178">
        <v>272.2</v>
      </c>
      <c r="D12" s="177">
        <v>219.2</v>
      </c>
      <c r="E12" s="177">
        <v>100.8</v>
      </c>
      <c r="F12" s="177">
        <v>137.30000000000001</v>
      </c>
      <c r="G12" s="177">
        <v>199.3</v>
      </c>
      <c r="H12" s="177">
        <v>157.5</v>
      </c>
      <c r="I12" s="177">
        <v>214</v>
      </c>
      <c r="J12" s="179">
        <v>236.5</v>
      </c>
      <c r="K12" s="179">
        <v>297.89999999999998</v>
      </c>
      <c r="L12" s="179">
        <v>259</v>
      </c>
      <c r="M12" s="179">
        <v>185.1</v>
      </c>
      <c r="N12" s="179">
        <v>204.6</v>
      </c>
      <c r="O12" s="179">
        <v>320</v>
      </c>
      <c r="P12" s="179">
        <v>298.89999999999998</v>
      </c>
      <c r="Q12" s="179">
        <v>168</v>
      </c>
      <c r="R12" s="179">
        <v>221.9</v>
      </c>
      <c r="S12" s="159">
        <v>94.4</v>
      </c>
      <c r="T12" s="159">
        <v>193</v>
      </c>
      <c r="U12" s="159">
        <v>267.89999999999998</v>
      </c>
      <c r="V12" s="159">
        <v>242.9</v>
      </c>
      <c r="W12" s="159">
        <v>241.2</v>
      </c>
      <c r="X12" s="159">
        <v>273.8</v>
      </c>
      <c r="Y12" s="130">
        <f t="shared" si="0"/>
        <v>232.2</v>
      </c>
      <c r="Z12" s="131">
        <f t="shared" si="1"/>
        <v>255.98210526315779</v>
      </c>
      <c r="AB12"/>
      <c r="AC12"/>
    </row>
    <row r="13" spans="1:29" x14ac:dyDescent="0.25">
      <c r="A13" s="128" t="s">
        <v>123</v>
      </c>
      <c r="B13" s="178">
        <v>45.7</v>
      </c>
      <c r="C13" s="178">
        <v>54.5</v>
      </c>
      <c r="D13" s="177">
        <v>40.4</v>
      </c>
      <c r="E13" s="177">
        <v>93.4</v>
      </c>
      <c r="F13" s="177">
        <v>67.099999999999994</v>
      </c>
      <c r="G13" s="177">
        <v>99.7</v>
      </c>
      <c r="H13" s="177">
        <v>60.2</v>
      </c>
      <c r="I13" s="177">
        <v>67.7</v>
      </c>
      <c r="J13" s="179">
        <v>112.8</v>
      </c>
      <c r="K13" s="179">
        <v>151.4</v>
      </c>
      <c r="L13" s="179">
        <v>31.7</v>
      </c>
      <c r="M13" s="179">
        <v>81.2</v>
      </c>
      <c r="N13" s="179">
        <v>67.8</v>
      </c>
      <c r="O13" s="179">
        <v>99.8</v>
      </c>
      <c r="P13" s="179">
        <v>126.1</v>
      </c>
      <c r="Q13" s="179">
        <v>87.8</v>
      </c>
      <c r="R13" s="179">
        <v>99.4</v>
      </c>
      <c r="S13" s="159">
        <v>38.5</v>
      </c>
      <c r="T13" s="159">
        <v>106.2</v>
      </c>
      <c r="U13" s="159">
        <v>96.9</v>
      </c>
      <c r="V13" s="159">
        <v>141.80000000000001</v>
      </c>
      <c r="W13" s="159">
        <v>116.8</v>
      </c>
      <c r="X13" s="159">
        <v>104.1</v>
      </c>
      <c r="Y13" s="130">
        <f t="shared" si="0"/>
        <v>101.74</v>
      </c>
      <c r="Z13" s="131">
        <f t="shared" si="1"/>
        <v>108.26842105263131</v>
      </c>
      <c r="AB13"/>
      <c r="AC13"/>
    </row>
    <row r="14" spans="1:29" x14ac:dyDescent="0.25">
      <c r="A14" s="128" t="s">
        <v>124</v>
      </c>
      <c r="B14" s="178">
        <v>33.5</v>
      </c>
      <c r="C14" s="178">
        <v>72.5</v>
      </c>
      <c r="D14" s="177">
        <v>51.3</v>
      </c>
      <c r="E14" s="177">
        <v>13.1</v>
      </c>
      <c r="F14" s="177">
        <v>17.100000000000001</v>
      </c>
      <c r="G14" s="177">
        <v>33.700000000000003</v>
      </c>
      <c r="H14" s="177">
        <v>45.2</v>
      </c>
      <c r="I14" s="177">
        <v>7.2</v>
      </c>
      <c r="J14" s="179">
        <v>28</v>
      </c>
      <c r="K14" s="179">
        <v>54.7</v>
      </c>
      <c r="L14" s="179">
        <v>34.9</v>
      </c>
      <c r="M14" s="179">
        <v>8.4</v>
      </c>
      <c r="N14" s="179">
        <v>38</v>
      </c>
      <c r="O14" s="179">
        <v>34.799999999999997</v>
      </c>
      <c r="P14" s="179">
        <v>87.7</v>
      </c>
      <c r="Q14" s="179">
        <v>6.7</v>
      </c>
      <c r="R14" s="179">
        <v>14</v>
      </c>
      <c r="S14" s="159">
        <v>9.5</v>
      </c>
      <c r="T14" s="159">
        <v>45</v>
      </c>
      <c r="U14" s="159">
        <v>88.1</v>
      </c>
      <c r="V14" s="159">
        <v>52.6</v>
      </c>
      <c r="W14" s="159">
        <v>27.2</v>
      </c>
      <c r="X14" s="159">
        <v>42</v>
      </c>
      <c r="Y14" s="130">
        <f t="shared" si="0"/>
        <v>40.76</v>
      </c>
      <c r="Z14" s="131">
        <f t="shared" si="1"/>
        <v>47.185263157894951</v>
      </c>
      <c r="AB14"/>
      <c r="AC14"/>
    </row>
    <row r="15" spans="1:29" x14ac:dyDescent="0.25">
      <c r="A15" s="128" t="s">
        <v>125</v>
      </c>
      <c r="B15" s="178">
        <v>13.4</v>
      </c>
      <c r="C15" s="178">
        <v>30.1</v>
      </c>
      <c r="D15" s="177">
        <v>67.5</v>
      </c>
      <c r="E15" s="177">
        <v>12</v>
      </c>
      <c r="F15" s="177">
        <v>41.4</v>
      </c>
      <c r="G15" s="177">
        <v>25.2</v>
      </c>
      <c r="H15" s="177">
        <v>11.1</v>
      </c>
      <c r="I15" s="177">
        <v>18.399999999999999</v>
      </c>
      <c r="J15" s="179">
        <v>32.200000000000003</v>
      </c>
      <c r="K15" s="179">
        <v>83</v>
      </c>
      <c r="L15" s="179">
        <v>23.7</v>
      </c>
      <c r="M15" s="179">
        <v>35</v>
      </c>
      <c r="N15" s="179">
        <v>33.799999999999997</v>
      </c>
      <c r="O15" s="179">
        <v>29</v>
      </c>
      <c r="P15" s="179">
        <v>69.3</v>
      </c>
      <c r="Q15" s="179">
        <v>32.700000000000003</v>
      </c>
      <c r="R15" s="179">
        <v>24.2</v>
      </c>
      <c r="S15" s="159">
        <v>34.299999999999997</v>
      </c>
      <c r="T15" s="159">
        <v>57.3</v>
      </c>
      <c r="U15" s="159">
        <v>63.4</v>
      </c>
      <c r="V15" s="159">
        <v>37.5</v>
      </c>
      <c r="W15" s="159">
        <v>17.100000000000001</v>
      </c>
      <c r="X15" s="159">
        <v>55.5</v>
      </c>
      <c r="Y15" s="130">
        <f t="shared" si="0"/>
        <v>42.03</v>
      </c>
      <c r="Z15" s="131">
        <f t="shared" si="1"/>
        <v>48.300526315789284</v>
      </c>
      <c r="AB15"/>
      <c r="AC15"/>
    </row>
    <row r="16" spans="1:29" x14ac:dyDescent="0.25">
      <c r="A16" s="128" t="s">
        <v>126</v>
      </c>
      <c r="B16" s="178">
        <v>178.6</v>
      </c>
      <c r="C16" s="178">
        <v>119.4342</v>
      </c>
      <c r="D16" s="177">
        <v>106.8</v>
      </c>
      <c r="E16" s="177">
        <v>94.3</v>
      </c>
      <c r="F16" s="177">
        <v>121</v>
      </c>
      <c r="G16" s="177">
        <v>150.4</v>
      </c>
      <c r="H16" s="177">
        <v>131.80000000000001</v>
      </c>
      <c r="I16" s="177">
        <v>89.9</v>
      </c>
      <c r="J16" s="179">
        <v>123.1</v>
      </c>
      <c r="K16" s="179">
        <v>84.1</v>
      </c>
      <c r="L16" s="179">
        <v>82.6</v>
      </c>
      <c r="M16" s="179">
        <v>151.9</v>
      </c>
      <c r="N16" s="179">
        <v>127.6</v>
      </c>
      <c r="O16" s="179">
        <v>140.1</v>
      </c>
      <c r="P16" s="179">
        <v>93.1</v>
      </c>
      <c r="Q16" s="179">
        <v>171.8</v>
      </c>
      <c r="R16" s="179">
        <v>129.6</v>
      </c>
      <c r="S16" s="159">
        <v>181.9</v>
      </c>
      <c r="T16" s="159">
        <v>165.6</v>
      </c>
      <c r="U16" s="159">
        <v>158.19999999999999</v>
      </c>
      <c r="V16" s="159">
        <v>75.5</v>
      </c>
      <c r="W16" s="159">
        <v>65.099999999999994</v>
      </c>
      <c r="X16" s="159">
        <v>112.7</v>
      </c>
      <c r="Y16" s="130">
        <f t="shared" si="0"/>
        <v>129.35999999999999</v>
      </c>
      <c r="Z16" s="131">
        <f>TREND(E16:X16,$E$25:$X$25,2018)</f>
        <v>127.10578947368413</v>
      </c>
      <c r="AB16"/>
      <c r="AC16"/>
    </row>
    <row r="17" spans="1:29" x14ac:dyDescent="0.25">
      <c r="A17" s="128" t="s">
        <v>127</v>
      </c>
      <c r="B17" s="178">
        <v>300.8</v>
      </c>
      <c r="C17" s="178">
        <v>601.1</v>
      </c>
      <c r="D17" s="177">
        <v>340.4</v>
      </c>
      <c r="E17" s="177">
        <v>289.10000000000002</v>
      </c>
      <c r="F17" s="177">
        <v>358.9</v>
      </c>
      <c r="G17" s="177">
        <v>224.5</v>
      </c>
      <c r="H17" s="177">
        <v>307.5</v>
      </c>
      <c r="I17" s="177">
        <v>409.8</v>
      </c>
      <c r="J17" s="179">
        <v>348.5</v>
      </c>
      <c r="K17" s="179">
        <v>307.3</v>
      </c>
      <c r="L17" s="179">
        <v>273.60000000000002</v>
      </c>
      <c r="M17" s="179">
        <v>375.3</v>
      </c>
      <c r="N17" s="179">
        <v>233.5</v>
      </c>
      <c r="O17" s="179">
        <v>334.5</v>
      </c>
      <c r="P17" s="179">
        <v>381.1</v>
      </c>
      <c r="Q17" s="179">
        <v>315.5</v>
      </c>
      <c r="R17" s="179">
        <v>269.5</v>
      </c>
      <c r="S17" s="159">
        <v>299.60000000000002</v>
      </c>
      <c r="T17" s="159">
        <v>245.2</v>
      </c>
      <c r="U17" s="159">
        <v>341</v>
      </c>
      <c r="V17" s="159">
        <v>331.2</v>
      </c>
      <c r="W17" s="159">
        <v>277.39999999999998</v>
      </c>
      <c r="X17" s="159">
        <v>266.3</v>
      </c>
      <c r="Y17" s="130">
        <f t="shared" si="0"/>
        <v>306.13</v>
      </c>
      <c r="Z17" s="131">
        <f t="shared" si="1"/>
        <v>293.91157894736853</v>
      </c>
      <c r="AB17"/>
      <c r="AC17"/>
    </row>
    <row r="18" spans="1:29" x14ac:dyDescent="0.25">
      <c r="A18" s="128" t="s">
        <v>128</v>
      </c>
      <c r="B18" s="178">
        <v>648.20000000000005</v>
      </c>
      <c r="C18" s="178">
        <v>722</v>
      </c>
      <c r="D18" s="177">
        <v>534.79999999999995</v>
      </c>
      <c r="E18" s="177">
        <v>453.8</v>
      </c>
      <c r="F18" s="177">
        <v>442.7</v>
      </c>
      <c r="G18" s="177">
        <v>490.8</v>
      </c>
      <c r="H18" s="177">
        <v>414</v>
      </c>
      <c r="I18" s="177">
        <v>574.4</v>
      </c>
      <c r="J18" s="179">
        <v>494.7</v>
      </c>
      <c r="K18" s="179">
        <v>462.7</v>
      </c>
      <c r="L18" s="179">
        <v>497.6</v>
      </c>
      <c r="M18" s="179">
        <v>467.9</v>
      </c>
      <c r="N18" s="179">
        <v>541</v>
      </c>
      <c r="O18" s="179">
        <v>496.8</v>
      </c>
      <c r="P18" s="179">
        <v>416.7</v>
      </c>
      <c r="Q18" s="179">
        <v>476</v>
      </c>
      <c r="R18" s="179">
        <v>428.9</v>
      </c>
      <c r="S18" s="159">
        <v>426.4</v>
      </c>
      <c r="T18" s="159">
        <v>543.70000000000005</v>
      </c>
      <c r="U18" s="159">
        <v>616.1</v>
      </c>
      <c r="V18" s="159">
        <v>413</v>
      </c>
      <c r="W18" s="159">
        <v>485.62</v>
      </c>
      <c r="X18" s="159">
        <v>497.4</v>
      </c>
      <c r="Y18" s="130">
        <f t="shared" si="0"/>
        <v>480.06200000000001</v>
      </c>
      <c r="Z18" s="131">
        <f t="shared" si="1"/>
        <v>494.0389473684213</v>
      </c>
      <c r="AB18"/>
      <c r="AC18"/>
    </row>
    <row r="19" spans="1:29" x14ac:dyDescent="0.25">
      <c r="A19" s="128" t="s">
        <v>129</v>
      </c>
      <c r="B19" s="178">
        <v>831.3</v>
      </c>
      <c r="C19" s="178">
        <v>936</v>
      </c>
      <c r="D19" s="177">
        <v>556.79999999999995</v>
      </c>
      <c r="E19" s="177">
        <v>663.7</v>
      </c>
      <c r="F19" s="177">
        <v>662.3</v>
      </c>
      <c r="G19" s="177">
        <v>882.9</v>
      </c>
      <c r="H19" s="177">
        <v>583.6</v>
      </c>
      <c r="I19" s="177">
        <v>686.5</v>
      </c>
      <c r="J19" s="179">
        <v>657.8</v>
      </c>
      <c r="K19" s="179">
        <v>796.9</v>
      </c>
      <c r="L19" s="179">
        <v>738.6</v>
      </c>
      <c r="M19" s="179">
        <v>624.29999999999995</v>
      </c>
      <c r="N19" s="179">
        <v>711.6</v>
      </c>
      <c r="O19" s="179">
        <v>814.7</v>
      </c>
      <c r="P19" s="179">
        <v>748.5</v>
      </c>
      <c r="Q19" s="179">
        <v>770.2</v>
      </c>
      <c r="R19" s="179">
        <v>650.4</v>
      </c>
      <c r="S19" s="159">
        <v>445.9</v>
      </c>
      <c r="T19" s="159">
        <v>874.5</v>
      </c>
      <c r="U19" s="159">
        <v>691.4</v>
      </c>
      <c r="V19" s="159">
        <v>541.20000000000005</v>
      </c>
      <c r="W19" s="159">
        <v>640.68000000000006</v>
      </c>
      <c r="X19" s="159">
        <v>849.9</v>
      </c>
      <c r="Y19" s="130">
        <f t="shared" si="0"/>
        <v>702.73800000000006</v>
      </c>
      <c r="Z19" s="131">
        <f t="shared" si="1"/>
        <v>695.58368421052637</v>
      </c>
      <c r="AB19"/>
      <c r="AC19"/>
    </row>
    <row r="20" spans="1:29" x14ac:dyDescent="0.25">
      <c r="A20" s="128"/>
      <c r="B20" s="128"/>
      <c r="C20" s="128"/>
      <c r="D20" s="128"/>
      <c r="E20" s="128"/>
      <c r="F20" s="128"/>
      <c r="Q20" s="128"/>
      <c r="R20" s="128"/>
      <c r="S20" s="128"/>
      <c r="T20" s="128"/>
      <c r="U20" s="128"/>
      <c r="V20" s="128"/>
      <c r="W20" s="128"/>
      <c r="X20" s="128"/>
      <c r="AB20"/>
      <c r="AC20"/>
    </row>
    <row r="21" spans="1:29" x14ac:dyDescent="0.25">
      <c r="A21" s="128" t="s">
        <v>12</v>
      </c>
      <c r="B21" s="129">
        <f t="shared" ref="B21:U21" si="2">SUM(B8:B19)</f>
        <v>5274.4000000000005</v>
      </c>
      <c r="C21" s="129">
        <f t="shared" si="2"/>
        <v>5801.6342000000004</v>
      </c>
      <c r="D21" s="129">
        <f t="shared" si="2"/>
        <v>4752.8</v>
      </c>
      <c r="E21" s="129">
        <f t="shared" si="2"/>
        <v>3991.4000000000005</v>
      </c>
      <c r="F21" s="129">
        <f t="shared" si="2"/>
        <v>4274.3999999999996</v>
      </c>
      <c r="G21" s="129">
        <f t="shared" si="2"/>
        <v>4475.8999999999996</v>
      </c>
      <c r="H21" s="129">
        <f t="shared" si="2"/>
        <v>4239.3</v>
      </c>
      <c r="I21" s="129">
        <f t="shared" si="2"/>
        <v>4580.8000000000011</v>
      </c>
      <c r="J21" s="129">
        <f t="shared" si="2"/>
        <v>5099.5</v>
      </c>
      <c r="K21" s="129">
        <f t="shared" si="2"/>
        <v>5061.0999999999995</v>
      </c>
      <c r="L21" s="129">
        <f t="shared" si="2"/>
        <v>4674.3999999999996</v>
      </c>
      <c r="M21" s="129">
        <f t="shared" si="2"/>
        <v>4348.9000000000005</v>
      </c>
      <c r="N21" s="129">
        <f t="shared" si="2"/>
        <v>4692</v>
      </c>
      <c r="O21" s="129">
        <f t="shared" si="2"/>
        <v>5050.2</v>
      </c>
      <c r="P21" s="129">
        <f t="shared" si="2"/>
        <v>5045.7999999999993</v>
      </c>
      <c r="Q21" s="129">
        <f t="shared" si="2"/>
        <v>4369.1000000000004</v>
      </c>
      <c r="R21" s="129">
        <f t="shared" si="2"/>
        <v>4649</v>
      </c>
      <c r="S21" s="129">
        <f t="shared" si="2"/>
        <v>3827.1000000000008</v>
      </c>
      <c r="T21" s="129">
        <f t="shared" si="2"/>
        <v>4466.5</v>
      </c>
      <c r="U21" s="129">
        <f t="shared" si="2"/>
        <v>5621.4</v>
      </c>
      <c r="V21" s="129">
        <f t="shared" ref="V21:W21" si="3">SUM(V8:V19)</f>
        <v>5035.3</v>
      </c>
      <c r="W21" s="129">
        <f t="shared" si="3"/>
        <v>4484.9999999999991</v>
      </c>
      <c r="X21" s="129">
        <f t="shared" ref="X21" si="4">SUM(X8:X19)</f>
        <v>4649.6000000000004</v>
      </c>
      <c r="AB21"/>
      <c r="AC21"/>
    </row>
    <row r="22" spans="1:29" x14ac:dyDescent="0.25">
      <c r="A22" s="122"/>
      <c r="B22" s="122"/>
      <c r="C22" s="122"/>
      <c r="D22" s="122"/>
      <c r="E22" s="123"/>
      <c r="F22" s="123"/>
      <c r="U22" s="133"/>
      <c r="V22" s="133"/>
      <c r="W22" s="133"/>
      <c r="X22" s="133"/>
      <c r="AB22"/>
      <c r="AC22"/>
    </row>
    <row r="23" spans="1:29" x14ac:dyDescent="0.25">
      <c r="A23" s="122" t="s">
        <v>130</v>
      </c>
      <c r="B23" s="122"/>
      <c r="C23" s="122"/>
      <c r="D23" s="122"/>
      <c r="E23" s="123"/>
      <c r="F23" s="123"/>
      <c r="K23" s="133">
        <f>MAX(B21:U21)</f>
        <v>5801.6342000000004</v>
      </c>
      <c r="P23" s="133"/>
      <c r="AB23"/>
      <c r="AC23"/>
    </row>
    <row r="24" spans="1:29" x14ac:dyDescent="0.25">
      <c r="A24" s="124"/>
      <c r="B24" s="124"/>
      <c r="C24" s="124"/>
      <c r="D24" s="124"/>
      <c r="E24" s="125"/>
      <c r="F24" s="125"/>
      <c r="AB24"/>
      <c r="AC24"/>
    </row>
    <row r="25" spans="1:29" x14ac:dyDescent="0.25">
      <c r="A25" s="126" t="s">
        <v>116</v>
      </c>
      <c r="B25" s="126">
        <v>1995</v>
      </c>
      <c r="C25" s="126">
        <v>1996</v>
      </c>
      <c r="D25" s="126">
        <v>1997</v>
      </c>
      <c r="E25" s="126">
        <v>1998</v>
      </c>
      <c r="F25" s="126">
        <v>1999</v>
      </c>
      <c r="G25" s="126">
        <v>2000</v>
      </c>
      <c r="H25" s="126">
        <v>2001</v>
      </c>
      <c r="I25" s="126">
        <v>2002</v>
      </c>
      <c r="J25" s="126">
        <v>2003</v>
      </c>
      <c r="K25" s="126">
        <v>2004</v>
      </c>
      <c r="L25" s="126">
        <v>2005</v>
      </c>
      <c r="M25" s="126">
        <v>2006</v>
      </c>
      <c r="N25" s="126">
        <v>2007</v>
      </c>
      <c r="O25" s="126">
        <v>2008</v>
      </c>
      <c r="P25" s="126">
        <v>2009</v>
      </c>
      <c r="Q25" s="126">
        <v>2010</v>
      </c>
      <c r="R25" s="126">
        <v>2011</v>
      </c>
      <c r="S25" s="126">
        <v>2012</v>
      </c>
      <c r="T25" s="126">
        <v>2013</v>
      </c>
      <c r="U25" s="126">
        <v>2014</v>
      </c>
      <c r="V25" s="126">
        <v>2015</v>
      </c>
      <c r="W25" s="126">
        <v>2016</v>
      </c>
      <c r="X25" s="126">
        <v>2017</v>
      </c>
      <c r="Y25" s="127" t="s">
        <v>117</v>
      </c>
      <c r="Z25" s="127" t="s">
        <v>118</v>
      </c>
      <c r="AB25"/>
      <c r="AC25"/>
    </row>
    <row r="26" spans="1:29" x14ac:dyDescent="0.25">
      <c r="A26" s="124"/>
      <c r="B26" s="124"/>
      <c r="C26" s="124"/>
      <c r="D26" s="124"/>
      <c r="E26" s="123"/>
      <c r="F26" s="123"/>
      <c r="Y26" s="134"/>
      <c r="Z26" s="134"/>
      <c r="AB26"/>
      <c r="AC26"/>
    </row>
    <row r="27" spans="1:29" x14ac:dyDescent="0.25">
      <c r="E27" s="123"/>
      <c r="F27" s="123"/>
      <c r="Y27" s="134"/>
      <c r="Z27" s="134"/>
      <c r="AB27"/>
      <c r="AC27"/>
    </row>
    <row r="28" spans="1:29" x14ac:dyDescent="0.25">
      <c r="A28" s="128" t="s">
        <v>119</v>
      </c>
      <c r="B28" s="175">
        <v>0</v>
      </c>
      <c r="C28" s="175">
        <v>0</v>
      </c>
      <c r="D28" s="174">
        <v>0</v>
      </c>
      <c r="E28" s="174">
        <v>0</v>
      </c>
      <c r="F28" s="174">
        <v>0</v>
      </c>
      <c r="G28" s="174">
        <v>0</v>
      </c>
      <c r="H28" s="174">
        <v>0</v>
      </c>
      <c r="I28" s="174">
        <v>0</v>
      </c>
      <c r="J28" s="176">
        <v>0</v>
      </c>
      <c r="K28" s="176">
        <v>0</v>
      </c>
      <c r="L28" s="176">
        <v>0</v>
      </c>
      <c r="M28" s="176">
        <v>0</v>
      </c>
      <c r="N28" s="176">
        <v>0</v>
      </c>
      <c r="O28" s="176">
        <v>0</v>
      </c>
      <c r="P28" s="176">
        <v>0</v>
      </c>
      <c r="Q28" s="176">
        <v>0</v>
      </c>
      <c r="R28" s="176">
        <v>0</v>
      </c>
      <c r="S28" s="159">
        <v>0</v>
      </c>
      <c r="T28" s="159">
        <v>0</v>
      </c>
      <c r="U28" s="159">
        <v>0</v>
      </c>
      <c r="V28" s="159">
        <v>0</v>
      </c>
      <c r="W28" s="159">
        <v>0</v>
      </c>
      <c r="X28" s="159">
        <v>0</v>
      </c>
      <c r="Y28" s="130">
        <f>AVERAGE(O28:X28)</f>
        <v>0</v>
      </c>
      <c r="Z28" s="131">
        <f>TREND(E28:X28,$E$25:$X$25,2018)</f>
        <v>0</v>
      </c>
      <c r="AB28"/>
      <c r="AC28"/>
    </row>
    <row r="29" spans="1:29" x14ac:dyDescent="0.25">
      <c r="A29" s="128" t="s">
        <v>120</v>
      </c>
      <c r="B29" s="175">
        <v>0</v>
      </c>
      <c r="C29" s="175">
        <v>0</v>
      </c>
      <c r="D29" s="174">
        <v>0</v>
      </c>
      <c r="E29" s="174">
        <v>0</v>
      </c>
      <c r="F29" s="174">
        <v>0</v>
      </c>
      <c r="G29" s="174">
        <v>0</v>
      </c>
      <c r="H29" s="174">
        <v>0</v>
      </c>
      <c r="I29" s="174">
        <v>0</v>
      </c>
      <c r="J29" s="176">
        <v>0</v>
      </c>
      <c r="K29" s="176">
        <v>0</v>
      </c>
      <c r="L29" s="176">
        <v>0</v>
      </c>
      <c r="M29" s="176">
        <v>0</v>
      </c>
      <c r="N29" s="176">
        <v>0</v>
      </c>
      <c r="O29" s="176">
        <v>0</v>
      </c>
      <c r="P29" s="176">
        <v>0</v>
      </c>
      <c r="Q29" s="176">
        <v>0</v>
      </c>
      <c r="R29" s="176">
        <v>0</v>
      </c>
      <c r="S29" s="159">
        <v>0</v>
      </c>
      <c r="T29" s="159">
        <v>0</v>
      </c>
      <c r="U29" s="159">
        <v>0</v>
      </c>
      <c r="V29" s="159">
        <v>0</v>
      </c>
      <c r="W29" s="159">
        <v>0</v>
      </c>
      <c r="X29" s="159">
        <v>0</v>
      </c>
      <c r="Y29" s="130">
        <f t="shared" ref="Y29:Y39" si="5">AVERAGE(O29:X29)</f>
        <v>0</v>
      </c>
      <c r="Z29" s="131">
        <f t="shared" ref="Z29:Z39" si="6">TREND(E29:X29,$E$25:$X$25,2018)</f>
        <v>0</v>
      </c>
      <c r="AB29"/>
      <c r="AC29"/>
    </row>
    <row r="30" spans="1:29" x14ac:dyDescent="0.25">
      <c r="A30" s="128" t="s">
        <v>121</v>
      </c>
      <c r="B30" s="175">
        <v>0</v>
      </c>
      <c r="C30" s="175">
        <v>0</v>
      </c>
      <c r="D30" s="174">
        <v>0</v>
      </c>
      <c r="E30" s="174">
        <v>0</v>
      </c>
      <c r="F30" s="174">
        <v>0</v>
      </c>
      <c r="G30" s="174">
        <v>0</v>
      </c>
      <c r="H30" s="174">
        <v>0</v>
      </c>
      <c r="I30" s="174">
        <v>0</v>
      </c>
      <c r="J30" s="176">
        <v>0</v>
      </c>
      <c r="K30" s="176">
        <v>0</v>
      </c>
      <c r="L30" s="176">
        <v>0</v>
      </c>
      <c r="M30" s="176">
        <v>0</v>
      </c>
      <c r="N30" s="176">
        <v>0</v>
      </c>
      <c r="O30" s="176">
        <v>0</v>
      </c>
      <c r="P30" s="176">
        <v>0</v>
      </c>
      <c r="Q30" s="176">
        <v>0</v>
      </c>
      <c r="R30" s="176">
        <v>0</v>
      </c>
      <c r="S30" s="159">
        <v>0</v>
      </c>
      <c r="T30" s="159">
        <v>0</v>
      </c>
      <c r="U30" s="159">
        <v>0</v>
      </c>
      <c r="V30" s="159">
        <v>0</v>
      </c>
      <c r="W30" s="159">
        <v>0</v>
      </c>
      <c r="X30" s="159">
        <v>0</v>
      </c>
      <c r="Y30" s="130">
        <f t="shared" si="5"/>
        <v>0</v>
      </c>
      <c r="Z30" s="131">
        <f>TREND(E30:X30,$E$25:$X$25,2018)</f>
        <v>0</v>
      </c>
      <c r="AB30"/>
      <c r="AC30"/>
    </row>
    <row r="31" spans="1:29" x14ac:dyDescent="0.25">
      <c r="A31" s="128" t="s">
        <v>122</v>
      </c>
      <c r="B31" s="175">
        <v>0</v>
      </c>
      <c r="C31" s="175">
        <v>0</v>
      </c>
      <c r="D31" s="174">
        <v>0</v>
      </c>
      <c r="E31" s="174">
        <v>0</v>
      </c>
      <c r="F31" s="174">
        <v>0</v>
      </c>
      <c r="G31" s="174">
        <v>0</v>
      </c>
      <c r="H31" s="174">
        <v>0</v>
      </c>
      <c r="I31" s="174">
        <v>2.2999999999999998</v>
      </c>
      <c r="J31" s="176">
        <v>0</v>
      </c>
      <c r="K31" s="176">
        <v>0</v>
      </c>
      <c r="L31" s="176">
        <v>0</v>
      </c>
      <c r="M31" s="176">
        <v>0</v>
      </c>
      <c r="N31" s="176">
        <v>0</v>
      </c>
      <c r="O31" s="176">
        <v>0</v>
      </c>
      <c r="P31" s="176">
        <v>0</v>
      </c>
      <c r="Q31" s="176">
        <v>0.2</v>
      </c>
      <c r="R31" s="176">
        <v>0</v>
      </c>
      <c r="S31" s="159">
        <v>0</v>
      </c>
      <c r="T31" s="159">
        <v>0</v>
      </c>
      <c r="U31" s="159">
        <v>0</v>
      </c>
      <c r="V31" s="159">
        <v>0</v>
      </c>
      <c r="W31" s="159">
        <v>0</v>
      </c>
      <c r="X31" s="159">
        <v>0</v>
      </c>
      <c r="Y31" s="130">
        <f t="shared" si="5"/>
        <v>0.02</v>
      </c>
      <c r="Z31" s="131">
        <f t="shared" si="6"/>
        <v>-6.6842105263155815E-2</v>
      </c>
      <c r="AB31"/>
      <c r="AC31"/>
    </row>
    <row r="32" spans="1:29" x14ac:dyDescent="0.25">
      <c r="A32" s="128" t="s">
        <v>74</v>
      </c>
      <c r="B32" s="175">
        <v>1</v>
      </c>
      <c r="C32" s="175">
        <v>0</v>
      </c>
      <c r="D32" s="174">
        <v>0</v>
      </c>
      <c r="E32" s="174">
        <v>9.6</v>
      </c>
      <c r="F32" s="174">
        <v>8</v>
      </c>
      <c r="G32" s="174">
        <v>8.5</v>
      </c>
      <c r="H32" s="174">
        <v>0</v>
      </c>
      <c r="I32" s="174">
        <v>0</v>
      </c>
      <c r="J32" s="176">
        <v>0</v>
      </c>
      <c r="K32" s="176">
        <v>0.2</v>
      </c>
      <c r="L32" s="176">
        <v>0</v>
      </c>
      <c r="M32" s="176">
        <v>8.4</v>
      </c>
      <c r="N32" s="176">
        <v>12.5</v>
      </c>
      <c r="O32" s="176">
        <v>0</v>
      </c>
      <c r="P32" s="176">
        <v>0</v>
      </c>
      <c r="Q32" s="176">
        <v>19</v>
      </c>
      <c r="R32" s="176">
        <v>3.2</v>
      </c>
      <c r="S32" s="159">
        <v>8.4</v>
      </c>
      <c r="T32" s="159">
        <v>3</v>
      </c>
      <c r="U32" s="159">
        <v>0.8</v>
      </c>
      <c r="V32" s="159">
        <v>1.1000000000000001</v>
      </c>
      <c r="W32" s="159">
        <v>3.5</v>
      </c>
      <c r="X32" s="159">
        <v>0</v>
      </c>
      <c r="Y32" s="130">
        <f t="shared" si="5"/>
        <v>3.9</v>
      </c>
      <c r="Z32" s="131">
        <f t="shared" si="6"/>
        <v>2.9473684210526585</v>
      </c>
      <c r="AB32"/>
      <c r="AC32"/>
    </row>
    <row r="33" spans="1:29" x14ac:dyDescent="0.25">
      <c r="A33" s="128" t="s">
        <v>123</v>
      </c>
      <c r="B33" s="175">
        <v>68.400000000000006</v>
      </c>
      <c r="C33" s="175">
        <v>16.899999999999999</v>
      </c>
      <c r="D33" s="174">
        <v>21.5</v>
      </c>
      <c r="E33" s="174">
        <v>33.200000000000003</v>
      </c>
      <c r="F33" s="174">
        <v>46.2</v>
      </c>
      <c r="G33" s="174">
        <v>6.9</v>
      </c>
      <c r="H33" s="174">
        <v>40.799999999999997</v>
      </c>
      <c r="I33" s="174">
        <v>33.6</v>
      </c>
      <c r="J33" s="176">
        <v>11.9</v>
      </c>
      <c r="K33" s="176">
        <v>2.2000000000000002</v>
      </c>
      <c r="L33" s="176">
        <v>41.8</v>
      </c>
      <c r="M33" s="176">
        <v>12.9</v>
      </c>
      <c r="N33" s="176">
        <v>35.9</v>
      </c>
      <c r="O33" s="176">
        <v>7.8</v>
      </c>
      <c r="P33" s="176">
        <v>19.2</v>
      </c>
      <c r="Q33" s="176">
        <v>5.3</v>
      </c>
      <c r="R33" s="176">
        <v>2.7</v>
      </c>
      <c r="S33" s="159">
        <v>23.5</v>
      </c>
      <c r="T33" s="159">
        <v>12.4</v>
      </c>
      <c r="U33" s="159">
        <v>12</v>
      </c>
      <c r="V33" s="159">
        <v>0.4</v>
      </c>
      <c r="W33" s="159">
        <v>8.6</v>
      </c>
      <c r="X33" s="159">
        <v>3.5</v>
      </c>
      <c r="Y33" s="130">
        <f t="shared" si="5"/>
        <v>9.5400000000000009</v>
      </c>
      <c r="Z33" s="131">
        <f t="shared" si="6"/>
        <v>2.3105263157895024</v>
      </c>
      <c r="AA33" s="133"/>
      <c r="AB33"/>
      <c r="AC33"/>
    </row>
    <row r="34" spans="1:29" x14ac:dyDescent="0.25">
      <c r="A34" s="128" t="s">
        <v>124</v>
      </c>
      <c r="B34" s="175">
        <v>51</v>
      </c>
      <c r="C34" s="175">
        <v>5.6</v>
      </c>
      <c r="D34" s="174">
        <v>41.4</v>
      </c>
      <c r="E34" s="174">
        <v>52.4</v>
      </c>
      <c r="F34" s="174">
        <v>87</v>
      </c>
      <c r="G34" s="174">
        <v>49.3</v>
      </c>
      <c r="H34" s="174">
        <v>47.5</v>
      </c>
      <c r="I34" s="174">
        <v>102.6</v>
      </c>
      <c r="J34" s="176">
        <v>27.9</v>
      </c>
      <c r="K34" s="176">
        <v>15.4</v>
      </c>
      <c r="L34" s="176">
        <v>78.8</v>
      </c>
      <c r="M34" s="176">
        <v>78.2</v>
      </c>
      <c r="N34" s="176">
        <v>41.7</v>
      </c>
      <c r="O34" s="176">
        <v>18.7</v>
      </c>
      <c r="P34" s="176">
        <v>8</v>
      </c>
      <c r="Q34" s="176">
        <v>58.5</v>
      </c>
      <c r="R34" s="176">
        <v>73.599999999999994</v>
      </c>
      <c r="S34" s="159">
        <v>59.6</v>
      </c>
      <c r="T34" s="159">
        <v>48.8</v>
      </c>
      <c r="U34" s="159">
        <v>6.4</v>
      </c>
      <c r="V34" s="159">
        <v>29.2</v>
      </c>
      <c r="W34" s="159">
        <v>44.2</v>
      </c>
      <c r="X34" s="159">
        <v>13.8</v>
      </c>
      <c r="Y34" s="130">
        <f t="shared" si="5"/>
        <v>36.08</v>
      </c>
      <c r="Z34" s="131">
        <f t="shared" si="6"/>
        <v>27.098421052631693</v>
      </c>
      <c r="AB34"/>
      <c r="AC34"/>
    </row>
    <row r="35" spans="1:29" x14ac:dyDescent="0.25">
      <c r="A35" s="128" t="s">
        <v>125</v>
      </c>
      <c r="B35" s="175">
        <v>68.3</v>
      </c>
      <c r="C35" s="175">
        <v>31.1</v>
      </c>
      <c r="D35" s="174">
        <v>15.8</v>
      </c>
      <c r="E35" s="174">
        <v>73.599999999999994</v>
      </c>
      <c r="F35" s="174">
        <v>20.2</v>
      </c>
      <c r="G35" s="174">
        <v>33.1</v>
      </c>
      <c r="H35" s="174">
        <v>78.599999999999994</v>
      </c>
      <c r="I35" s="174">
        <v>48.3</v>
      </c>
      <c r="J35" s="176">
        <v>48.6</v>
      </c>
      <c r="K35" s="176">
        <v>13.5</v>
      </c>
      <c r="L35" s="176">
        <v>40.6</v>
      </c>
      <c r="M35" s="176">
        <v>20.100000000000001</v>
      </c>
      <c r="N35" s="176">
        <v>42.5</v>
      </c>
      <c r="O35" s="176">
        <v>24</v>
      </c>
      <c r="P35" s="176">
        <v>25.2</v>
      </c>
      <c r="Q35" s="176">
        <v>78.599999999999994</v>
      </c>
      <c r="R35" s="176">
        <v>35.4</v>
      </c>
      <c r="S35" s="159">
        <v>37.700000000000003</v>
      </c>
      <c r="T35" s="159">
        <v>27.1</v>
      </c>
      <c r="U35" s="159">
        <v>13.5</v>
      </c>
      <c r="V35" s="159">
        <v>35.6</v>
      </c>
      <c r="W35" s="159">
        <v>51.7</v>
      </c>
      <c r="X35" s="159">
        <v>9.1999999999999993</v>
      </c>
      <c r="Y35" s="130">
        <f t="shared" si="5"/>
        <v>33.799999999999997</v>
      </c>
      <c r="Z35" s="131">
        <f t="shared" si="6"/>
        <v>26.10684210526324</v>
      </c>
      <c r="AB35"/>
      <c r="AC35"/>
    </row>
    <row r="36" spans="1:29" x14ac:dyDescent="0.25">
      <c r="A36" s="128" t="s">
        <v>126</v>
      </c>
      <c r="B36" s="175">
        <v>3.9</v>
      </c>
      <c r="C36" s="175">
        <v>11.9</v>
      </c>
      <c r="D36" s="174">
        <v>0.8</v>
      </c>
      <c r="E36" s="174">
        <v>15.2</v>
      </c>
      <c r="F36" s="174">
        <v>18.2</v>
      </c>
      <c r="G36" s="174">
        <v>7.4</v>
      </c>
      <c r="H36" s="174">
        <v>10.3</v>
      </c>
      <c r="I36" s="174">
        <v>36</v>
      </c>
      <c r="J36" s="176">
        <v>14.2</v>
      </c>
      <c r="K36" s="176">
        <v>24.3</v>
      </c>
      <c r="L36" s="176">
        <v>22.3</v>
      </c>
      <c r="M36" s="176">
        <v>5.2</v>
      </c>
      <c r="N36" s="176">
        <v>17</v>
      </c>
      <c r="O36" s="176">
        <v>9.8000000000000007</v>
      </c>
      <c r="P36" s="176">
        <v>5</v>
      </c>
      <c r="Q36" s="176">
        <v>0</v>
      </c>
      <c r="R36" s="176">
        <v>11</v>
      </c>
      <c r="S36" s="159">
        <v>5.3</v>
      </c>
      <c r="T36" s="159">
        <v>5.8</v>
      </c>
      <c r="U36" s="159">
        <v>1.4</v>
      </c>
      <c r="V36" s="159">
        <v>31.4</v>
      </c>
      <c r="W36" s="159">
        <v>12.8</v>
      </c>
      <c r="X36" s="159">
        <v>33.299999999999997</v>
      </c>
      <c r="Y36" s="130">
        <f t="shared" si="5"/>
        <v>11.579999999999998</v>
      </c>
      <c r="Z36" s="131">
        <f t="shared" si="6"/>
        <v>13.282105263157888</v>
      </c>
      <c r="AB36"/>
      <c r="AC36"/>
    </row>
    <row r="37" spans="1:29" x14ac:dyDescent="0.25">
      <c r="A37" s="128" t="s">
        <v>127</v>
      </c>
      <c r="B37" s="175">
        <v>0.5</v>
      </c>
      <c r="C37" s="175">
        <v>0</v>
      </c>
      <c r="D37" s="174">
        <v>0</v>
      </c>
      <c r="E37" s="174">
        <v>0</v>
      </c>
      <c r="F37" s="174">
        <v>0</v>
      </c>
      <c r="G37" s="174">
        <v>0</v>
      </c>
      <c r="H37" s="174">
        <v>0</v>
      </c>
      <c r="I37" s="174">
        <v>0.8</v>
      </c>
      <c r="J37" s="176">
        <v>0</v>
      </c>
      <c r="K37" s="176">
        <v>0</v>
      </c>
      <c r="L37" s="176">
        <v>9.6</v>
      </c>
      <c r="M37" s="176">
        <v>0</v>
      </c>
      <c r="N37" s="176">
        <v>0.8</v>
      </c>
      <c r="O37" s="176">
        <v>1.3</v>
      </c>
      <c r="P37" s="176">
        <v>0</v>
      </c>
      <c r="Q37" s="176">
        <v>0</v>
      </c>
      <c r="R37" s="176">
        <v>1.5</v>
      </c>
      <c r="S37" s="159">
        <v>0</v>
      </c>
      <c r="T37" s="159">
        <v>0</v>
      </c>
      <c r="U37" s="159">
        <v>0</v>
      </c>
      <c r="V37" s="159">
        <v>0</v>
      </c>
      <c r="W37" s="159">
        <v>0</v>
      </c>
      <c r="X37" s="159">
        <v>1.9</v>
      </c>
      <c r="Y37" s="130">
        <f t="shared" si="5"/>
        <v>0.46999999999999992</v>
      </c>
      <c r="Z37" s="131">
        <f t="shared" si="6"/>
        <v>0.71842105263157841</v>
      </c>
      <c r="AB37"/>
      <c r="AC37"/>
    </row>
    <row r="38" spans="1:29" x14ac:dyDescent="0.25">
      <c r="A38" s="128" t="s">
        <v>128</v>
      </c>
      <c r="B38" s="175">
        <v>0</v>
      </c>
      <c r="C38" s="175">
        <v>0</v>
      </c>
      <c r="D38" s="174">
        <v>0</v>
      </c>
      <c r="E38" s="174">
        <v>0</v>
      </c>
      <c r="F38" s="174">
        <v>0</v>
      </c>
      <c r="G38" s="174">
        <v>0</v>
      </c>
      <c r="H38" s="174">
        <v>0</v>
      </c>
      <c r="I38" s="174">
        <v>0</v>
      </c>
      <c r="J38" s="176">
        <v>0</v>
      </c>
      <c r="K38" s="176">
        <v>0</v>
      </c>
      <c r="L38" s="176">
        <v>0</v>
      </c>
      <c r="M38" s="176">
        <v>0</v>
      </c>
      <c r="N38" s="176">
        <v>0</v>
      </c>
      <c r="O38" s="176">
        <v>0</v>
      </c>
      <c r="P38" s="176">
        <v>0</v>
      </c>
      <c r="Q38" s="176">
        <v>0</v>
      </c>
      <c r="R38" s="176">
        <v>0</v>
      </c>
      <c r="S38" s="159">
        <v>0</v>
      </c>
      <c r="T38" s="159">
        <v>0</v>
      </c>
      <c r="U38" s="159">
        <v>0</v>
      </c>
      <c r="V38" s="159">
        <v>0</v>
      </c>
      <c r="W38" s="159">
        <v>0</v>
      </c>
      <c r="X38" s="159">
        <v>0</v>
      </c>
      <c r="Y38" s="130">
        <f t="shared" si="5"/>
        <v>0</v>
      </c>
      <c r="Z38" s="131">
        <f t="shared" si="6"/>
        <v>0</v>
      </c>
      <c r="AB38"/>
      <c r="AC38"/>
    </row>
    <row r="39" spans="1:29" x14ac:dyDescent="0.25">
      <c r="A39" s="128" t="s">
        <v>129</v>
      </c>
      <c r="B39" s="175">
        <v>0</v>
      </c>
      <c r="C39" s="175">
        <v>0</v>
      </c>
      <c r="D39" s="174">
        <v>0</v>
      </c>
      <c r="E39" s="174">
        <v>0</v>
      </c>
      <c r="F39" s="174">
        <v>0</v>
      </c>
      <c r="G39" s="174">
        <v>0</v>
      </c>
      <c r="H39" s="174">
        <v>0</v>
      </c>
      <c r="I39" s="174">
        <v>0</v>
      </c>
      <c r="J39" s="176">
        <v>0</v>
      </c>
      <c r="K39" s="176">
        <v>0</v>
      </c>
      <c r="L39" s="176">
        <v>0</v>
      </c>
      <c r="M39" s="176">
        <v>0</v>
      </c>
      <c r="N39" s="176">
        <v>0</v>
      </c>
      <c r="O39" s="176">
        <v>0</v>
      </c>
      <c r="P39" s="176">
        <v>0</v>
      </c>
      <c r="Q39" s="176">
        <v>0</v>
      </c>
      <c r="R39" s="176">
        <v>0</v>
      </c>
      <c r="S39" s="159">
        <v>0</v>
      </c>
      <c r="T39" s="159">
        <v>0</v>
      </c>
      <c r="U39" s="159">
        <v>0</v>
      </c>
      <c r="V39" s="159">
        <v>0</v>
      </c>
      <c r="W39" s="159">
        <v>0</v>
      </c>
      <c r="X39" s="159">
        <v>0</v>
      </c>
      <c r="Y39" s="130">
        <f t="shared" si="5"/>
        <v>0</v>
      </c>
      <c r="Z39" s="131">
        <f t="shared" si="6"/>
        <v>0</v>
      </c>
      <c r="AB39"/>
      <c r="AC39"/>
    </row>
    <row r="40" spans="1:29" x14ac:dyDescent="0.25">
      <c r="A40" s="128"/>
      <c r="B40" s="128"/>
      <c r="C40" s="128"/>
      <c r="D40" s="128"/>
      <c r="E40" s="128"/>
      <c r="F40" s="128"/>
      <c r="G40" s="123"/>
      <c r="H40" s="123"/>
      <c r="Q40" s="128"/>
      <c r="R40" s="128"/>
      <c r="S40" s="128"/>
      <c r="T40" s="128"/>
      <c r="U40" s="128"/>
      <c r="V40" s="128"/>
      <c r="W40" s="128"/>
      <c r="X40" s="128"/>
    </row>
    <row r="41" spans="1:29" x14ac:dyDescent="0.25">
      <c r="A41" s="128" t="s">
        <v>12</v>
      </c>
      <c r="B41" s="129">
        <f t="shared" ref="B41:U41" si="7">SUM(B28:B39)</f>
        <v>193.1</v>
      </c>
      <c r="C41" s="129">
        <f t="shared" si="7"/>
        <v>65.5</v>
      </c>
      <c r="D41" s="129">
        <f t="shared" si="7"/>
        <v>79.5</v>
      </c>
      <c r="E41" s="129">
        <f t="shared" si="7"/>
        <v>184</v>
      </c>
      <c r="F41" s="129">
        <f t="shared" si="7"/>
        <v>179.59999999999997</v>
      </c>
      <c r="G41" s="129">
        <f t="shared" si="7"/>
        <v>105.20000000000002</v>
      </c>
      <c r="H41" s="129">
        <f t="shared" si="7"/>
        <v>177.2</v>
      </c>
      <c r="I41" s="129">
        <f t="shared" si="7"/>
        <v>223.60000000000002</v>
      </c>
      <c r="J41" s="129">
        <f t="shared" si="7"/>
        <v>102.60000000000001</v>
      </c>
      <c r="K41" s="129">
        <f t="shared" si="7"/>
        <v>55.6</v>
      </c>
      <c r="L41" s="129">
        <f t="shared" si="7"/>
        <v>193.1</v>
      </c>
      <c r="M41" s="129">
        <f t="shared" si="7"/>
        <v>124.8</v>
      </c>
      <c r="N41" s="129">
        <f t="shared" si="7"/>
        <v>150.4</v>
      </c>
      <c r="O41" s="129">
        <f t="shared" si="7"/>
        <v>61.599999999999994</v>
      </c>
      <c r="P41" s="129">
        <f t="shared" si="7"/>
        <v>57.4</v>
      </c>
      <c r="Q41" s="129">
        <f t="shared" si="7"/>
        <v>161.6</v>
      </c>
      <c r="R41" s="129">
        <f t="shared" si="7"/>
        <v>127.4</v>
      </c>
      <c r="S41" s="129">
        <f t="shared" si="7"/>
        <v>134.5</v>
      </c>
      <c r="T41" s="129">
        <f t="shared" si="7"/>
        <v>97.100000000000009</v>
      </c>
      <c r="U41" s="129">
        <f t="shared" si="7"/>
        <v>34.1</v>
      </c>
      <c r="V41" s="129">
        <f t="shared" ref="V41:W41" si="8">SUM(V28:V39)</f>
        <v>97.699999999999989</v>
      </c>
      <c r="W41" s="129">
        <f t="shared" si="8"/>
        <v>120.8</v>
      </c>
      <c r="X41" s="129">
        <f t="shared" ref="X41" si="9">SUM(X28:X39)</f>
        <v>61.699999999999996</v>
      </c>
      <c r="Y41" s="132"/>
      <c r="Z41" s="132"/>
    </row>
    <row r="42" spans="1:29" x14ac:dyDescent="0.25">
      <c r="A42" s="128"/>
      <c r="B42" s="128"/>
      <c r="C42" s="128"/>
      <c r="D42" s="128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U42" s="133">
        <f>SUM(B41:U41)</f>
        <v>2507.9</v>
      </c>
      <c r="V42" s="133">
        <f>SUM(B41:V41)</f>
        <v>2605.6</v>
      </c>
      <c r="W42" s="133">
        <f>SUM(B41:W41)</f>
        <v>2726.4</v>
      </c>
      <c r="X42" s="133">
        <f>SUM(C41:X41)</f>
        <v>2594.9999999999995</v>
      </c>
    </row>
    <row r="43" spans="1:29" x14ac:dyDescent="0.25">
      <c r="A43" s="128"/>
      <c r="B43" s="128"/>
      <c r="C43" s="128"/>
      <c r="D43" s="128"/>
      <c r="E43" s="123"/>
      <c r="F43" s="123"/>
      <c r="G43" s="123"/>
      <c r="H43" s="123"/>
      <c r="L43" s="133">
        <f>MIN(B41:U41)</f>
        <v>34.1</v>
      </c>
    </row>
    <row r="44" spans="1:29" x14ac:dyDescent="0.25">
      <c r="A44" s="122"/>
      <c r="B44" s="122"/>
      <c r="C44" s="122"/>
      <c r="D44" s="122"/>
      <c r="E44" s="123"/>
      <c r="F44" s="123"/>
    </row>
  </sheetData>
  <mergeCells count="1">
    <mergeCell ref="D1:E1"/>
  </mergeCells>
  <pageMargins left="0.5" right="0.5" top="0.75" bottom="0.75" header="0.5" footer="0.5"/>
  <pageSetup paperSize="5" scale="72" orientation="landscape" r:id="rId1"/>
  <headerFooter alignWithMargins="0">
    <oddFooter>&amp;L&amp;8&amp;D
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 xmlns="22864ac6-7c2c-4d2c-8917-2490334d657a" xsi:nil="true"/>
    <PublishingExpirationDate xmlns="http://schemas.microsoft.com/sharepoint/v3" xsi:nil="true"/>
    <RoutingRuleDescription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5A56BC5DF3C48BFAA38DBB0663FF1" ma:contentTypeVersion="3" ma:contentTypeDescription="Create a new document." ma:contentTypeScope="" ma:versionID="f998fb52abaafa7b03061b7a50575b63">
  <xsd:schema xmlns:xsd="http://www.w3.org/2001/XMLSchema" xmlns:xs="http://www.w3.org/2001/XMLSchema" xmlns:p="http://schemas.microsoft.com/office/2006/metadata/properties" xmlns:ns1="http://schemas.microsoft.com/sharepoint/v3" xmlns:ns2="22864ac6-7c2c-4d2c-8917-2490334d657a" targetNamespace="http://schemas.microsoft.com/office/2006/metadata/properties" ma:root="true" ma:fieldsID="93a81205d4f4a790b0a30e91b3c2e984" ns1:_="" ns2:_="">
    <xsd:import namespace="http://schemas.microsoft.com/sharepoint/v3"/>
    <xsd:import namespace="22864ac6-7c2c-4d2c-8917-2490334d657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RoutingRuleDescription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RoutingRuleDescription" ma:index="10" nillable="true" ma:displayName="Note" ma:description="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64ac6-7c2c-4d2c-8917-2490334d657a" elementFormDefault="qualified">
    <xsd:import namespace="http://schemas.microsoft.com/office/2006/documentManagement/types"/>
    <xsd:import namespace="http://schemas.microsoft.com/office/infopath/2007/PartnerControls"/>
    <xsd:element name="Note" ma:index="11" nillable="true" ma:displayName="Description" ma:internalName="Not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61D077-B133-4101-8448-EDAC51E0F5AD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22864ac6-7c2c-4d2c-8917-2490334d657a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F45DBFC-9396-4528-B69B-6FF609EE5A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7DD6D1-0FB0-4196-98DD-9C0D600F8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864ac6-7c2c-4d2c-8917-2490334d6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Exhibit 3 Tables</vt:lpstr>
      <vt:lpstr>Summary</vt:lpstr>
      <vt:lpstr>Purchased Power Model</vt:lpstr>
      <vt:lpstr>Purchased Power Model WN</vt:lpstr>
      <vt:lpstr>Rate Class Energy Model</vt:lpstr>
      <vt:lpstr>Rate Class Customer Model</vt:lpstr>
      <vt:lpstr>Rate Class Load Model</vt:lpstr>
      <vt:lpstr>CDM Activity</vt:lpstr>
      <vt:lpstr>Weather Analysis </vt:lpstr>
      <vt:lpstr>2018 COP Forecast</vt:lpstr>
      <vt:lpstr>'CDM Activity'!Print_Area</vt:lpstr>
      <vt:lpstr>'Purchased Power Model'!Print_Area</vt:lpstr>
      <vt:lpstr>'Purchased Power Model WN'!Print_Area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  <vt:lpstr>'Purchased Power Model WN'!Print_Titles</vt:lpstr>
    </vt:vector>
  </TitlesOfParts>
  <Company>London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Bruce Bacon</dc:creator>
  <cp:lastModifiedBy>Andrew Belsito</cp:lastModifiedBy>
  <cp:lastPrinted>2017-12-19T21:34:33Z</cp:lastPrinted>
  <dcterms:created xsi:type="dcterms:W3CDTF">2008-02-06T18:24:44Z</dcterms:created>
  <dcterms:modified xsi:type="dcterms:W3CDTF">2018-08-20T15:03:23Z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0x01010016A5A56BC5DF3C48BFAA38DBB0663FF1</vt:lpwstr>
  </property>
</Properties>
</file>